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ryan s kothari\Desktop\"/>
    </mc:Choice>
  </mc:AlternateContent>
  <xr:revisionPtr revIDLastSave="0" documentId="13_ncr:1_{A9796A82-637A-4C67-8B29-AA9C9DCAB977}" xr6:coauthVersionLast="47" xr6:coauthVersionMax="47" xr10:uidLastSave="{00000000-0000-0000-0000-000000000000}"/>
  <bookViews>
    <workbookView xWindow="-120" yWindow="-120" windowWidth="29040" windowHeight="15720" firstSheet="9" activeTab="14" xr2:uid="{706EC5FC-A0C2-4A73-A8F1-470FE0243C60}"/>
  </bookViews>
  <sheets>
    <sheet name="CHECKS" sheetId="28" r:id="rId1"/>
    <sheet name="AUDIT_LOG" sheetId="27" r:id="rId2"/>
    <sheet name="EXEC SUMMARY" sheetId="26" r:id="rId3"/>
    <sheet name="Sheet1" sheetId="12" state="hidden" r:id="rId4"/>
    <sheet name="Data " sheetId="7" r:id="rId5"/>
    <sheet name="Forecast Development " sheetId="8" r:id="rId6"/>
    <sheet name="Analysis " sheetId="9" r:id="rId7"/>
    <sheet name="Forecasts " sheetId="10" r:id="rId8"/>
    <sheet name="Valuation " sheetId="11" r:id="rId9"/>
    <sheet name="OUTPUT SHEET" sheetId="14" r:id="rId10"/>
    <sheet name="COMP Sheet " sheetId="22" r:id="rId11"/>
    <sheet name="Porter " sheetId="17" r:id="rId12"/>
    <sheet name="Table &amp; Charts " sheetId="18" state="hidden" r:id="rId13"/>
    <sheet name="BETA" sheetId="19" r:id="rId14"/>
    <sheet name="Investment Ferragamo" sheetId="25" r:id="rId15"/>
    <sheet name="M&amp;A" sheetId="21" r:id="rId16"/>
    <sheet name="Sources" sheetId="20" r:id="rId17"/>
  </sheets>
  <externalReferences>
    <externalReference r:id="rId18"/>
    <externalReference r:id="rId19"/>
  </externalReferences>
  <definedNames>
    <definedName name="Pal_Workbook_GUID" hidden="1">"CXTP1C6XTK66SIZVYWILZKMR"</definedName>
    <definedName name="_xlnm.Print_Area" localSheetId="6">'Analysis '!$A$1:$H$384</definedName>
    <definedName name="_xlnm.Print_Area" localSheetId="4">'Data '!$A$1:$G$149</definedName>
    <definedName name="_xlnm.Print_Area" localSheetId="5">'Forecast Development '!$A$1:$I$93</definedName>
    <definedName name="_xlnm.Print_Area" localSheetId="7">'Forecasts '!$A$1:$J$365</definedName>
    <definedName name="_xlnm.Print_Area" localSheetId="14">'Investment Ferragamo'!$A$52:$M$59</definedName>
    <definedName name="_xlnm.Print_Area" localSheetId="8">'Valuation '!$A$1:$J$266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0" i="25" l="1"/>
  <c r="Q160" i="25"/>
  <c r="R160" i="25"/>
  <c r="S160" i="25"/>
  <c r="T160" i="25"/>
  <c r="U160" i="25"/>
  <c r="V160" i="25"/>
  <c r="P161" i="25"/>
  <c r="Q161" i="25"/>
  <c r="R161" i="25"/>
  <c r="S161" i="25"/>
  <c r="T161" i="25"/>
  <c r="U161" i="25"/>
  <c r="V161" i="25"/>
  <c r="P162" i="25"/>
  <c r="Q162" i="25"/>
  <c r="R162" i="25"/>
  <c r="S162" i="25"/>
  <c r="T162" i="25"/>
  <c r="U162" i="25"/>
  <c r="V162" i="25"/>
  <c r="Z61" i="25"/>
  <c r="L2" i="25"/>
  <c r="K7" i="28"/>
  <c r="J7" i="28"/>
  <c r="I7" i="28"/>
  <c r="H7" i="28"/>
  <c r="G7" i="28"/>
  <c r="F7" i="28"/>
  <c r="E7" i="28"/>
  <c r="D7" i="28"/>
  <c r="K6" i="28"/>
  <c r="J6" i="28"/>
  <c r="I6" i="28"/>
  <c r="H6" i="28"/>
  <c r="G6" i="28"/>
  <c r="F6" i="28"/>
  <c r="E6" i="28"/>
  <c r="D6" i="28"/>
  <c r="K5" i="28"/>
  <c r="J5" i="28"/>
  <c r="I5" i="28"/>
  <c r="H5" i="28"/>
  <c r="G5" i="28"/>
  <c r="F5" i="28"/>
  <c r="E5" i="28"/>
  <c r="D5" i="28"/>
  <c r="C5" i="28"/>
  <c r="D14" i="26"/>
  <c r="C14" i="26"/>
  <c r="D13" i="26"/>
  <c r="C13" i="26"/>
  <c r="D12" i="26"/>
  <c r="C12" i="26"/>
  <c r="D11" i="26"/>
  <c r="C11" i="26"/>
  <c r="D10" i="26"/>
  <c r="C10" i="26"/>
  <c r="D9" i="26"/>
  <c r="C9" i="26"/>
  <c r="D5" i="26"/>
  <c r="C5" i="26"/>
  <c r="I30" i="10"/>
  <c r="H30" i="10"/>
  <c r="G30" i="10"/>
  <c r="F30" i="10"/>
  <c r="E30" i="10"/>
  <c r="I85" i="8"/>
  <c r="H85" i="8"/>
  <c r="G85" i="8"/>
  <c r="F85" i="8"/>
  <c r="E85" i="8"/>
  <c r="F19" i="11"/>
  <c r="O68" i="25"/>
  <c r="O72" i="25"/>
  <c r="O73" i="25"/>
  <c r="O75" i="25"/>
  <c r="O77" i="25"/>
  <c r="P77" i="25"/>
  <c r="Q77" i="25"/>
  <c r="R77" i="25"/>
  <c r="S77" i="25"/>
  <c r="T77" i="25"/>
  <c r="U77" i="25"/>
  <c r="V77" i="25"/>
  <c r="W77" i="25"/>
  <c r="X77" i="25"/>
  <c r="O81" i="25"/>
  <c r="P83" i="25"/>
  <c r="Q83" i="25"/>
  <c r="R83" i="25"/>
  <c r="S83" i="25"/>
  <c r="T83" i="25"/>
  <c r="U83" i="25"/>
  <c r="V83" i="25"/>
  <c r="W83" i="25"/>
  <c r="X83" i="25"/>
  <c r="P122" i="25"/>
  <c r="Q122" i="25"/>
  <c r="R122" i="25"/>
  <c r="S122" i="25"/>
  <c r="T122" i="25"/>
  <c r="U122" i="25"/>
  <c r="V122" i="25"/>
  <c r="W122" i="25"/>
  <c r="X122" i="25"/>
  <c r="P128" i="25"/>
  <c r="Q128" i="25"/>
  <c r="R128" i="25"/>
  <c r="S128" i="25"/>
  <c r="T128" i="25"/>
  <c r="U128" i="25"/>
  <c r="V128" i="25"/>
  <c r="W128" i="25"/>
  <c r="X128" i="25"/>
  <c r="O131" i="25"/>
  <c r="O132" i="25"/>
  <c r="O133" i="25"/>
  <c r="O136" i="25"/>
  <c r="O137" i="25"/>
  <c r="O138" i="25"/>
  <c r="O141" i="25"/>
  <c r="O142" i="25"/>
  <c r="O143" i="25"/>
  <c r="O144" i="25"/>
  <c r="O147" i="25"/>
  <c r="O148" i="25"/>
  <c r="O151" i="25"/>
  <c r="O152" i="25"/>
  <c r="O153" i="25"/>
  <c r="O156" i="25"/>
  <c r="C2" i="14"/>
  <c r="E7" i="18" l="1"/>
  <c r="E6" i="18"/>
  <c r="E4" i="19"/>
  <c r="E5" i="19"/>
  <c r="E6" i="19"/>
  <c r="E7" i="19"/>
  <c r="E8" i="19"/>
  <c r="E9" i="19"/>
  <c r="E10" i="19"/>
  <c r="E11" i="19"/>
  <c r="E12" i="19"/>
  <c r="E13" i="19"/>
  <c r="E14" i="19"/>
  <c r="E15" i="19"/>
  <c r="E16" i="19"/>
  <c r="E17" i="19"/>
  <c r="E18" i="19"/>
  <c r="E19" i="19"/>
  <c r="E20" i="19"/>
  <c r="E21" i="19"/>
  <c r="E22" i="19"/>
  <c r="E23" i="19"/>
  <c r="E24" i="19"/>
  <c r="E25" i="19"/>
  <c r="E26" i="19"/>
  <c r="E27" i="19"/>
  <c r="E28" i="19"/>
  <c r="E29" i="19"/>
  <c r="E30" i="19"/>
  <c r="E31" i="19"/>
  <c r="E32" i="19"/>
  <c r="E33" i="19"/>
  <c r="E34" i="19"/>
  <c r="E35" i="19"/>
  <c r="E36" i="19"/>
  <c r="E37" i="19"/>
  <c r="E38" i="19"/>
  <c r="E39" i="19"/>
  <c r="E40" i="19"/>
  <c r="E41" i="19"/>
  <c r="E42" i="19"/>
  <c r="E43" i="19"/>
  <c r="E44" i="19"/>
  <c r="E45" i="19"/>
  <c r="E46" i="19"/>
  <c r="E47" i="19"/>
  <c r="E48" i="19"/>
  <c r="E49" i="19"/>
  <c r="E50" i="19"/>
  <c r="E51" i="19"/>
  <c r="E52" i="19"/>
  <c r="E53" i="19"/>
  <c r="E54" i="19"/>
  <c r="E55" i="19"/>
  <c r="E56" i="19"/>
  <c r="E57" i="19"/>
  <c r="E58" i="19"/>
  <c r="E59" i="19"/>
  <c r="E60" i="19"/>
  <c r="E61" i="19"/>
  <c r="E62" i="19"/>
  <c r="E63" i="19"/>
  <c r="E64" i="19"/>
  <c r="E65" i="19"/>
  <c r="E66" i="19"/>
  <c r="E67" i="19"/>
  <c r="E68" i="19"/>
  <c r="E69" i="19"/>
  <c r="E70" i="19"/>
  <c r="E71" i="19"/>
  <c r="E72" i="19"/>
  <c r="E73" i="19"/>
  <c r="E74" i="19"/>
  <c r="E75" i="19"/>
  <c r="E76" i="19"/>
  <c r="E77" i="19"/>
  <c r="E78" i="19"/>
  <c r="E79" i="19"/>
  <c r="E80" i="19"/>
  <c r="E81" i="19"/>
  <c r="E82" i="19"/>
  <c r="E83" i="19"/>
  <c r="E84" i="19"/>
  <c r="E85" i="19"/>
  <c r="E86" i="19"/>
  <c r="E87" i="19"/>
  <c r="E88" i="19"/>
  <c r="E89" i="19"/>
  <c r="E90" i="19"/>
  <c r="E91" i="19"/>
  <c r="E92" i="19"/>
  <c r="E93" i="19"/>
  <c r="E94" i="19"/>
  <c r="E95" i="19"/>
  <c r="E96" i="19"/>
  <c r="E97" i="19"/>
  <c r="E98" i="19"/>
  <c r="E99" i="19"/>
  <c r="E100" i="19"/>
  <c r="E101" i="19"/>
  <c r="E102" i="19"/>
  <c r="E103" i="19"/>
  <c r="E104" i="19"/>
  <c r="E105" i="19"/>
  <c r="E106" i="19"/>
  <c r="E107" i="19"/>
  <c r="E108" i="19"/>
  <c r="E109" i="19"/>
  <c r="E110" i="19"/>
  <c r="E111" i="19"/>
  <c r="E112" i="19"/>
  <c r="E113" i="19"/>
  <c r="E114" i="19"/>
  <c r="E115" i="19"/>
  <c r="E116" i="19"/>
  <c r="E117" i="19"/>
  <c r="E118" i="19"/>
  <c r="E119" i="19"/>
  <c r="E120" i="19"/>
  <c r="E121" i="19"/>
  <c r="E122" i="19"/>
  <c r="E123" i="19"/>
  <c r="E124" i="19"/>
  <c r="E125" i="19"/>
  <c r="E126" i="19"/>
  <c r="E127" i="19"/>
  <c r="E128" i="19"/>
  <c r="E129" i="19"/>
  <c r="E130" i="19"/>
  <c r="E131" i="19"/>
  <c r="E132" i="19"/>
  <c r="E133" i="19"/>
  <c r="E134" i="19"/>
  <c r="E135" i="19"/>
  <c r="E136" i="19"/>
  <c r="E137" i="19"/>
  <c r="E138" i="19"/>
  <c r="E139" i="19"/>
  <c r="E140" i="19"/>
  <c r="E141" i="19"/>
  <c r="E142" i="19"/>
  <c r="E143" i="19"/>
  <c r="E144" i="19"/>
  <c r="E145" i="19"/>
  <c r="E146" i="19"/>
  <c r="E147" i="19"/>
  <c r="E148" i="19"/>
  <c r="E149" i="19"/>
  <c r="E150" i="19"/>
  <c r="E151" i="19"/>
  <c r="E152" i="19"/>
  <c r="E153" i="19"/>
  <c r="E154" i="19"/>
  <c r="E155" i="19"/>
  <c r="E156" i="19"/>
  <c r="E157" i="19"/>
  <c r="E158" i="19"/>
  <c r="E159" i="19"/>
  <c r="E160" i="19"/>
  <c r="E161" i="19"/>
  <c r="E162" i="19"/>
  <c r="E163" i="19"/>
  <c r="E164" i="19"/>
  <c r="E165" i="19"/>
  <c r="E166" i="19"/>
  <c r="E167" i="19"/>
  <c r="E168" i="19"/>
  <c r="E169" i="19"/>
  <c r="E170" i="19"/>
  <c r="E171" i="19"/>
  <c r="E172" i="19"/>
  <c r="E173" i="19"/>
  <c r="E174" i="19"/>
  <c r="E175" i="19"/>
  <c r="E176" i="19"/>
  <c r="E177" i="19"/>
  <c r="E178" i="19"/>
  <c r="E179" i="19"/>
  <c r="E180" i="19"/>
  <c r="E181" i="19"/>
  <c r="E182" i="19"/>
  <c r="E183" i="19"/>
  <c r="E184" i="19"/>
  <c r="E185" i="19"/>
  <c r="E186" i="19"/>
  <c r="E187" i="19"/>
  <c r="E188" i="19"/>
  <c r="E189" i="19"/>
  <c r="E190" i="19"/>
  <c r="E191" i="19"/>
  <c r="E192" i="19"/>
  <c r="E193" i="19"/>
  <c r="E194" i="19"/>
  <c r="E195" i="19"/>
  <c r="E196" i="19"/>
  <c r="E197" i="19"/>
  <c r="E198" i="19"/>
  <c r="E199" i="19"/>
  <c r="E200" i="19"/>
  <c r="E201" i="19"/>
  <c r="E202" i="19"/>
  <c r="E203" i="19"/>
  <c r="E204" i="19"/>
  <c r="E205" i="19"/>
  <c r="E206" i="19"/>
  <c r="E207" i="19"/>
  <c r="E208" i="19"/>
  <c r="E209" i="19"/>
  <c r="E210" i="19"/>
  <c r="E211" i="19"/>
  <c r="E212" i="19"/>
  <c r="E213" i="19"/>
  <c r="E214" i="19"/>
  <c r="E215" i="19"/>
  <c r="E216" i="19"/>
  <c r="E217" i="19"/>
  <c r="E218" i="19"/>
  <c r="E219" i="19"/>
  <c r="E220" i="19"/>
  <c r="E221" i="19"/>
  <c r="E222" i="19"/>
  <c r="E223" i="19"/>
  <c r="E224" i="19"/>
  <c r="E225" i="19"/>
  <c r="E226" i="19"/>
  <c r="E227" i="19"/>
  <c r="E228" i="19"/>
  <c r="E229" i="19"/>
  <c r="E230" i="19"/>
  <c r="E231" i="19"/>
  <c r="E232" i="19"/>
  <c r="E233" i="19"/>
  <c r="E234" i="19"/>
  <c r="E235" i="19"/>
  <c r="E236" i="19"/>
  <c r="E237" i="19"/>
  <c r="E238" i="19"/>
  <c r="E239" i="19"/>
  <c r="E240" i="19"/>
  <c r="E241" i="19"/>
  <c r="E242" i="19"/>
  <c r="E243" i="19"/>
  <c r="E244" i="19"/>
  <c r="E245" i="19"/>
  <c r="E246" i="19"/>
  <c r="E247" i="19"/>
  <c r="E248" i="19"/>
  <c r="E249" i="19"/>
  <c r="E250" i="19"/>
  <c r="E251" i="19"/>
  <c r="E252" i="19"/>
  <c r="E253" i="19"/>
  <c r="E254" i="19"/>
  <c r="E3" i="19"/>
  <c r="D87" i="19"/>
  <c r="D88" i="19"/>
  <c r="D89" i="19"/>
  <c r="D90" i="19"/>
  <c r="D91" i="19"/>
  <c r="D92" i="19"/>
  <c r="D93" i="19"/>
  <c r="D94" i="19"/>
  <c r="D95" i="19"/>
  <c r="D96" i="19"/>
  <c r="D97" i="19"/>
  <c r="D98" i="19"/>
  <c r="D99" i="19"/>
  <c r="D100" i="19"/>
  <c r="D101" i="19"/>
  <c r="D102" i="19"/>
  <c r="D103" i="19"/>
  <c r="D104" i="19"/>
  <c r="D105" i="19"/>
  <c r="D106" i="19"/>
  <c r="D107" i="19"/>
  <c r="D108" i="19"/>
  <c r="D109" i="19"/>
  <c r="D110" i="19"/>
  <c r="D111" i="19"/>
  <c r="D112" i="19"/>
  <c r="D113" i="19"/>
  <c r="D114" i="19"/>
  <c r="D115" i="19"/>
  <c r="D116" i="19"/>
  <c r="D117" i="19"/>
  <c r="D118" i="19"/>
  <c r="D119" i="19"/>
  <c r="D120" i="19"/>
  <c r="D121" i="19"/>
  <c r="D122" i="19"/>
  <c r="D123" i="19"/>
  <c r="D124" i="19"/>
  <c r="D125" i="19"/>
  <c r="D126" i="19"/>
  <c r="D127" i="19"/>
  <c r="D128" i="19"/>
  <c r="D129" i="19"/>
  <c r="D130" i="19"/>
  <c r="D131" i="19"/>
  <c r="D132" i="19"/>
  <c r="D133" i="19"/>
  <c r="D134" i="19"/>
  <c r="D135" i="19"/>
  <c r="D136" i="19"/>
  <c r="D137" i="19"/>
  <c r="D138" i="19"/>
  <c r="D139" i="19"/>
  <c r="D140" i="19"/>
  <c r="D141" i="19"/>
  <c r="D142" i="19"/>
  <c r="D143" i="19"/>
  <c r="D144" i="19"/>
  <c r="D145" i="19"/>
  <c r="D146" i="19"/>
  <c r="D147" i="19"/>
  <c r="D148" i="19"/>
  <c r="D149" i="19"/>
  <c r="D150" i="19"/>
  <c r="D151" i="19"/>
  <c r="D152" i="19"/>
  <c r="D153" i="19"/>
  <c r="D154" i="19"/>
  <c r="D155" i="19"/>
  <c r="D156" i="19"/>
  <c r="D157" i="19"/>
  <c r="D158" i="19"/>
  <c r="D159" i="19"/>
  <c r="D160" i="19"/>
  <c r="D161" i="19"/>
  <c r="D162" i="19"/>
  <c r="D163" i="19"/>
  <c r="D164" i="19"/>
  <c r="D165" i="19"/>
  <c r="D166" i="19"/>
  <c r="D167" i="19"/>
  <c r="D168" i="19"/>
  <c r="D169" i="19"/>
  <c r="D170" i="19"/>
  <c r="D171" i="19"/>
  <c r="D172" i="19"/>
  <c r="D173" i="19"/>
  <c r="D174" i="19"/>
  <c r="D175" i="19"/>
  <c r="D176" i="19"/>
  <c r="D177" i="19"/>
  <c r="D178" i="19"/>
  <c r="D179" i="19"/>
  <c r="D180" i="19"/>
  <c r="D181" i="19"/>
  <c r="D182" i="19"/>
  <c r="D183" i="19"/>
  <c r="D184" i="19"/>
  <c r="D185" i="19"/>
  <c r="D186" i="19"/>
  <c r="D187" i="19"/>
  <c r="D188" i="19"/>
  <c r="D189" i="19"/>
  <c r="D190" i="19"/>
  <c r="D191" i="19"/>
  <c r="D192" i="19"/>
  <c r="D193" i="19"/>
  <c r="D194" i="19"/>
  <c r="D195" i="19"/>
  <c r="D196" i="19"/>
  <c r="D197" i="19"/>
  <c r="D198" i="19"/>
  <c r="D199" i="19"/>
  <c r="D200" i="19"/>
  <c r="D201" i="19"/>
  <c r="D202" i="19"/>
  <c r="D203" i="19"/>
  <c r="D204" i="19"/>
  <c r="D205" i="19"/>
  <c r="D206" i="19"/>
  <c r="D207" i="19"/>
  <c r="D208" i="19"/>
  <c r="D209" i="19"/>
  <c r="D210" i="19"/>
  <c r="D211" i="19"/>
  <c r="D212" i="19"/>
  <c r="D213" i="19"/>
  <c r="D214" i="19"/>
  <c r="D215" i="19"/>
  <c r="D216" i="19"/>
  <c r="D217" i="19"/>
  <c r="D218" i="19"/>
  <c r="D219" i="19"/>
  <c r="D220" i="19"/>
  <c r="D221" i="19"/>
  <c r="D222" i="19"/>
  <c r="D223" i="19"/>
  <c r="D224" i="19"/>
  <c r="D225" i="19"/>
  <c r="D226" i="19"/>
  <c r="D227" i="19"/>
  <c r="D228" i="19"/>
  <c r="D229" i="19"/>
  <c r="D230" i="19"/>
  <c r="D231" i="19"/>
  <c r="D232" i="19"/>
  <c r="D233" i="19"/>
  <c r="D234" i="19"/>
  <c r="D235" i="19"/>
  <c r="D236" i="19"/>
  <c r="D237" i="19"/>
  <c r="D238" i="19"/>
  <c r="D239" i="19"/>
  <c r="D240" i="19"/>
  <c r="D241" i="19"/>
  <c r="D242" i="19"/>
  <c r="D243" i="19"/>
  <c r="D244" i="19"/>
  <c r="D245" i="19"/>
  <c r="D246" i="19"/>
  <c r="D247" i="19"/>
  <c r="D248" i="19"/>
  <c r="D249" i="19"/>
  <c r="D250" i="19"/>
  <c r="D251" i="19"/>
  <c r="D252" i="19"/>
  <c r="D253" i="19"/>
  <c r="D254" i="19"/>
  <c r="D4" i="19"/>
  <c r="D5" i="19"/>
  <c r="D6" i="19"/>
  <c r="D7" i="19"/>
  <c r="D8" i="19"/>
  <c r="D9" i="19"/>
  <c r="D10" i="19"/>
  <c r="D11" i="19"/>
  <c r="D12" i="19"/>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D46" i="19"/>
  <c r="D47" i="19"/>
  <c r="D48" i="19"/>
  <c r="D49" i="19"/>
  <c r="D50" i="19"/>
  <c r="D51" i="19"/>
  <c r="D52" i="19"/>
  <c r="D53" i="19"/>
  <c r="D54" i="19"/>
  <c r="D55" i="19"/>
  <c r="D56" i="19"/>
  <c r="D57" i="19"/>
  <c r="D58" i="19"/>
  <c r="D59" i="19"/>
  <c r="D60" i="19"/>
  <c r="D61" i="19"/>
  <c r="D62" i="19"/>
  <c r="D63" i="19"/>
  <c r="D64" i="19"/>
  <c r="D65" i="19"/>
  <c r="D66" i="19"/>
  <c r="D67" i="19"/>
  <c r="D68" i="19"/>
  <c r="D69" i="19"/>
  <c r="D70" i="19"/>
  <c r="D71" i="19"/>
  <c r="D72" i="19"/>
  <c r="D73" i="19"/>
  <c r="D74" i="19"/>
  <c r="D75" i="19"/>
  <c r="D76" i="19"/>
  <c r="D77" i="19"/>
  <c r="D78" i="19"/>
  <c r="D79" i="19"/>
  <c r="D80" i="19"/>
  <c r="D81" i="19"/>
  <c r="D82" i="19"/>
  <c r="D83" i="19"/>
  <c r="D84" i="19"/>
  <c r="D85" i="19"/>
  <c r="D86" i="19"/>
  <c r="D3" i="19"/>
  <c r="F18" i="11"/>
  <c r="B19" i="22"/>
  <c r="C19" i="22"/>
  <c r="D19" i="22"/>
  <c r="E19" i="22"/>
  <c r="F19" i="22"/>
  <c r="F10" i="22"/>
  <c r="C10" i="22"/>
  <c r="D10" i="22"/>
  <c r="E10" i="22"/>
  <c r="E14" i="22" s="1"/>
  <c r="B10" i="22"/>
  <c r="B14" i="22" s="1"/>
  <c r="G10" i="22"/>
  <c r="G14" i="22" s="1"/>
  <c r="C14" i="22"/>
  <c r="D14" i="22"/>
  <c r="F14" i="22"/>
  <c r="G19" i="22"/>
  <c r="F20" i="11" l="1"/>
  <c r="L119" i="25"/>
  <c r="Z119" i="25" s="1"/>
  <c r="Z62" i="25"/>
  <c r="E256" i="19"/>
  <c r="G22" i="19" s="1"/>
  <c r="H22" i="19" s="1"/>
  <c r="D256" i="19"/>
  <c r="G56" i="19"/>
  <c r="H56" i="19" s="1"/>
  <c r="G62" i="19"/>
  <c r="H62" i="19" s="1"/>
  <c r="G190" i="19"/>
  <c r="H190" i="19" s="1"/>
  <c r="G112" i="19"/>
  <c r="H112" i="19" s="1"/>
  <c r="G232" i="19"/>
  <c r="H232" i="19" s="1"/>
  <c r="G197" i="19"/>
  <c r="H197" i="19" s="1"/>
  <c r="G203" i="19" l="1"/>
  <c r="H203" i="19" s="1"/>
  <c r="G109" i="19"/>
  <c r="H109" i="19" s="1"/>
  <c r="G233" i="19"/>
  <c r="H233" i="19" s="1"/>
  <c r="G96" i="19"/>
  <c r="H96" i="19" s="1"/>
  <c r="G114" i="19"/>
  <c r="H114" i="19" s="1"/>
  <c r="G227" i="19"/>
  <c r="H227" i="19" s="1"/>
  <c r="G85" i="19"/>
  <c r="H85" i="19" s="1"/>
  <c r="G18" i="19"/>
  <c r="H18" i="19" s="1"/>
  <c r="G187" i="19"/>
  <c r="H187" i="19" s="1"/>
  <c r="G26" i="19"/>
  <c r="H26" i="19" s="1"/>
  <c r="G174" i="19"/>
  <c r="H174" i="19" s="1"/>
  <c r="G150" i="19"/>
  <c r="H150" i="19" s="1"/>
  <c r="G39" i="19"/>
  <c r="H39" i="19" s="1"/>
  <c r="G216" i="19"/>
  <c r="H216" i="19" s="1"/>
  <c r="G126" i="19"/>
  <c r="H126" i="19" s="1"/>
  <c r="G249" i="19"/>
  <c r="H249" i="19" s="1"/>
  <c r="G92" i="19"/>
  <c r="H92" i="19" s="1"/>
  <c r="G29" i="19"/>
  <c r="H29" i="19" s="1"/>
  <c r="G152" i="19"/>
  <c r="H152" i="19" s="1"/>
  <c r="G207" i="19"/>
  <c r="H207" i="19" s="1"/>
  <c r="G217" i="19"/>
  <c r="H217" i="19" s="1"/>
  <c r="G48" i="19"/>
  <c r="H48" i="19" s="1"/>
  <c r="G32" i="19"/>
  <c r="H32" i="19" s="1"/>
  <c r="G209" i="19"/>
  <c r="H209" i="19" s="1"/>
  <c r="G64" i="19"/>
  <c r="H64" i="19" s="1"/>
  <c r="G132" i="19"/>
  <c r="H132" i="19" s="1"/>
  <c r="G229" i="19"/>
  <c r="H229" i="19" s="1"/>
  <c r="G125" i="19"/>
  <c r="H125" i="19" s="1"/>
  <c r="G218" i="19"/>
  <c r="H218" i="19" s="1"/>
  <c r="G117" i="19"/>
  <c r="H117" i="19" s="1"/>
  <c r="G49" i="19"/>
  <c r="H49" i="19" s="1"/>
  <c r="G168" i="19"/>
  <c r="H168" i="19" s="1"/>
  <c r="G214" i="19"/>
  <c r="H214" i="19" s="1"/>
  <c r="G61" i="19"/>
  <c r="H61" i="19" s="1"/>
  <c r="G107" i="19"/>
  <c r="H107" i="19" s="1"/>
  <c r="G153" i="19"/>
  <c r="H153" i="19" s="1"/>
  <c r="G194" i="19"/>
  <c r="H194" i="19" s="1"/>
  <c r="G86" i="19"/>
  <c r="H86" i="19" s="1"/>
  <c r="G248" i="19"/>
  <c r="H248" i="19" s="1"/>
  <c r="G91" i="19"/>
  <c r="H91" i="19" s="1"/>
  <c r="G158" i="19"/>
  <c r="H158" i="19" s="1"/>
  <c r="G246" i="19"/>
  <c r="H246" i="19" s="1"/>
  <c r="G161" i="19"/>
  <c r="H161" i="19" s="1"/>
  <c r="G252" i="19"/>
  <c r="H252" i="19" s="1"/>
  <c r="G237" i="19"/>
  <c r="H237" i="19" s="1"/>
  <c r="G223" i="19"/>
  <c r="H223" i="19" s="1"/>
  <c r="G94" i="19"/>
  <c r="H94" i="19" s="1"/>
  <c r="G116" i="19"/>
  <c r="H116" i="19" s="1"/>
  <c r="G134" i="19"/>
  <c r="H134" i="19" s="1"/>
  <c r="G57" i="19"/>
  <c r="H57" i="19" s="1"/>
  <c r="G173" i="19"/>
  <c r="H173" i="19" s="1"/>
  <c r="G23" i="19"/>
  <c r="H23" i="19" s="1"/>
  <c r="G129" i="19"/>
  <c r="H129" i="19" s="1"/>
  <c r="G6" i="19"/>
  <c r="H6" i="19" s="1"/>
  <c r="G220" i="19"/>
  <c r="H220" i="19" s="1"/>
  <c r="G43" i="19"/>
  <c r="H43" i="19" s="1"/>
  <c r="G212" i="19"/>
  <c r="H212" i="19" s="1"/>
  <c r="G110" i="19"/>
  <c r="H110" i="19" s="1"/>
  <c r="G35" i="19"/>
  <c r="H35" i="19" s="1"/>
  <c r="G164" i="19"/>
  <c r="H164" i="19" s="1"/>
  <c r="G93" i="19"/>
  <c r="H93" i="19" s="1"/>
  <c r="G8" i="19"/>
  <c r="H8" i="19" s="1"/>
  <c r="G196" i="19"/>
  <c r="H196" i="19" s="1"/>
  <c r="G68" i="19"/>
  <c r="H68" i="19" s="1"/>
  <c r="G144" i="19"/>
  <c r="H144" i="19" s="1"/>
  <c r="G11" i="19"/>
  <c r="H11" i="19" s="1"/>
  <c r="G106" i="19"/>
  <c r="H106" i="19" s="1"/>
  <c r="G19" i="19"/>
  <c r="H19" i="19" s="1"/>
  <c r="G52" i="19"/>
  <c r="H52" i="19" s="1"/>
  <c r="G98" i="19"/>
  <c r="H98" i="19" s="1"/>
  <c r="G133" i="19"/>
  <c r="H133" i="19" s="1"/>
  <c r="G192" i="19"/>
  <c r="H192" i="19" s="1"/>
  <c r="G31" i="19"/>
  <c r="H31" i="19" s="1"/>
  <c r="G210" i="19"/>
  <c r="H210" i="19" s="1"/>
  <c r="G120" i="19"/>
  <c r="H120" i="19" s="1"/>
  <c r="G172" i="19"/>
  <c r="H172" i="19" s="1"/>
  <c r="G251" i="19"/>
  <c r="H251" i="19" s="1"/>
  <c r="G221" i="19"/>
  <c r="H221" i="19" s="1"/>
  <c r="G90" i="19"/>
  <c r="H90" i="19" s="1"/>
  <c r="G181" i="19"/>
  <c r="H181" i="19" s="1"/>
  <c r="G160" i="19"/>
  <c r="H160" i="19" s="1"/>
  <c r="G95" i="19"/>
  <c r="H95" i="19" s="1"/>
  <c r="G225" i="19"/>
  <c r="H225" i="19" s="1"/>
  <c r="G79" i="19"/>
  <c r="H79" i="19" s="1"/>
  <c r="G137" i="19"/>
  <c r="H137" i="19" s="1"/>
  <c r="G124" i="19"/>
  <c r="H124" i="19" s="1"/>
  <c r="G42" i="19"/>
  <c r="H42" i="19" s="1"/>
  <c r="G88" i="19"/>
  <c r="H88" i="19" s="1"/>
  <c r="G47" i="19"/>
  <c r="H47" i="19" s="1"/>
  <c r="G243" i="19"/>
  <c r="H243" i="19" s="1"/>
  <c r="G166" i="19"/>
  <c r="H166" i="19" s="1"/>
  <c r="G36" i="19"/>
  <c r="H36" i="19" s="1"/>
  <c r="G108" i="19"/>
  <c r="H108" i="19" s="1"/>
  <c r="G77" i="19"/>
  <c r="H77" i="19" s="1"/>
  <c r="G73" i="19"/>
  <c r="H73" i="19" s="1"/>
  <c r="G178" i="19"/>
  <c r="H178" i="19" s="1"/>
  <c r="G83" i="19"/>
  <c r="H83" i="19" s="1"/>
  <c r="G55" i="19"/>
  <c r="H55" i="19" s="1"/>
  <c r="G16" i="19"/>
  <c r="H16" i="19" s="1"/>
  <c r="G171" i="19"/>
  <c r="H171" i="19" s="1"/>
  <c r="G10" i="19"/>
  <c r="H10" i="19" s="1"/>
  <c r="G183" i="19"/>
  <c r="H183" i="19" s="1"/>
  <c r="G69" i="19"/>
  <c r="H69" i="19" s="1"/>
  <c r="G193" i="19"/>
  <c r="H193" i="19" s="1"/>
  <c r="G82" i="19"/>
  <c r="H82" i="19" s="1"/>
  <c r="G253" i="19"/>
  <c r="H253" i="19" s="1"/>
  <c r="G76" i="19"/>
  <c r="H76" i="19" s="1"/>
  <c r="G155" i="19"/>
  <c r="H155" i="19" s="1"/>
  <c r="G250" i="19"/>
  <c r="H250" i="19" s="1"/>
  <c r="G50" i="19"/>
  <c r="H50" i="19" s="1"/>
  <c r="G127" i="19"/>
  <c r="H127" i="19" s="1"/>
  <c r="G163" i="19"/>
  <c r="H163" i="19" s="1"/>
  <c r="G5" i="19"/>
  <c r="H5" i="19" s="1"/>
  <c r="G165" i="19"/>
  <c r="H165" i="19" s="1"/>
  <c r="G60" i="19"/>
  <c r="H60" i="19" s="1"/>
  <c r="G234" i="19"/>
  <c r="H234" i="19" s="1"/>
  <c r="G65" i="19"/>
  <c r="H65" i="19" s="1"/>
  <c r="G72" i="19"/>
  <c r="H72" i="19" s="1"/>
  <c r="G241" i="19"/>
  <c r="H241" i="19" s="1"/>
  <c r="G121" i="19"/>
  <c r="H121" i="19" s="1"/>
  <c r="G123" i="19"/>
  <c r="H123" i="19" s="1"/>
  <c r="G175" i="19"/>
  <c r="H175" i="19" s="1"/>
  <c r="G115" i="19"/>
  <c r="H115" i="19" s="1"/>
  <c r="G185" i="19"/>
  <c r="H185" i="19" s="1"/>
  <c r="G202" i="19"/>
  <c r="H202" i="19" s="1"/>
  <c r="G247" i="19"/>
  <c r="H247" i="19" s="1"/>
  <c r="G128" i="19"/>
  <c r="H128" i="19" s="1"/>
  <c r="G191" i="19"/>
  <c r="H191" i="19" s="1"/>
  <c r="G12" i="19"/>
  <c r="H12" i="19" s="1"/>
  <c r="G186" i="19"/>
  <c r="H186" i="19" s="1"/>
  <c r="G15" i="19"/>
  <c r="H15" i="19" s="1"/>
  <c r="G34" i="19"/>
  <c r="H34" i="19" s="1"/>
  <c r="G63" i="19"/>
  <c r="H63" i="19" s="1"/>
  <c r="G101" i="19"/>
  <c r="H101" i="19" s="1"/>
  <c r="G170" i="19"/>
  <c r="H170" i="19" s="1"/>
  <c r="G24" i="19"/>
  <c r="H24" i="19" s="1"/>
  <c r="G7" i="19"/>
  <c r="H7" i="19" s="1"/>
  <c r="G208" i="19"/>
  <c r="H208" i="19" s="1"/>
  <c r="G59" i="19"/>
  <c r="H59" i="19" s="1"/>
  <c r="G119" i="19"/>
  <c r="H119" i="19" s="1"/>
  <c r="G67" i="19"/>
  <c r="H67" i="19" s="1"/>
  <c r="G184" i="19"/>
  <c r="H184" i="19" s="1"/>
  <c r="G66" i="19"/>
  <c r="H66" i="19" s="1"/>
  <c r="G51" i="19"/>
  <c r="H51" i="19" s="1"/>
  <c r="G242" i="19"/>
  <c r="H242" i="19" s="1"/>
  <c r="G84" i="19"/>
  <c r="H84" i="19" s="1"/>
  <c r="G204" i="19"/>
  <c r="H204" i="19" s="1"/>
  <c r="G27" i="19"/>
  <c r="H27" i="19" s="1"/>
  <c r="G122" i="19"/>
  <c r="H122" i="19" s="1"/>
  <c r="G255" i="19"/>
  <c r="H255" i="19" s="1"/>
  <c r="G103" i="19"/>
  <c r="H103" i="19" s="1"/>
  <c r="G230" i="19"/>
  <c r="H230" i="19" s="1"/>
  <c r="G45" i="19"/>
  <c r="H45" i="19" s="1"/>
  <c r="G182" i="19"/>
  <c r="H182" i="19" s="1"/>
  <c r="G131" i="19"/>
  <c r="H131" i="19" s="1"/>
  <c r="G169" i="19"/>
  <c r="H169" i="19" s="1"/>
  <c r="G162" i="19"/>
  <c r="H162" i="19" s="1"/>
  <c r="G4" i="19"/>
  <c r="H4" i="19" s="1"/>
  <c r="G146" i="19"/>
  <c r="H146" i="19" s="1"/>
  <c r="G100" i="19"/>
  <c r="H100" i="19" s="1"/>
  <c r="G156" i="19"/>
  <c r="H156" i="19" s="1"/>
  <c r="G235" i="19"/>
  <c r="H235" i="19" s="1"/>
  <c r="G205" i="19"/>
  <c r="H205" i="19" s="1"/>
  <c r="G74" i="19"/>
  <c r="H74" i="19" s="1"/>
  <c r="G224" i="19"/>
  <c r="H224" i="19" s="1"/>
  <c r="G245" i="19"/>
  <c r="H245" i="19" s="1"/>
  <c r="G213" i="19"/>
  <c r="H213" i="19" s="1"/>
  <c r="G25" i="19"/>
  <c r="H25" i="19" s="1"/>
  <c r="G118" i="19"/>
  <c r="H118" i="19" s="1"/>
  <c r="G177" i="19"/>
  <c r="H177" i="19" s="1"/>
  <c r="G238" i="19"/>
  <c r="H238" i="19" s="1"/>
  <c r="G21" i="19"/>
  <c r="H21" i="19" s="1"/>
  <c r="G226" i="19"/>
  <c r="H226" i="19" s="1"/>
  <c r="G99" i="19"/>
  <c r="H99" i="19" s="1"/>
  <c r="G38" i="19"/>
  <c r="H38" i="19" s="1"/>
  <c r="G189" i="19"/>
  <c r="H189" i="19" s="1"/>
  <c r="G139" i="19"/>
  <c r="H139" i="19" s="1"/>
  <c r="G41" i="19"/>
  <c r="H41" i="19" s="1"/>
  <c r="G89" i="19"/>
  <c r="H89" i="19" s="1"/>
  <c r="G206" i="19"/>
  <c r="H206" i="19" s="1"/>
  <c r="G136" i="19"/>
  <c r="H136" i="19" s="1"/>
  <c r="G44" i="19"/>
  <c r="H44" i="19" s="1"/>
  <c r="G104" i="19"/>
  <c r="H104" i="19" s="1"/>
  <c r="G143" i="19"/>
  <c r="H143" i="19" s="1"/>
  <c r="G113" i="19"/>
  <c r="H113" i="19" s="1"/>
  <c r="G81" i="19"/>
  <c r="H81" i="19" s="1"/>
  <c r="G28" i="19"/>
  <c r="H28" i="19" s="1"/>
  <c r="G147" i="19"/>
  <c r="H147" i="19" s="1"/>
  <c r="G179" i="19"/>
  <c r="H179" i="19" s="1"/>
  <c r="G198" i="19"/>
  <c r="H198" i="19" s="1"/>
  <c r="G145" i="19"/>
  <c r="H145" i="19" s="1"/>
  <c r="G13" i="19"/>
  <c r="H13" i="19" s="1"/>
  <c r="G180" i="19"/>
  <c r="H180" i="19" s="1"/>
  <c r="G222" i="19"/>
  <c r="H222" i="19" s="1"/>
  <c r="G231" i="19"/>
  <c r="H231" i="19" s="1"/>
  <c r="G228" i="19"/>
  <c r="H228" i="19" s="1"/>
  <c r="G75" i="19"/>
  <c r="H75" i="19" s="1"/>
  <c r="G200" i="19"/>
  <c r="H200" i="19" s="1"/>
  <c r="G14" i="19"/>
  <c r="H14" i="19" s="1"/>
  <c r="G33" i="19"/>
  <c r="H33" i="19" s="1"/>
  <c r="G236" i="19"/>
  <c r="H236" i="19" s="1"/>
  <c r="G154" i="19"/>
  <c r="H154" i="19" s="1"/>
  <c r="G176" i="19"/>
  <c r="H176" i="19" s="1"/>
  <c r="G195" i="19"/>
  <c r="H195" i="19" s="1"/>
  <c r="G40" i="19"/>
  <c r="H40" i="19" s="1"/>
  <c r="G111" i="19"/>
  <c r="H111" i="19" s="1"/>
  <c r="G37" i="19"/>
  <c r="H37" i="19" s="1"/>
  <c r="G141" i="19"/>
  <c r="H141" i="19" s="1"/>
  <c r="G138" i="19"/>
  <c r="H138" i="19" s="1"/>
  <c r="G201" i="19"/>
  <c r="H201" i="19" s="1"/>
  <c r="G78" i="19"/>
  <c r="H78" i="19" s="1"/>
  <c r="G70" i="19"/>
  <c r="H70" i="19" s="1"/>
  <c r="G17" i="19"/>
  <c r="H17" i="19" s="1"/>
  <c r="G105" i="19"/>
  <c r="H105" i="19" s="1"/>
  <c r="G149" i="19"/>
  <c r="H149" i="19" s="1"/>
  <c r="G130" i="19"/>
  <c r="H130" i="19" s="1"/>
  <c r="G215" i="19"/>
  <c r="H215" i="19" s="1"/>
  <c r="G54" i="19"/>
  <c r="H54" i="19" s="1"/>
  <c r="G188" i="19"/>
  <c r="H188" i="19" s="1"/>
  <c r="G148" i="19"/>
  <c r="H148" i="19" s="1"/>
  <c r="G87" i="19"/>
  <c r="H87" i="19" s="1"/>
  <c r="G46" i="19"/>
  <c r="H46" i="19" s="1"/>
  <c r="G167" i="19"/>
  <c r="H167" i="19" s="1"/>
  <c r="G199" i="19"/>
  <c r="H199" i="19" s="1"/>
  <c r="G135" i="19"/>
  <c r="H135" i="19" s="1"/>
  <c r="G254" i="19"/>
  <c r="H254" i="19" s="1"/>
  <c r="G102" i="19"/>
  <c r="H102" i="19" s="1"/>
  <c r="G80" i="19"/>
  <c r="H80" i="19" s="1"/>
  <c r="G140" i="19"/>
  <c r="H140" i="19" s="1"/>
  <c r="G219" i="19"/>
  <c r="H219" i="19" s="1"/>
  <c r="G157" i="19"/>
  <c r="H157" i="19" s="1"/>
  <c r="G58" i="19"/>
  <c r="H58" i="19" s="1"/>
  <c r="G151" i="19"/>
  <c r="H151" i="19" s="1"/>
  <c r="G9" i="19"/>
  <c r="H9" i="19" s="1"/>
  <c r="G53" i="19"/>
  <c r="H53" i="19" s="1"/>
  <c r="G71" i="19"/>
  <c r="H71" i="19" s="1"/>
  <c r="G240" i="19"/>
  <c r="H240" i="19" s="1"/>
  <c r="G3" i="19"/>
  <c r="H3" i="19" s="1"/>
  <c r="G159" i="19"/>
  <c r="H159" i="19" s="1"/>
  <c r="G20" i="19"/>
  <c r="H20" i="19" s="1"/>
  <c r="G239" i="19"/>
  <c r="H239" i="19" s="1"/>
  <c r="G211" i="19"/>
  <c r="H211" i="19" s="1"/>
  <c r="G97" i="19"/>
  <c r="H97" i="19" s="1"/>
  <c r="G30" i="19"/>
  <c r="H30" i="19" s="1"/>
  <c r="G244" i="19"/>
  <c r="H244" i="19" s="1"/>
  <c r="G142" i="19"/>
  <c r="H142" i="19" s="1"/>
  <c r="F13" i="19"/>
  <c r="F29" i="19"/>
  <c r="I29" i="19" s="1"/>
  <c r="F45" i="19"/>
  <c r="I45" i="19" s="1"/>
  <c r="F61" i="19"/>
  <c r="I61" i="19" s="1"/>
  <c r="F77" i="19"/>
  <c r="F93" i="19"/>
  <c r="F109" i="19"/>
  <c r="I109" i="19" s="1"/>
  <c r="F125" i="19"/>
  <c r="I125" i="19" s="1"/>
  <c r="F141" i="19"/>
  <c r="F157" i="19"/>
  <c r="I157" i="19" s="1"/>
  <c r="F173" i="19"/>
  <c r="I173" i="19" s="1"/>
  <c r="F189" i="19"/>
  <c r="F205" i="19"/>
  <c r="I205" i="19" s="1"/>
  <c r="F221" i="19"/>
  <c r="F237" i="19"/>
  <c r="F253" i="19"/>
  <c r="F223" i="19"/>
  <c r="F16" i="19"/>
  <c r="I16" i="19" s="1"/>
  <c r="F64" i="19"/>
  <c r="I64" i="19" s="1"/>
  <c r="F112" i="19"/>
  <c r="I112" i="19" s="1"/>
  <c r="F14" i="19"/>
  <c r="I14" i="19" s="1"/>
  <c r="F30" i="19"/>
  <c r="I30" i="19" s="1"/>
  <c r="F46" i="19"/>
  <c r="F62" i="19"/>
  <c r="I62" i="19" s="1"/>
  <c r="F78" i="19"/>
  <c r="I78" i="19" s="1"/>
  <c r="F94" i="19"/>
  <c r="I94" i="19" s="1"/>
  <c r="F110" i="19"/>
  <c r="F126" i="19"/>
  <c r="F142" i="19"/>
  <c r="F158" i="19"/>
  <c r="F174" i="19"/>
  <c r="F190" i="19"/>
  <c r="I190" i="19" s="1"/>
  <c r="F206" i="19"/>
  <c r="I206" i="19" s="1"/>
  <c r="F222" i="19"/>
  <c r="I222" i="19" s="1"/>
  <c r="F238" i="19"/>
  <c r="F254" i="19"/>
  <c r="I254" i="19" s="1"/>
  <c r="F207" i="19"/>
  <c r="I207" i="19" s="1"/>
  <c r="F32" i="19"/>
  <c r="I32" i="19" s="1"/>
  <c r="F15" i="19"/>
  <c r="I15" i="19" s="1"/>
  <c r="F31" i="19"/>
  <c r="I31" i="19" s="1"/>
  <c r="F47" i="19"/>
  <c r="I47" i="19" s="1"/>
  <c r="F63" i="19"/>
  <c r="I63" i="19" s="1"/>
  <c r="F79" i="19"/>
  <c r="I79" i="19" s="1"/>
  <c r="F95" i="19"/>
  <c r="I95" i="19" s="1"/>
  <c r="F111" i="19"/>
  <c r="F127" i="19"/>
  <c r="F143" i="19"/>
  <c r="F159" i="19"/>
  <c r="F175" i="19"/>
  <c r="F191" i="19"/>
  <c r="F239" i="19"/>
  <c r="I239" i="19" s="1"/>
  <c r="F255" i="19"/>
  <c r="I255" i="19" s="1"/>
  <c r="F48" i="19"/>
  <c r="I48" i="19" s="1"/>
  <c r="F96" i="19"/>
  <c r="I96" i="19" s="1"/>
  <c r="F19" i="19"/>
  <c r="I19" i="19" s="1"/>
  <c r="F39" i="19"/>
  <c r="I39" i="19" s="1"/>
  <c r="F59" i="19"/>
  <c r="I59" i="19" s="1"/>
  <c r="F82" i="19"/>
  <c r="I82" i="19" s="1"/>
  <c r="F102" i="19"/>
  <c r="I102" i="19" s="1"/>
  <c r="F122" i="19"/>
  <c r="F144" i="19"/>
  <c r="I144" i="19" s="1"/>
  <c r="F163" i="19"/>
  <c r="F182" i="19"/>
  <c r="F201" i="19"/>
  <c r="I201" i="19" s="1"/>
  <c r="F220" i="19"/>
  <c r="I220" i="19" s="1"/>
  <c r="F242" i="19"/>
  <c r="I242" i="19" s="1"/>
  <c r="F40" i="19"/>
  <c r="F103" i="19"/>
  <c r="I103" i="19" s="1"/>
  <c r="F123" i="19"/>
  <c r="I123" i="19" s="1"/>
  <c r="F164" i="19"/>
  <c r="I164" i="19" s="1"/>
  <c r="F202" i="19"/>
  <c r="I202" i="19" s="1"/>
  <c r="F243" i="19"/>
  <c r="I243" i="19" s="1"/>
  <c r="F21" i="19"/>
  <c r="I21" i="19" s="1"/>
  <c r="F65" i="19"/>
  <c r="I65" i="19" s="1"/>
  <c r="F104" i="19"/>
  <c r="F146" i="19"/>
  <c r="F203" i="19"/>
  <c r="I203" i="19" s="1"/>
  <c r="F244" i="19"/>
  <c r="F20" i="19"/>
  <c r="F60" i="19"/>
  <c r="I60" i="19" s="1"/>
  <c r="F83" i="19"/>
  <c r="I83" i="19" s="1"/>
  <c r="F145" i="19"/>
  <c r="F183" i="19"/>
  <c r="I183" i="19" s="1"/>
  <c r="F224" i="19"/>
  <c r="I224" i="19" s="1"/>
  <c r="F41" i="19"/>
  <c r="I41" i="19" s="1"/>
  <c r="F84" i="19"/>
  <c r="I84" i="19" s="1"/>
  <c r="F124" i="19"/>
  <c r="I124" i="19" s="1"/>
  <c r="F165" i="19"/>
  <c r="I165" i="19" s="1"/>
  <c r="F184" i="19"/>
  <c r="I184" i="19" s="1"/>
  <c r="F225" i="19"/>
  <c r="I225" i="19" s="1"/>
  <c r="F11" i="19"/>
  <c r="I11" i="19" s="1"/>
  <c r="F38" i="19"/>
  <c r="F68" i="19"/>
  <c r="F90" i="19"/>
  <c r="F117" i="19"/>
  <c r="F139" i="19"/>
  <c r="I139" i="19" s="1"/>
  <c r="F167" i="19"/>
  <c r="F192" i="19"/>
  <c r="I192" i="19" s="1"/>
  <c r="F214" i="19"/>
  <c r="I214" i="19" s="1"/>
  <c r="F236" i="19"/>
  <c r="I236" i="19" s="1"/>
  <c r="F12" i="19"/>
  <c r="I12" i="19" s="1"/>
  <c r="F42" i="19"/>
  <c r="I42" i="19" s="1"/>
  <c r="F69" i="19"/>
  <c r="I69" i="19" s="1"/>
  <c r="F91" i="19"/>
  <c r="I91" i="19" s="1"/>
  <c r="F118" i="19"/>
  <c r="I118" i="19" s="1"/>
  <c r="F140" i="19"/>
  <c r="I140" i="19" s="1"/>
  <c r="F168" i="19"/>
  <c r="F193" i="19"/>
  <c r="F215" i="19"/>
  <c r="F240" i="19"/>
  <c r="F216" i="19"/>
  <c r="F241" i="19"/>
  <c r="F17" i="19"/>
  <c r="I17" i="19" s="1"/>
  <c r="F43" i="19"/>
  <c r="I43" i="19" s="1"/>
  <c r="F70" i="19"/>
  <c r="I70" i="19" s="1"/>
  <c r="F92" i="19"/>
  <c r="I92" i="19" s="1"/>
  <c r="F119" i="19"/>
  <c r="F147" i="19"/>
  <c r="I147" i="19" s="1"/>
  <c r="F169" i="19"/>
  <c r="I169" i="19" s="1"/>
  <c r="F194" i="19"/>
  <c r="I194" i="19" s="1"/>
  <c r="F7" i="19"/>
  <c r="I7" i="19" s="1"/>
  <c r="F37" i="19"/>
  <c r="I37" i="19" s="1"/>
  <c r="F73" i="19"/>
  <c r="F105" i="19"/>
  <c r="F134" i="19"/>
  <c r="I134" i="19" s="1"/>
  <c r="F162" i="19"/>
  <c r="F196" i="19"/>
  <c r="F227" i="19"/>
  <c r="I227" i="19" s="1"/>
  <c r="F252" i="19"/>
  <c r="F8" i="19"/>
  <c r="F44" i="19"/>
  <c r="I44" i="19" s="1"/>
  <c r="F74" i="19"/>
  <c r="I74" i="19" s="1"/>
  <c r="F106" i="19"/>
  <c r="I106" i="19" s="1"/>
  <c r="F135" i="19"/>
  <c r="I135" i="19" s="1"/>
  <c r="F166" i="19"/>
  <c r="I166" i="19" s="1"/>
  <c r="F197" i="19"/>
  <c r="I197" i="19" s="1"/>
  <c r="F228" i="19"/>
  <c r="I228" i="19" s="1"/>
  <c r="F50" i="19"/>
  <c r="I50" i="19" s="1"/>
  <c r="F108" i="19"/>
  <c r="F171" i="19"/>
  <c r="I171" i="19" s="1"/>
  <c r="F230" i="19"/>
  <c r="F18" i="19"/>
  <c r="F113" i="19"/>
  <c r="F172" i="19"/>
  <c r="F231" i="19"/>
  <c r="I231" i="19" s="1"/>
  <c r="F22" i="19"/>
  <c r="I22" i="19" s="1"/>
  <c r="F81" i="19"/>
  <c r="F148" i="19"/>
  <c r="F204" i="19"/>
  <c r="I204" i="19" s="1"/>
  <c r="F23" i="19"/>
  <c r="I23" i="19" s="1"/>
  <c r="F85" i="19"/>
  <c r="I85" i="19" s="1"/>
  <c r="F149" i="19"/>
  <c r="I149" i="19" s="1"/>
  <c r="F208" i="19"/>
  <c r="I208" i="19" s="1"/>
  <c r="F24" i="19"/>
  <c r="I24" i="19" s="1"/>
  <c r="F86" i="19"/>
  <c r="F150" i="19"/>
  <c r="F209" i="19"/>
  <c r="F25" i="19"/>
  <c r="F55" i="19"/>
  <c r="I55" i="19" s="1"/>
  <c r="F120" i="19"/>
  <c r="F179" i="19"/>
  <c r="F235" i="19"/>
  <c r="I235" i="19" s="1"/>
  <c r="F56" i="19"/>
  <c r="I56" i="19" s="1"/>
  <c r="F121" i="19"/>
  <c r="I121" i="19" s="1"/>
  <c r="F180" i="19"/>
  <c r="I180" i="19" s="1"/>
  <c r="F245" i="19"/>
  <c r="I245" i="19" s="1"/>
  <c r="F27" i="19"/>
  <c r="I27" i="19" s="1"/>
  <c r="F89" i="19"/>
  <c r="I89" i="19" s="1"/>
  <c r="F181" i="19"/>
  <c r="F246" i="19"/>
  <c r="I246" i="19" s="1"/>
  <c r="F154" i="19"/>
  <c r="F247" i="19"/>
  <c r="F9" i="19"/>
  <c r="F49" i="19"/>
  <c r="F75" i="19"/>
  <c r="I75" i="19" s="1"/>
  <c r="F107" i="19"/>
  <c r="I107" i="19" s="1"/>
  <c r="F136" i="19"/>
  <c r="I136" i="19" s="1"/>
  <c r="F170" i="19"/>
  <c r="I170" i="19" s="1"/>
  <c r="F198" i="19"/>
  <c r="F229" i="19"/>
  <c r="F10" i="19"/>
  <c r="I10" i="19" s="1"/>
  <c r="F76" i="19"/>
  <c r="I76" i="19" s="1"/>
  <c r="F137" i="19"/>
  <c r="I137" i="19" s="1"/>
  <c r="F199" i="19"/>
  <c r="F51" i="19"/>
  <c r="F80" i="19"/>
  <c r="I80" i="19" s="1"/>
  <c r="F138" i="19"/>
  <c r="I138" i="19" s="1"/>
  <c r="F200" i="19"/>
  <c r="F52" i="19"/>
  <c r="F114" i="19"/>
  <c r="F176" i="19"/>
  <c r="F232" i="19"/>
  <c r="I232" i="19" s="1"/>
  <c r="F53" i="19"/>
  <c r="F115" i="19"/>
  <c r="F177" i="19"/>
  <c r="F233" i="19"/>
  <c r="I233" i="19" s="1"/>
  <c r="F54" i="19"/>
  <c r="I54" i="19" s="1"/>
  <c r="F116" i="19"/>
  <c r="F178" i="19"/>
  <c r="F234" i="19"/>
  <c r="I234" i="19" s="1"/>
  <c r="F87" i="19"/>
  <c r="I87" i="19" s="1"/>
  <c r="F151" i="19"/>
  <c r="I151" i="19" s="1"/>
  <c r="F210" i="19"/>
  <c r="F26" i="19"/>
  <c r="F88" i="19"/>
  <c r="F152" i="19"/>
  <c r="I152" i="19" s="1"/>
  <c r="F211" i="19"/>
  <c r="I211" i="19" s="1"/>
  <c r="F57" i="19"/>
  <c r="I57" i="19" s="1"/>
  <c r="F128" i="19"/>
  <c r="F153" i="19"/>
  <c r="I153" i="19" s="1"/>
  <c r="F212" i="19"/>
  <c r="I212" i="19" s="1"/>
  <c r="F28" i="19"/>
  <c r="F58" i="19"/>
  <c r="I58" i="19" s="1"/>
  <c r="F97" i="19"/>
  <c r="I97" i="19" s="1"/>
  <c r="F129" i="19"/>
  <c r="I129" i="19" s="1"/>
  <c r="F185" i="19"/>
  <c r="I185" i="19" s="1"/>
  <c r="F213" i="19"/>
  <c r="I213" i="19" s="1"/>
  <c r="F66" i="19"/>
  <c r="I66" i="19" s="1"/>
  <c r="F186" i="19"/>
  <c r="I186" i="19" s="1"/>
  <c r="F67" i="19"/>
  <c r="F187" i="19"/>
  <c r="F71" i="19"/>
  <c r="F195" i="19"/>
  <c r="F98" i="19"/>
  <c r="I98" i="19" s="1"/>
  <c r="F219" i="19"/>
  <c r="I219" i="19" s="1"/>
  <c r="F101" i="19"/>
  <c r="I101" i="19" s="1"/>
  <c r="F248" i="19"/>
  <c r="I248" i="19" s="1"/>
  <c r="F131" i="19"/>
  <c r="F5" i="19"/>
  <c r="I5" i="19" s="1"/>
  <c r="F250" i="19"/>
  <c r="F251" i="19"/>
  <c r="I251" i="19" s="1"/>
  <c r="F155" i="19"/>
  <c r="I155" i="19" s="1"/>
  <c r="F35" i="19"/>
  <c r="I35" i="19" s="1"/>
  <c r="F160" i="19"/>
  <c r="I160" i="19" s="1"/>
  <c r="F161" i="19"/>
  <c r="F188" i="19"/>
  <c r="F72" i="19"/>
  <c r="F217" i="19"/>
  <c r="F99" i="19"/>
  <c r="F218" i="19"/>
  <c r="F100" i="19"/>
  <c r="F226" i="19"/>
  <c r="F130" i="19"/>
  <c r="I130" i="19" s="1"/>
  <c r="F4" i="19"/>
  <c r="F249" i="19"/>
  <c r="F132" i="19"/>
  <c r="I132" i="19" s="1"/>
  <c r="F6" i="19"/>
  <c r="I6" i="19" s="1"/>
  <c r="F133" i="19"/>
  <c r="I133" i="19" s="1"/>
  <c r="F33" i="19"/>
  <c r="I33" i="19" s="1"/>
  <c r="F34" i="19"/>
  <c r="I34" i="19" s="1"/>
  <c r="F156" i="19"/>
  <c r="I156" i="19" s="1"/>
  <c r="F36" i="19"/>
  <c r="F3" i="19"/>
  <c r="B142" i="7"/>
  <c r="E246" i="10" s="1"/>
  <c r="I181" i="19" l="1"/>
  <c r="I178" i="19"/>
  <c r="I250" i="19"/>
  <c r="I249" i="19"/>
  <c r="I4" i="19"/>
  <c r="I177" i="19"/>
  <c r="I238" i="19"/>
  <c r="I8" i="19"/>
  <c r="I100" i="19"/>
  <c r="I13" i="19"/>
  <c r="I159" i="19"/>
  <c r="I253" i="19"/>
  <c r="I176" i="19"/>
  <c r="I113" i="19"/>
  <c r="I20" i="19"/>
  <c r="I174" i="19"/>
  <c r="I217" i="19"/>
  <c r="I71" i="19"/>
  <c r="I114" i="19"/>
  <c r="I49" i="19"/>
  <c r="I25" i="19"/>
  <c r="I18" i="19"/>
  <c r="I162" i="19"/>
  <c r="I240" i="19"/>
  <c r="I90" i="19"/>
  <c r="I244" i="19"/>
  <c r="I163" i="19"/>
  <c r="I127" i="19"/>
  <c r="I158" i="19"/>
  <c r="I221" i="19"/>
  <c r="H258" i="19"/>
  <c r="I93" i="19"/>
  <c r="I28" i="19"/>
  <c r="I81" i="19"/>
  <c r="I145" i="19"/>
  <c r="I53" i="19"/>
  <c r="I252" i="19"/>
  <c r="I175" i="19"/>
  <c r="I172" i="19"/>
  <c r="I99" i="19"/>
  <c r="I117" i="19"/>
  <c r="I3" i="19"/>
  <c r="I72" i="19"/>
  <c r="I187" i="19"/>
  <c r="I88" i="19"/>
  <c r="I52" i="19"/>
  <c r="I9" i="19"/>
  <c r="I257" i="19" s="1"/>
  <c r="I260" i="19" s="1"/>
  <c r="H262" i="19" s="1"/>
  <c r="F27" i="11" s="1"/>
  <c r="E5" i="18" s="1"/>
  <c r="I209" i="19"/>
  <c r="I230" i="19"/>
  <c r="I215" i="19"/>
  <c r="I68" i="19"/>
  <c r="I111" i="19"/>
  <c r="I141" i="19"/>
  <c r="I116" i="19"/>
  <c r="I77" i="19"/>
  <c r="I229" i="19"/>
  <c r="I148" i="19"/>
  <c r="I198" i="19"/>
  <c r="I40" i="19"/>
  <c r="I226" i="19"/>
  <c r="I191" i="19"/>
  <c r="I128" i="19"/>
  <c r="I223" i="19"/>
  <c r="H257" i="19"/>
  <c r="H259" i="19" s="1"/>
  <c r="I195" i="19"/>
  <c r="I196" i="19"/>
  <c r="I182" i="19"/>
  <c r="I237" i="19"/>
  <c r="I36" i="19"/>
  <c r="I188" i="19"/>
  <c r="I67" i="19"/>
  <c r="I26" i="19"/>
  <c r="I200" i="19"/>
  <c r="I247" i="19"/>
  <c r="I150" i="19"/>
  <c r="I105" i="19"/>
  <c r="I193" i="19"/>
  <c r="I38" i="19"/>
  <c r="I146" i="19"/>
  <c r="I122" i="19"/>
  <c r="I126" i="19"/>
  <c r="I189" i="19"/>
  <c r="I51" i="19"/>
  <c r="I199" i="19"/>
  <c r="I46" i="19"/>
  <c r="I119" i="19"/>
  <c r="I131" i="19"/>
  <c r="I115" i="19"/>
  <c r="I179" i="19"/>
  <c r="I167" i="19"/>
  <c r="I218" i="19"/>
  <c r="I120" i="19"/>
  <c r="I241" i="19"/>
  <c r="I216" i="19"/>
  <c r="I143" i="19"/>
  <c r="I161" i="19"/>
  <c r="I210" i="19"/>
  <c r="I154" i="19"/>
  <c r="I86" i="19"/>
  <c r="I108" i="19"/>
  <c r="I73" i="19"/>
  <c r="I168" i="19"/>
  <c r="I104" i="19"/>
  <c r="I110" i="19"/>
  <c r="I142" i="19"/>
  <c r="I258" i="19" l="1"/>
  <c r="D17" i="14"/>
  <c r="E17" i="14"/>
  <c r="F17" i="14"/>
  <c r="D25" i="14"/>
  <c r="D32" i="14" s="1"/>
  <c r="D43" i="14" s="1"/>
  <c r="E25" i="14"/>
  <c r="E32" i="14" s="1"/>
  <c r="E43" i="14" s="1"/>
  <c r="F25" i="14"/>
  <c r="F32" i="14" s="1"/>
  <c r="F43" i="14" s="1"/>
  <c r="G257" i="10" l="1"/>
  <c r="H257" i="10"/>
  <c r="I257" i="10"/>
  <c r="D30" i="10"/>
  <c r="R71" i="25" s="1"/>
  <c r="C30" i="10"/>
  <c r="Q71" i="25" s="1"/>
  <c r="B30" i="10"/>
  <c r="P71" i="25" s="1"/>
  <c r="A314" i="10"/>
  <c r="B314" i="10"/>
  <c r="A315" i="10"/>
  <c r="B315" i="10"/>
  <c r="B318" i="10"/>
  <c r="C318" i="10"/>
  <c r="D318" i="10"/>
  <c r="E318" i="10"/>
  <c r="F318" i="10"/>
  <c r="G318" i="10"/>
  <c r="H318" i="10"/>
  <c r="I318" i="10"/>
  <c r="J318" i="10"/>
  <c r="B82" i="10"/>
  <c r="E81" i="10" s="1"/>
  <c r="B60" i="8"/>
  <c r="B88" i="8" s="1"/>
  <c r="B90" i="8"/>
  <c r="F50" i="7"/>
  <c r="G50" i="7"/>
  <c r="G52" i="7" s="1"/>
  <c r="F98" i="9" s="1"/>
  <c r="F37" i="7"/>
  <c r="F43" i="7" s="1"/>
  <c r="G37" i="7"/>
  <c r="G43" i="7" s="1"/>
  <c r="C60" i="8"/>
  <c r="C88" i="8" s="1"/>
  <c r="D60" i="8"/>
  <c r="E255" i="11"/>
  <c r="C235" i="11"/>
  <c r="A235" i="11"/>
  <c r="C234" i="11"/>
  <c r="A234" i="11"/>
  <c r="C233" i="11"/>
  <c r="C199" i="11"/>
  <c r="A199" i="11"/>
  <c r="C198" i="11"/>
  <c r="A198" i="11"/>
  <c r="C197" i="11"/>
  <c r="C173" i="11"/>
  <c r="A173" i="11"/>
  <c r="C172" i="11"/>
  <c r="A172" i="11"/>
  <c r="C171" i="11"/>
  <c r="C142" i="11"/>
  <c r="A142" i="11"/>
  <c r="C141" i="11"/>
  <c r="A141" i="11"/>
  <c r="C140" i="11"/>
  <c r="C116" i="11"/>
  <c r="A116" i="11"/>
  <c r="C115" i="11"/>
  <c r="A115" i="11"/>
  <c r="C114" i="11"/>
  <c r="J95" i="11"/>
  <c r="I95" i="11"/>
  <c r="H95" i="11"/>
  <c r="G95" i="11"/>
  <c r="F95" i="11"/>
  <c r="E95" i="11"/>
  <c r="C86" i="11"/>
  <c r="A86" i="11"/>
  <c r="C85" i="11"/>
  <c r="A85" i="11"/>
  <c r="C84" i="11"/>
  <c r="C59" i="11"/>
  <c r="A59" i="11"/>
  <c r="C58" i="11"/>
  <c r="A58" i="11"/>
  <c r="C57" i="11"/>
  <c r="F30" i="11"/>
  <c r="I213" i="11" s="1"/>
  <c r="E76" i="11"/>
  <c r="E227" i="11"/>
  <c r="C14" i="11"/>
  <c r="A14" i="11"/>
  <c r="C13" i="11"/>
  <c r="A13" i="11"/>
  <c r="J271" i="10"/>
  <c r="I271" i="10"/>
  <c r="H271" i="10"/>
  <c r="G271" i="10"/>
  <c r="F271" i="10"/>
  <c r="E271" i="10"/>
  <c r="B268" i="10"/>
  <c r="A268" i="10"/>
  <c r="B267" i="10"/>
  <c r="A267" i="10"/>
  <c r="F256" i="10"/>
  <c r="D256" i="10"/>
  <c r="G249" i="10"/>
  <c r="H249" i="10" s="1"/>
  <c r="F248" i="10"/>
  <c r="E248" i="10"/>
  <c r="A236" i="10"/>
  <c r="O114" i="25" s="1"/>
  <c r="A233" i="10"/>
  <c r="O113" i="25" s="1"/>
  <c r="D230" i="10"/>
  <c r="R112" i="25" s="1"/>
  <c r="C230" i="10"/>
  <c r="Q112" i="25" s="1"/>
  <c r="B230" i="10"/>
  <c r="P112" i="25" s="1"/>
  <c r="A230" i="10"/>
  <c r="O112" i="25" s="1"/>
  <c r="A227" i="10"/>
  <c r="O110" i="25" s="1"/>
  <c r="D224" i="10"/>
  <c r="E224" i="10" s="1"/>
  <c r="F224" i="10" s="1"/>
  <c r="G224" i="10" s="1"/>
  <c r="H224" i="10" s="1"/>
  <c r="I224" i="10" s="1"/>
  <c r="C224" i="10"/>
  <c r="B224" i="10"/>
  <c r="A224" i="10"/>
  <c r="F222" i="10"/>
  <c r="G222" i="10" s="1"/>
  <c r="H222" i="10" s="1"/>
  <c r="I222" i="10" s="1"/>
  <c r="D221" i="10"/>
  <c r="E221" i="10" s="1"/>
  <c r="C221" i="10"/>
  <c r="B221" i="10"/>
  <c r="A221" i="10"/>
  <c r="D218" i="10"/>
  <c r="R109" i="25" s="1"/>
  <c r="C218" i="10"/>
  <c r="Q109" i="25" s="1"/>
  <c r="B218" i="10"/>
  <c r="P109" i="25" s="1"/>
  <c r="A218" i="10"/>
  <c r="O109" i="25" s="1"/>
  <c r="D215" i="10"/>
  <c r="R108" i="25" s="1"/>
  <c r="C215" i="10"/>
  <c r="Q108" i="25" s="1"/>
  <c r="B215" i="10"/>
  <c r="P108" i="25" s="1"/>
  <c r="A215" i="10"/>
  <c r="O108" i="25" s="1"/>
  <c r="D211" i="10"/>
  <c r="E211" i="10" s="1"/>
  <c r="E301" i="10" s="1"/>
  <c r="C211" i="10"/>
  <c r="B211" i="10"/>
  <c r="A211" i="10"/>
  <c r="A206" i="10"/>
  <c r="O105" i="25" s="1"/>
  <c r="D203" i="10"/>
  <c r="E203" i="10" s="1"/>
  <c r="E289" i="10" s="1"/>
  <c r="C203" i="10"/>
  <c r="B203" i="10"/>
  <c r="A203" i="10"/>
  <c r="D200" i="10"/>
  <c r="R104" i="25" s="1"/>
  <c r="C200" i="10"/>
  <c r="Q104" i="25" s="1"/>
  <c r="B200" i="10"/>
  <c r="P104" i="25" s="1"/>
  <c r="A200" i="10"/>
  <c r="O104" i="25" s="1"/>
  <c r="D197" i="10"/>
  <c r="C197" i="10"/>
  <c r="Q103" i="25" s="1"/>
  <c r="B197" i="10"/>
  <c r="P103" i="25" s="1"/>
  <c r="A197" i="10"/>
  <c r="O103" i="25" s="1"/>
  <c r="D194" i="10"/>
  <c r="C194" i="10"/>
  <c r="Q102" i="25" s="1"/>
  <c r="B194" i="10"/>
  <c r="P102" i="25" s="1"/>
  <c r="A194" i="10"/>
  <c r="O102" i="25" s="1"/>
  <c r="D191" i="10"/>
  <c r="C191" i="10"/>
  <c r="B191" i="10"/>
  <c r="A191" i="10"/>
  <c r="A188" i="10"/>
  <c r="O100" i="25" s="1"/>
  <c r="D185" i="10"/>
  <c r="C185" i="10"/>
  <c r="B185" i="10"/>
  <c r="A185" i="10"/>
  <c r="D182" i="10"/>
  <c r="C182" i="10"/>
  <c r="B182" i="10"/>
  <c r="A182" i="10"/>
  <c r="D179" i="10"/>
  <c r="R99" i="25" s="1"/>
  <c r="C179" i="10"/>
  <c r="Q99" i="25" s="1"/>
  <c r="B179" i="10"/>
  <c r="P99" i="25" s="1"/>
  <c r="A179" i="10"/>
  <c r="O99" i="25" s="1"/>
  <c r="D176" i="10"/>
  <c r="C176" i="10"/>
  <c r="B176" i="10"/>
  <c r="A176" i="10"/>
  <c r="D173" i="10"/>
  <c r="R98" i="25" s="1"/>
  <c r="C173" i="10"/>
  <c r="Q98" i="25" s="1"/>
  <c r="B173" i="10"/>
  <c r="P98" i="25" s="1"/>
  <c r="A173" i="10"/>
  <c r="O98" i="25" s="1"/>
  <c r="D170" i="10"/>
  <c r="C170" i="10"/>
  <c r="B170" i="10"/>
  <c r="A170" i="10"/>
  <c r="O97" i="25" s="1"/>
  <c r="D167" i="10"/>
  <c r="C167" i="10"/>
  <c r="B167" i="10"/>
  <c r="A167" i="10"/>
  <c r="D164" i="10"/>
  <c r="C164" i="10"/>
  <c r="B164" i="10"/>
  <c r="A164" i="10"/>
  <c r="A159" i="10"/>
  <c r="O94" i="25" s="1"/>
  <c r="D156" i="10"/>
  <c r="C156" i="10"/>
  <c r="Q93" i="25" s="1"/>
  <c r="B156" i="10"/>
  <c r="P93" i="25" s="1"/>
  <c r="A156" i="10"/>
  <c r="O93" i="25" s="1"/>
  <c r="D153" i="10"/>
  <c r="R92" i="25" s="1"/>
  <c r="C153" i="10"/>
  <c r="Q92" i="25" s="1"/>
  <c r="B153" i="10"/>
  <c r="P92" i="25" s="1"/>
  <c r="A153" i="10"/>
  <c r="O92" i="25" s="1"/>
  <c r="D150" i="10"/>
  <c r="C150" i="10"/>
  <c r="B150" i="10"/>
  <c r="A150" i="10"/>
  <c r="D147" i="10"/>
  <c r="C147" i="10"/>
  <c r="B147" i="10"/>
  <c r="A147" i="10"/>
  <c r="D144" i="10"/>
  <c r="C144" i="10"/>
  <c r="B144" i="10"/>
  <c r="A144" i="10"/>
  <c r="D141" i="10"/>
  <c r="R91" i="25" s="1"/>
  <c r="C141" i="10"/>
  <c r="Q91" i="25" s="1"/>
  <c r="B141" i="10"/>
  <c r="P91" i="25" s="1"/>
  <c r="A141" i="10"/>
  <c r="O91" i="25" s="1"/>
  <c r="D138" i="10"/>
  <c r="C138" i="10"/>
  <c r="B138" i="10"/>
  <c r="A138" i="10"/>
  <c r="D135" i="10"/>
  <c r="R90" i="25" s="1"/>
  <c r="C135" i="10"/>
  <c r="Q90" i="25" s="1"/>
  <c r="B135" i="10"/>
  <c r="P90" i="25" s="1"/>
  <c r="A135" i="10"/>
  <c r="O90" i="25" s="1"/>
  <c r="A132" i="10"/>
  <c r="O88" i="25" s="1"/>
  <c r="D129" i="10"/>
  <c r="C129" i="10"/>
  <c r="B129" i="10"/>
  <c r="A129" i="10"/>
  <c r="D126" i="10"/>
  <c r="E126" i="10" s="1"/>
  <c r="C126" i="10"/>
  <c r="B126" i="10"/>
  <c r="A126" i="10"/>
  <c r="D123" i="10"/>
  <c r="C123" i="10"/>
  <c r="B123" i="10"/>
  <c r="A123" i="10"/>
  <c r="D120" i="10"/>
  <c r="C120" i="10"/>
  <c r="B120" i="10"/>
  <c r="A120" i="10"/>
  <c r="D117" i="10"/>
  <c r="R87" i="25" s="1"/>
  <c r="C117" i="10"/>
  <c r="Q87" i="25" s="1"/>
  <c r="B117" i="10"/>
  <c r="P87" i="25" s="1"/>
  <c r="A117" i="10"/>
  <c r="O87" i="25" s="1"/>
  <c r="D114" i="10"/>
  <c r="R86" i="25" s="1"/>
  <c r="C114" i="10"/>
  <c r="Q86" i="25" s="1"/>
  <c r="B114" i="10"/>
  <c r="P86" i="25" s="1"/>
  <c r="A114" i="10"/>
  <c r="O86" i="25" s="1"/>
  <c r="D111" i="10"/>
  <c r="E111" i="10" s="1"/>
  <c r="C111" i="10"/>
  <c r="B111" i="10"/>
  <c r="A111" i="10"/>
  <c r="D108" i="10"/>
  <c r="C108" i="10"/>
  <c r="Q85" i="25" s="1"/>
  <c r="B108" i="10"/>
  <c r="P85" i="25" s="1"/>
  <c r="A108" i="10"/>
  <c r="O85" i="25" s="1"/>
  <c r="J105" i="10"/>
  <c r="I105" i="10"/>
  <c r="H105" i="10"/>
  <c r="G105" i="10"/>
  <c r="F105" i="10"/>
  <c r="E105" i="10"/>
  <c r="B97" i="10"/>
  <c r="A97" i="10"/>
  <c r="B96" i="10"/>
  <c r="A96" i="10"/>
  <c r="A90" i="10"/>
  <c r="D87" i="10"/>
  <c r="C87" i="10"/>
  <c r="B87" i="10"/>
  <c r="A87" i="10"/>
  <c r="A83" i="10"/>
  <c r="D80" i="10"/>
  <c r="C80" i="10"/>
  <c r="B80" i="10"/>
  <c r="A80" i="10"/>
  <c r="A77" i="10"/>
  <c r="F75" i="10"/>
  <c r="G75" i="10" s="1"/>
  <c r="H75" i="10" s="1"/>
  <c r="I75" i="10" s="1"/>
  <c r="D74" i="10"/>
  <c r="C74" i="10"/>
  <c r="B74" i="10"/>
  <c r="A74" i="10"/>
  <c r="F72" i="10"/>
  <c r="G72" i="10" s="1"/>
  <c r="H72" i="10" s="1"/>
  <c r="I72" i="10" s="1"/>
  <c r="D71" i="10"/>
  <c r="C71" i="10"/>
  <c r="B71" i="10"/>
  <c r="A71" i="10"/>
  <c r="O80" i="25" s="1"/>
  <c r="D68" i="10"/>
  <c r="R79" i="25" s="1"/>
  <c r="C68" i="10"/>
  <c r="Q79" i="25" s="1"/>
  <c r="B68" i="10"/>
  <c r="P79" i="25" s="1"/>
  <c r="A68" i="10"/>
  <c r="A64" i="10"/>
  <c r="G62" i="10"/>
  <c r="H62" i="10" s="1"/>
  <c r="I62" i="10" s="1"/>
  <c r="D61" i="10"/>
  <c r="C61" i="10"/>
  <c r="B61" i="10"/>
  <c r="A61" i="10"/>
  <c r="F59" i="10"/>
  <c r="G59" i="10" s="1"/>
  <c r="D58" i="10"/>
  <c r="C58" i="10"/>
  <c r="B58" i="10"/>
  <c r="A58" i="10"/>
  <c r="D55" i="10"/>
  <c r="R76" i="25" s="1"/>
  <c r="C55" i="10"/>
  <c r="Q76" i="25" s="1"/>
  <c r="B55" i="10"/>
  <c r="P76" i="25" s="1"/>
  <c r="A55" i="10"/>
  <c r="D52" i="10"/>
  <c r="R75" i="25" s="1"/>
  <c r="C52" i="10"/>
  <c r="Q75" i="25" s="1"/>
  <c r="B52" i="10"/>
  <c r="P75" i="25" s="1"/>
  <c r="A52" i="10"/>
  <c r="A48" i="10"/>
  <c r="D45" i="10"/>
  <c r="C45" i="10"/>
  <c r="B45" i="10"/>
  <c r="A45" i="10"/>
  <c r="F43" i="10"/>
  <c r="G43" i="10" s="1"/>
  <c r="H43" i="10" s="1"/>
  <c r="I43" i="10" s="1"/>
  <c r="D42" i="10"/>
  <c r="C42" i="10"/>
  <c r="B42" i="10"/>
  <c r="A42" i="10"/>
  <c r="D39" i="10"/>
  <c r="C39" i="10"/>
  <c r="B39" i="10"/>
  <c r="A39" i="10"/>
  <c r="D36" i="10"/>
  <c r="C36" i="10"/>
  <c r="B36" i="10"/>
  <c r="A36" i="10"/>
  <c r="D33" i="10"/>
  <c r="R72" i="25" s="1"/>
  <c r="C33" i="10"/>
  <c r="Q72" i="25" s="1"/>
  <c r="B33" i="10"/>
  <c r="P72" i="25" s="1"/>
  <c r="A33" i="10"/>
  <c r="C32" i="10"/>
  <c r="A30" i="10"/>
  <c r="D27" i="10"/>
  <c r="C27" i="10"/>
  <c r="B27" i="10"/>
  <c r="A27" i="10"/>
  <c r="D24" i="10"/>
  <c r="R70" i="25" s="1"/>
  <c r="C24" i="10"/>
  <c r="Q70" i="25" s="1"/>
  <c r="B24" i="10"/>
  <c r="P70" i="25" s="1"/>
  <c r="A24" i="10"/>
  <c r="A20" i="10"/>
  <c r="D17" i="10"/>
  <c r="R67" i="25" s="1"/>
  <c r="C17" i="10"/>
  <c r="Q67" i="25" s="1"/>
  <c r="B17" i="10"/>
  <c r="P67" i="25" s="1"/>
  <c r="A17" i="10"/>
  <c r="O67" i="25" s="1"/>
  <c r="D14" i="10"/>
  <c r="R66" i="25" s="1"/>
  <c r="C14" i="10"/>
  <c r="Q66" i="25" s="1"/>
  <c r="B14" i="10"/>
  <c r="A14" i="10"/>
  <c r="O66" i="25" s="1"/>
  <c r="D12" i="10"/>
  <c r="D271" i="10" s="1"/>
  <c r="C12" i="10"/>
  <c r="C271" i="10" s="1"/>
  <c r="B12" i="10"/>
  <c r="B105" i="10" s="1"/>
  <c r="J8" i="10"/>
  <c r="F22" i="11" s="1"/>
  <c r="B4" i="10"/>
  <c r="A4" i="10"/>
  <c r="B3" i="10"/>
  <c r="A3" i="10"/>
  <c r="A382" i="9"/>
  <c r="F381" i="9"/>
  <c r="E381" i="9"/>
  <c r="D381" i="9"/>
  <c r="C381" i="9"/>
  <c r="B381" i="9"/>
  <c r="A381" i="9"/>
  <c r="A379" i="9"/>
  <c r="F378" i="9"/>
  <c r="E378" i="9"/>
  <c r="D378" i="9"/>
  <c r="C378" i="9"/>
  <c r="B378" i="9"/>
  <c r="F377" i="9"/>
  <c r="E377" i="9"/>
  <c r="D377" i="9"/>
  <c r="C377" i="9"/>
  <c r="B377" i="9"/>
  <c r="F376" i="9"/>
  <c r="E376" i="9"/>
  <c r="D376" i="9"/>
  <c r="C376" i="9"/>
  <c r="B376" i="9"/>
  <c r="F375" i="9"/>
  <c r="E375" i="9"/>
  <c r="D375" i="9"/>
  <c r="C375" i="9"/>
  <c r="B375" i="9"/>
  <c r="F374" i="9"/>
  <c r="F379" i="9" s="1"/>
  <c r="E374" i="9"/>
  <c r="D374" i="9"/>
  <c r="C374" i="9"/>
  <c r="B374" i="9"/>
  <c r="A371" i="9"/>
  <c r="F370" i="9"/>
  <c r="E370" i="9"/>
  <c r="D370" i="9"/>
  <c r="C370" i="9"/>
  <c r="B370" i="9"/>
  <c r="F369" i="9"/>
  <c r="E369" i="9"/>
  <c r="D369" i="9"/>
  <c r="C369" i="9"/>
  <c r="B369" i="9"/>
  <c r="F368" i="9"/>
  <c r="E368" i="9"/>
  <c r="D368" i="9"/>
  <c r="C368" i="9"/>
  <c r="B368" i="9"/>
  <c r="A365" i="9"/>
  <c r="F364" i="9"/>
  <c r="E364" i="9"/>
  <c r="D364" i="9"/>
  <c r="C364" i="9"/>
  <c r="B364" i="9"/>
  <c r="F363" i="9"/>
  <c r="E363" i="9"/>
  <c r="D363" i="9"/>
  <c r="C363" i="9"/>
  <c r="B363" i="9"/>
  <c r="F362" i="9"/>
  <c r="E362" i="9"/>
  <c r="D362" i="9"/>
  <c r="C362" i="9"/>
  <c r="B362" i="9"/>
  <c r="A362" i="9"/>
  <c r="A361" i="9"/>
  <c r="F358" i="9"/>
  <c r="E358" i="9"/>
  <c r="D358" i="9"/>
  <c r="C358" i="9"/>
  <c r="B358" i="9"/>
  <c r="D339" i="9"/>
  <c r="C339" i="9"/>
  <c r="B339" i="9"/>
  <c r="D335" i="9"/>
  <c r="C335" i="9"/>
  <c r="B335" i="9"/>
  <c r="E296" i="9"/>
  <c r="D300" i="9" s="1"/>
  <c r="D303" i="9" s="1"/>
  <c r="D296" i="9"/>
  <c r="C318" i="9" s="1"/>
  <c r="C321" i="9" s="1"/>
  <c r="C296" i="9"/>
  <c r="E300" i="9" s="1"/>
  <c r="E303" i="9" s="1"/>
  <c r="A289" i="9"/>
  <c r="A288" i="9"/>
  <c r="G287" i="9"/>
  <c r="F287" i="9"/>
  <c r="E287" i="9"/>
  <c r="D287" i="9"/>
  <c r="C287" i="9"/>
  <c r="B287" i="9"/>
  <c r="A287" i="9"/>
  <c r="A286" i="9"/>
  <c r="G285" i="9"/>
  <c r="F285" i="9"/>
  <c r="E285" i="9"/>
  <c r="D285" i="9"/>
  <c r="C285" i="9"/>
  <c r="B285" i="9"/>
  <c r="A285" i="9"/>
  <c r="G284" i="9"/>
  <c r="F284" i="9"/>
  <c r="E284" i="9"/>
  <c r="D284" i="9"/>
  <c r="C284" i="9"/>
  <c r="B284" i="9"/>
  <c r="A284" i="9"/>
  <c r="G283" i="9"/>
  <c r="F283" i="9"/>
  <c r="E283" i="9"/>
  <c r="D283" i="9"/>
  <c r="C283" i="9"/>
  <c r="B283" i="9"/>
  <c r="A283" i="9"/>
  <c r="G282" i="9"/>
  <c r="F282" i="9"/>
  <c r="E282" i="9"/>
  <c r="D282" i="9"/>
  <c r="C282" i="9"/>
  <c r="B282" i="9"/>
  <c r="A282" i="9"/>
  <c r="G281" i="9"/>
  <c r="F281" i="9"/>
  <c r="E281" i="9"/>
  <c r="D281" i="9"/>
  <c r="C281" i="9"/>
  <c r="B281" i="9"/>
  <c r="A281" i="9"/>
  <c r="A279" i="9"/>
  <c r="G278" i="9"/>
  <c r="F278" i="9"/>
  <c r="E278" i="9"/>
  <c r="D278" i="9"/>
  <c r="C278" i="9"/>
  <c r="B278" i="9"/>
  <c r="A278" i="9"/>
  <c r="G277" i="9"/>
  <c r="F277" i="9"/>
  <c r="E277" i="9"/>
  <c r="D277" i="9"/>
  <c r="C277" i="9"/>
  <c r="B277" i="9"/>
  <c r="A277" i="9"/>
  <c r="G276" i="9"/>
  <c r="F276" i="9"/>
  <c r="E276" i="9"/>
  <c r="D276" i="9"/>
  <c r="C276" i="9"/>
  <c r="B276" i="9"/>
  <c r="A276" i="9"/>
  <c r="G275" i="9"/>
  <c r="F275" i="9"/>
  <c r="E275" i="9"/>
  <c r="D275" i="9"/>
  <c r="C275" i="9"/>
  <c r="B275" i="9"/>
  <c r="A275" i="9"/>
  <c r="G274" i="9"/>
  <c r="F274" i="9"/>
  <c r="E274" i="9"/>
  <c r="D274" i="9"/>
  <c r="C274" i="9"/>
  <c r="B274" i="9"/>
  <c r="A274" i="9"/>
  <c r="A273" i="9"/>
  <c r="G272" i="9"/>
  <c r="F272" i="9"/>
  <c r="E272" i="9"/>
  <c r="D272" i="9"/>
  <c r="C272" i="9"/>
  <c r="B272" i="9"/>
  <c r="A272" i="9"/>
  <c r="G271" i="9"/>
  <c r="F271" i="9"/>
  <c r="E271" i="9"/>
  <c r="D271" i="9"/>
  <c r="C271" i="9"/>
  <c r="B271" i="9"/>
  <c r="A271" i="9"/>
  <c r="G270" i="9"/>
  <c r="F270" i="9"/>
  <c r="E270" i="9"/>
  <c r="D270" i="9"/>
  <c r="C270" i="9"/>
  <c r="B270" i="9"/>
  <c r="A270" i="9"/>
  <c r="G269" i="9"/>
  <c r="F269" i="9"/>
  <c r="E269" i="9"/>
  <c r="D269" i="9"/>
  <c r="C269" i="9"/>
  <c r="B269" i="9"/>
  <c r="A269" i="9"/>
  <c r="G268" i="9"/>
  <c r="F268" i="9"/>
  <c r="E268" i="9"/>
  <c r="D268" i="9"/>
  <c r="C268" i="9"/>
  <c r="B268" i="9"/>
  <c r="A268" i="9"/>
  <c r="G267" i="9"/>
  <c r="F267" i="9"/>
  <c r="E267" i="9"/>
  <c r="D267" i="9"/>
  <c r="C267" i="9"/>
  <c r="B267" i="9"/>
  <c r="A267" i="9"/>
  <c r="G266" i="9"/>
  <c r="F266" i="9"/>
  <c r="E266" i="9"/>
  <c r="D266" i="9"/>
  <c r="C266" i="9"/>
  <c r="B266" i="9"/>
  <c r="A266" i="9"/>
  <c r="G265" i="9"/>
  <c r="F265" i="9"/>
  <c r="E265" i="9"/>
  <c r="D265" i="9"/>
  <c r="C265" i="9"/>
  <c r="B265" i="9"/>
  <c r="A265" i="9"/>
  <c r="G264" i="9"/>
  <c r="F264" i="9"/>
  <c r="E264" i="9"/>
  <c r="D264" i="9"/>
  <c r="C264" i="9"/>
  <c r="B264" i="9"/>
  <c r="A264" i="9"/>
  <c r="A262" i="9"/>
  <c r="G261" i="9"/>
  <c r="F261" i="9"/>
  <c r="E261" i="9"/>
  <c r="D261" i="9"/>
  <c r="C261" i="9"/>
  <c r="B261" i="9"/>
  <c r="A261" i="9"/>
  <c r="G260" i="9"/>
  <c r="F260" i="9"/>
  <c r="E260" i="9"/>
  <c r="D260" i="9"/>
  <c r="C260" i="9"/>
  <c r="B260" i="9"/>
  <c r="A260" i="9"/>
  <c r="G259" i="9"/>
  <c r="F259" i="9"/>
  <c r="E259" i="9"/>
  <c r="D259" i="9"/>
  <c r="C259" i="9"/>
  <c r="B259" i="9"/>
  <c r="A259" i="9"/>
  <c r="G258" i="9"/>
  <c r="F258" i="9"/>
  <c r="E258" i="9"/>
  <c r="D258" i="9"/>
  <c r="C258" i="9"/>
  <c r="B258" i="9"/>
  <c r="A258" i="9"/>
  <c r="G257" i="9"/>
  <c r="F257" i="9"/>
  <c r="E257" i="9"/>
  <c r="D257" i="9"/>
  <c r="C257" i="9"/>
  <c r="B257" i="9"/>
  <c r="A257" i="9"/>
  <c r="G256" i="9"/>
  <c r="F256" i="9"/>
  <c r="E256" i="9"/>
  <c r="D256" i="9"/>
  <c r="C256" i="9"/>
  <c r="B256" i="9"/>
  <c r="A256" i="9"/>
  <c r="G255" i="9"/>
  <c r="F255" i="9"/>
  <c r="E255" i="9"/>
  <c r="D255" i="9"/>
  <c r="C255" i="9"/>
  <c r="B255" i="9"/>
  <c r="A255" i="9"/>
  <c r="G254" i="9"/>
  <c r="F254" i="9"/>
  <c r="E254" i="9"/>
  <c r="D254" i="9"/>
  <c r="C254" i="9"/>
  <c r="B254" i="9"/>
  <c r="A254" i="9"/>
  <c r="A253" i="9"/>
  <c r="G252" i="9"/>
  <c r="F252" i="9"/>
  <c r="E252" i="9"/>
  <c r="D252" i="9"/>
  <c r="C252" i="9"/>
  <c r="B252" i="9"/>
  <c r="A252" i="9"/>
  <c r="G251" i="9"/>
  <c r="F251" i="9"/>
  <c r="E251" i="9"/>
  <c r="D251" i="9"/>
  <c r="C251" i="9"/>
  <c r="B251" i="9"/>
  <c r="A251" i="9"/>
  <c r="G250" i="9"/>
  <c r="F250" i="9"/>
  <c r="E250" i="9"/>
  <c r="D250" i="9"/>
  <c r="C250" i="9"/>
  <c r="B250" i="9"/>
  <c r="A250" i="9"/>
  <c r="G249" i="9"/>
  <c r="F249" i="9"/>
  <c r="E249" i="9"/>
  <c r="D249" i="9"/>
  <c r="C249" i="9"/>
  <c r="B249" i="9"/>
  <c r="A249" i="9"/>
  <c r="G248" i="9"/>
  <c r="F248" i="9"/>
  <c r="E248" i="9"/>
  <c r="D248" i="9"/>
  <c r="C248" i="9"/>
  <c r="B248" i="9"/>
  <c r="A248" i="9"/>
  <c r="G247" i="9"/>
  <c r="F247" i="9"/>
  <c r="E247" i="9"/>
  <c r="D247" i="9"/>
  <c r="C247" i="9"/>
  <c r="B247" i="9"/>
  <c r="A247" i="9"/>
  <c r="G246" i="9"/>
  <c r="F246" i="9"/>
  <c r="E246" i="9"/>
  <c r="D246" i="9"/>
  <c r="C246" i="9"/>
  <c r="B246" i="9"/>
  <c r="A246" i="9"/>
  <c r="G245" i="9"/>
  <c r="F245" i="9"/>
  <c r="E245" i="9"/>
  <c r="D245" i="9"/>
  <c r="C245" i="9"/>
  <c r="B245" i="9"/>
  <c r="A245" i="9"/>
  <c r="A244" i="9"/>
  <c r="F241" i="9"/>
  <c r="E241" i="9"/>
  <c r="D241" i="9"/>
  <c r="C241" i="9"/>
  <c r="B241" i="9"/>
  <c r="A237" i="9"/>
  <c r="A236" i="9"/>
  <c r="A235" i="9"/>
  <c r="A234" i="9"/>
  <c r="A233" i="9"/>
  <c r="A232" i="9"/>
  <c r="A231" i="9"/>
  <c r="A230" i="9"/>
  <c r="A229" i="9"/>
  <c r="A227" i="9"/>
  <c r="A226" i="9"/>
  <c r="A225" i="9"/>
  <c r="A224" i="9"/>
  <c r="A223" i="9"/>
  <c r="A222" i="9"/>
  <c r="A221" i="9"/>
  <c r="A220" i="9"/>
  <c r="A219" i="9"/>
  <c r="A218" i="9"/>
  <c r="A217" i="9"/>
  <c r="A216" i="9"/>
  <c r="A215" i="9"/>
  <c r="A214" i="9"/>
  <c r="A213" i="9"/>
  <c r="A212" i="9"/>
  <c r="A210" i="9"/>
  <c r="A209" i="9"/>
  <c r="A208" i="9"/>
  <c r="A207" i="9"/>
  <c r="A206" i="9"/>
  <c r="A205" i="9"/>
  <c r="A204" i="9"/>
  <c r="A203" i="9"/>
  <c r="A202" i="9"/>
  <c r="A201" i="9"/>
  <c r="A200" i="9"/>
  <c r="A199" i="9"/>
  <c r="A198" i="9"/>
  <c r="A197" i="9"/>
  <c r="A196" i="9"/>
  <c r="A195" i="9"/>
  <c r="A194" i="9"/>
  <c r="A193" i="9"/>
  <c r="A192" i="9"/>
  <c r="F190" i="9"/>
  <c r="E190" i="9"/>
  <c r="D190" i="9"/>
  <c r="C190" i="9"/>
  <c r="B190" i="9"/>
  <c r="A185" i="9"/>
  <c r="G184" i="9"/>
  <c r="F184" i="9"/>
  <c r="E184" i="9"/>
  <c r="D184" i="9"/>
  <c r="C184" i="9"/>
  <c r="B184" i="9"/>
  <c r="A184" i="9"/>
  <c r="A182" i="9"/>
  <c r="G181" i="9"/>
  <c r="F181" i="9"/>
  <c r="E181" i="9"/>
  <c r="D181" i="9"/>
  <c r="C181" i="9"/>
  <c r="B181" i="9"/>
  <c r="A181" i="9"/>
  <c r="A180" i="9"/>
  <c r="G179" i="9"/>
  <c r="F179" i="9"/>
  <c r="E179" i="9"/>
  <c r="D179" i="9"/>
  <c r="C179" i="9"/>
  <c r="B179" i="9"/>
  <c r="A179" i="9"/>
  <c r="G178" i="9"/>
  <c r="F178" i="9"/>
  <c r="E178" i="9"/>
  <c r="D178" i="9"/>
  <c r="C178" i="9"/>
  <c r="B178" i="9"/>
  <c r="A178" i="9"/>
  <c r="G177" i="9"/>
  <c r="F177" i="9"/>
  <c r="E177" i="9"/>
  <c r="D177" i="9"/>
  <c r="C177" i="9"/>
  <c r="B177" i="9"/>
  <c r="A177" i="9"/>
  <c r="G176" i="9"/>
  <c r="F176" i="9"/>
  <c r="E176" i="9"/>
  <c r="D176" i="9"/>
  <c r="C176" i="9"/>
  <c r="B176" i="9"/>
  <c r="A176" i="9"/>
  <c r="A175" i="9"/>
  <c r="G174" i="9"/>
  <c r="F174" i="9"/>
  <c r="E174" i="9"/>
  <c r="D174" i="9"/>
  <c r="C174" i="9"/>
  <c r="B174" i="9"/>
  <c r="A174" i="9"/>
  <c r="G173" i="9"/>
  <c r="F173" i="9"/>
  <c r="E173" i="9"/>
  <c r="D173" i="9"/>
  <c r="C173" i="9"/>
  <c r="B173" i="9"/>
  <c r="A173" i="9"/>
  <c r="G172" i="9"/>
  <c r="F172" i="9"/>
  <c r="E172" i="9"/>
  <c r="D172" i="9"/>
  <c r="C172" i="9"/>
  <c r="B172" i="9"/>
  <c r="A172" i="9"/>
  <c r="G171" i="9"/>
  <c r="F171" i="9"/>
  <c r="E171" i="9"/>
  <c r="D171" i="9"/>
  <c r="C171" i="9"/>
  <c r="B171" i="9"/>
  <c r="A171" i="9"/>
  <c r="A170" i="9"/>
  <c r="G169" i="9"/>
  <c r="F169" i="9"/>
  <c r="E169" i="9"/>
  <c r="D169" i="9"/>
  <c r="C169" i="9"/>
  <c r="B169" i="9"/>
  <c r="A169" i="9"/>
  <c r="G168" i="9"/>
  <c r="F168" i="9"/>
  <c r="E168" i="9"/>
  <c r="D168" i="9"/>
  <c r="C168" i="9"/>
  <c r="B168" i="9"/>
  <c r="A168" i="9"/>
  <c r="G167" i="9"/>
  <c r="F167" i="9"/>
  <c r="E167" i="9"/>
  <c r="D167" i="9"/>
  <c r="C167" i="9"/>
  <c r="B167" i="9"/>
  <c r="A167" i="9"/>
  <c r="G166" i="9"/>
  <c r="F166" i="9"/>
  <c r="E166" i="9"/>
  <c r="D166" i="9"/>
  <c r="C166" i="9"/>
  <c r="B166" i="9"/>
  <c r="A166" i="9"/>
  <c r="G165" i="9"/>
  <c r="F165" i="9"/>
  <c r="E165" i="9"/>
  <c r="D165" i="9"/>
  <c r="C165" i="9"/>
  <c r="B165" i="9"/>
  <c r="A165" i="9"/>
  <c r="G164" i="9"/>
  <c r="F164" i="9"/>
  <c r="E164" i="9"/>
  <c r="D164" i="9"/>
  <c r="C164" i="9"/>
  <c r="B164" i="9"/>
  <c r="A164" i="9"/>
  <c r="G163" i="9"/>
  <c r="F163" i="9"/>
  <c r="E163" i="9"/>
  <c r="D163" i="9"/>
  <c r="C163" i="9"/>
  <c r="B163" i="9"/>
  <c r="A163" i="9"/>
  <c r="G162" i="9"/>
  <c r="F162" i="9"/>
  <c r="E162" i="9"/>
  <c r="D162" i="9"/>
  <c r="C162" i="9"/>
  <c r="B162" i="9"/>
  <c r="A162" i="9"/>
  <c r="A161" i="9"/>
  <c r="G160" i="9"/>
  <c r="F160" i="9"/>
  <c r="E160" i="9"/>
  <c r="D160" i="9"/>
  <c r="C160" i="9"/>
  <c r="B160" i="9"/>
  <c r="A160" i="9"/>
  <c r="G159" i="9"/>
  <c r="F159" i="9"/>
  <c r="D321" i="10" s="1"/>
  <c r="R131" i="25" s="1"/>
  <c r="E159" i="9"/>
  <c r="C321" i="10" s="1"/>
  <c r="Q131" i="25" s="1"/>
  <c r="D159" i="9"/>
  <c r="B321" i="10" s="1"/>
  <c r="P131" i="25" s="1"/>
  <c r="C159" i="9"/>
  <c r="B159" i="9"/>
  <c r="A159" i="9"/>
  <c r="F155" i="9"/>
  <c r="E155" i="9"/>
  <c r="D155" i="9"/>
  <c r="C155" i="9"/>
  <c r="B155" i="9"/>
  <c r="A151" i="9"/>
  <c r="F150" i="9"/>
  <c r="E150" i="9"/>
  <c r="D150" i="9"/>
  <c r="C150" i="9"/>
  <c r="B150" i="9"/>
  <c r="A150" i="9"/>
  <c r="A148" i="9"/>
  <c r="F147" i="9"/>
  <c r="E147" i="9"/>
  <c r="D147" i="9"/>
  <c r="C147" i="9"/>
  <c r="B147" i="9"/>
  <c r="A147" i="9"/>
  <c r="A146" i="9"/>
  <c r="F145" i="9"/>
  <c r="E145" i="9"/>
  <c r="D145" i="9"/>
  <c r="C145" i="9"/>
  <c r="B145" i="9"/>
  <c r="A145" i="9"/>
  <c r="F144" i="9"/>
  <c r="E144" i="9"/>
  <c r="D144" i="9"/>
  <c r="C144" i="9"/>
  <c r="B144" i="9"/>
  <c r="A144" i="9"/>
  <c r="F143" i="9"/>
  <c r="E143" i="9"/>
  <c r="D143" i="9"/>
  <c r="C143" i="9"/>
  <c r="B143" i="9"/>
  <c r="A143" i="9"/>
  <c r="F142" i="9"/>
  <c r="D310" i="9" s="1"/>
  <c r="E142" i="9"/>
  <c r="C310" i="9" s="1"/>
  <c r="D142" i="9"/>
  <c r="B310" i="9" s="1"/>
  <c r="C142" i="9"/>
  <c r="B142" i="9"/>
  <c r="A142" i="9"/>
  <c r="A310" i="9" s="1"/>
  <c r="A141" i="9"/>
  <c r="A309" i="9" s="1"/>
  <c r="F140" i="9"/>
  <c r="E140" i="9"/>
  <c r="D140" i="9"/>
  <c r="C140" i="9"/>
  <c r="B140" i="9"/>
  <c r="A140" i="9"/>
  <c r="F139" i="9"/>
  <c r="E139" i="9"/>
  <c r="D139" i="9"/>
  <c r="C139" i="9"/>
  <c r="B139" i="9"/>
  <c r="A139" i="9"/>
  <c r="F138" i="9"/>
  <c r="E138" i="9"/>
  <c r="D138" i="9"/>
  <c r="C138" i="9"/>
  <c r="B138" i="9"/>
  <c r="A138" i="9"/>
  <c r="F137" i="9"/>
  <c r="E137" i="9"/>
  <c r="D137" i="9"/>
  <c r="C137" i="9"/>
  <c r="B137" i="9"/>
  <c r="A137" i="9"/>
  <c r="A136" i="9"/>
  <c r="A308" i="9" s="1"/>
  <c r="F135" i="9"/>
  <c r="E135" i="9"/>
  <c r="D135" i="9"/>
  <c r="C135" i="9"/>
  <c r="B135" i="9"/>
  <c r="A135" i="9"/>
  <c r="F134" i="9"/>
  <c r="E134" i="9"/>
  <c r="D134" i="9"/>
  <c r="C134" i="9"/>
  <c r="B134" i="9"/>
  <c r="A134" i="9"/>
  <c r="F133" i="9"/>
  <c r="E133" i="9"/>
  <c r="D133" i="9"/>
  <c r="C133" i="9"/>
  <c r="B133" i="9"/>
  <c r="A133" i="9"/>
  <c r="F132" i="9"/>
  <c r="E132" i="9"/>
  <c r="D132" i="9"/>
  <c r="C132" i="9"/>
  <c r="B132" i="9"/>
  <c r="A132" i="9"/>
  <c r="F131" i="9"/>
  <c r="E131" i="9"/>
  <c r="D131" i="9"/>
  <c r="C131" i="9"/>
  <c r="B131" i="9"/>
  <c r="A131" i="9"/>
  <c r="F130" i="9"/>
  <c r="E130" i="9"/>
  <c r="D130" i="9"/>
  <c r="C130" i="9"/>
  <c r="B130" i="9"/>
  <c r="A130" i="9"/>
  <c r="F129" i="9"/>
  <c r="E129" i="9"/>
  <c r="D129" i="9"/>
  <c r="C129" i="9"/>
  <c r="B129" i="9"/>
  <c r="A129" i="9"/>
  <c r="F128" i="9"/>
  <c r="D307" i="9" s="1"/>
  <c r="E128" i="9"/>
  <c r="C307" i="9" s="1"/>
  <c r="D128" i="9"/>
  <c r="B307" i="9" s="1"/>
  <c r="C128" i="9"/>
  <c r="B128" i="9"/>
  <c r="A128" i="9"/>
  <c r="A307" i="9" s="1"/>
  <c r="A127" i="9"/>
  <c r="A306" i="9" s="1"/>
  <c r="F126" i="9"/>
  <c r="D305" i="9" s="1"/>
  <c r="E126" i="9"/>
  <c r="C305" i="9" s="1"/>
  <c r="D126" i="9"/>
  <c r="B305" i="9" s="1"/>
  <c r="C126" i="9"/>
  <c r="B126" i="9"/>
  <c r="A126" i="9"/>
  <c r="A305" i="9" s="1"/>
  <c r="F125" i="9"/>
  <c r="D304" i="9" s="1"/>
  <c r="E125" i="9"/>
  <c r="C304" i="9" s="1"/>
  <c r="D125" i="9"/>
  <c r="B304" i="9" s="1"/>
  <c r="C125" i="9"/>
  <c r="B125" i="9"/>
  <c r="A125" i="9"/>
  <c r="A304" i="9" s="1"/>
  <c r="F123" i="9"/>
  <c r="E123" i="9"/>
  <c r="D123" i="9"/>
  <c r="C123" i="9"/>
  <c r="B123" i="9"/>
  <c r="F114" i="9"/>
  <c r="D12" i="14" s="1"/>
  <c r="D13" i="14" s="1"/>
  <c r="E114" i="9"/>
  <c r="D114" i="9"/>
  <c r="C114" i="9"/>
  <c r="B114" i="9"/>
  <c r="F92" i="9"/>
  <c r="E92" i="9"/>
  <c r="D92" i="9"/>
  <c r="C92" i="9"/>
  <c r="B92" i="9"/>
  <c r="F91" i="9"/>
  <c r="E91" i="9"/>
  <c r="D91" i="9"/>
  <c r="C91" i="9"/>
  <c r="B91" i="9"/>
  <c r="F90" i="9"/>
  <c r="E90" i="9"/>
  <c r="D90" i="9"/>
  <c r="C90" i="9"/>
  <c r="B90" i="9"/>
  <c r="F89" i="9"/>
  <c r="D354" i="10" s="1"/>
  <c r="R153" i="25" s="1"/>
  <c r="E89" i="9"/>
  <c r="C354" i="10" s="1"/>
  <c r="Q153" i="25" s="1"/>
  <c r="D89" i="9"/>
  <c r="B354" i="10" s="1"/>
  <c r="P153" i="25" s="1"/>
  <c r="C89" i="9"/>
  <c r="B89" i="9"/>
  <c r="F86" i="9"/>
  <c r="F87" i="9" s="1"/>
  <c r="E86" i="9"/>
  <c r="E87" i="9" s="1"/>
  <c r="D86" i="9"/>
  <c r="D87" i="9" s="1"/>
  <c r="C86" i="9"/>
  <c r="C87" i="9" s="1"/>
  <c r="B86" i="9"/>
  <c r="B87" i="9" s="1"/>
  <c r="F84" i="9"/>
  <c r="D353" i="10" s="1"/>
  <c r="R152" i="25" s="1"/>
  <c r="E84" i="9"/>
  <c r="C353" i="10" s="1"/>
  <c r="Q152" i="25" s="1"/>
  <c r="D84" i="9"/>
  <c r="B353" i="10" s="1"/>
  <c r="P152" i="25" s="1"/>
  <c r="C84" i="9"/>
  <c r="C85" i="9" s="1"/>
  <c r="B84" i="9"/>
  <c r="B85" i="9" s="1"/>
  <c r="F82" i="9"/>
  <c r="D352" i="10" s="1"/>
  <c r="E82" i="9"/>
  <c r="C352" i="10" s="1"/>
  <c r="Q151" i="25" s="1"/>
  <c r="D82" i="9"/>
  <c r="C82" i="9"/>
  <c r="C83" i="9" s="1"/>
  <c r="B82" i="9"/>
  <c r="B83" i="9" s="1"/>
  <c r="F80" i="9"/>
  <c r="F81" i="9" s="1"/>
  <c r="E80" i="9"/>
  <c r="E81" i="9" s="1"/>
  <c r="D80" i="9"/>
  <c r="D81" i="9" s="1"/>
  <c r="C80" i="9"/>
  <c r="C81" i="9" s="1"/>
  <c r="B80" i="9"/>
  <c r="B81" i="9" s="1"/>
  <c r="F72" i="9"/>
  <c r="E72" i="9"/>
  <c r="D72" i="9"/>
  <c r="C72" i="9"/>
  <c r="B72" i="9"/>
  <c r="F50" i="9"/>
  <c r="E50" i="9"/>
  <c r="D50" i="9"/>
  <c r="C50" i="9"/>
  <c r="B50" i="9"/>
  <c r="F15" i="9"/>
  <c r="E15" i="9"/>
  <c r="D15" i="9"/>
  <c r="C15" i="9"/>
  <c r="B15" i="9"/>
  <c r="A10" i="9"/>
  <c r="A9" i="9"/>
  <c r="A8" i="9"/>
  <c r="B4" i="9"/>
  <c r="A4" i="9"/>
  <c r="B3" i="9"/>
  <c r="A3" i="9"/>
  <c r="D116" i="8"/>
  <c r="C116" i="8"/>
  <c r="B116" i="8"/>
  <c r="B107" i="8"/>
  <c r="C105" i="8" s="1"/>
  <c r="E105" i="8" s="1"/>
  <c r="D90" i="8"/>
  <c r="C90" i="8"/>
  <c r="D65" i="8"/>
  <c r="E63" i="8" s="1"/>
  <c r="C65" i="8"/>
  <c r="B65" i="8"/>
  <c r="D47" i="8"/>
  <c r="E47" i="8" s="1"/>
  <c r="F47" i="8" s="1"/>
  <c r="G47" i="8" s="1"/>
  <c r="H47" i="8" s="1"/>
  <c r="I47" i="8" s="1"/>
  <c r="C47" i="8"/>
  <c r="B47" i="8"/>
  <c r="D46" i="8"/>
  <c r="C46" i="8"/>
  <c r="B46" i="8"/>
  <c r="D31" i="8"/>
  <c r="E31" i="8" s="1"/>
  <c r="C31" i="8"/>
  <c r="B31" i="8"/>
  <c r="D27" i="8"/>
  <c r="E27" i="8" s="1"/>
  <c r="E14" i="8" s="1"/>
  <c r="C27" i="8"/>
  <c r="B27" i="8"/>
  <c r="D23" i="8"/>
  <c r="C23" i="8"/>
  <c r="B23" i="8"/>
  <c r="D16" i="8"/>
  <c r="C16" i="8"/>
  <c r="B16" i="8"/>
  <c r="A31" i="8"/>
  <c r="A27" i="8"/>
  <c r="A23" i="8"/>
  <c r="I10" i="8"/>
  <c r="I21" i="8" s="1"/>
  <c r="H10" i="8"/>
  <c r="H21" i="8" s="1"/>
  <c r="G10" i="8"/>
  <c r="G21" i="8" s="1"/>
  <c r="F10" i="8"/>
  <c r="F44" i="8" s="1"/>
  <c r="F57" i="8" s="1"/>
  <c r="F115" i="8" s="1"/>
  <c r="E10" i="8"/>
  <c r="B3" i="8"/>
  <c r="B2" i="8"/>
  <c r="G142" i="7"/>
  <c r="F113" i="9" s="1"/>
  <c r="F142" i="7"/>
  <c r="I246" i="10" s="1"/>
  <c r="E142" i="7"/>
  <c r="D142" i="7"/>
  <c r="C142" i="7"/>
  <c r="G137" i="7"/>
  <c r="F115" i="9" s="1"/>
  <c r="F137" i="7"/>
  <c r="E115" i="9" s="1"/>
  <c r="E137" i="7"/>
  <c r="D115" i="9" s="1"/>
  <c r="D137" i="7"/>
  <c r="C115" i="9" s="1"/>
  <c r="C137" i="7"/>
  <c r="B115" i="9" s="1"/>
  <c r="B137" i="7"/>
  <c r="G133" i="7"/>
  <c r="F133" i="7"/>
  <c r="E133" i="7"/>
  <c r="D133" i="7"/>
  <c r="C133" i="7"/>
  <c r="B133" i="7"/>
  <c r="G129" i="7"/>
  <c r="F129" i="7"/>
  <c r="E129" i="7"/>
  <c r="D129" i="7"/>
  <c r="C129" i="7"/>
  <c r="G128" i="7"/>
  <c r="F128" i="7"/>
  <c r="E128" i="7"/>
  <c r="D128" i="7"/>
  <c r="C128" i="7"/>
  <c r="G125" i="7"/>
  <c r="F125" i="7"/>
  <c r="E125" i="7"/>
  <c r="D125" i="7"/>
  <c r="C125" i="7"/>
  <c r="B125" i="7"/>
  <c r="G114" i="7"/>
  <c r="F114" i="7"/>
  <c r="E114" i="7"/>
  <c r="D114" i="7"/>
  <c r="C114" i="7"/>
  <c r="B114" i="7"/>
  <c r="G88" i="7"/>
  <c r="F88" i="7"/>
  <c r="E88" i="7"/>
  <c r="D88" i="7"/>
  <c r="C88" i="7"/>
  <c r="B88" i="7"/>
  <c r="G60" i="7"/>
  <c r="F60" i="7"/>
  <c r="E60" i="7"/>
  <c r="D60" i="7"/>
  <c r="C60" i="7"/>
  <c r="B60" i="7"/>
  <c r="G56" i="7"/>
  <c r="F56" i="7"/>
  <c r="E56" i="7"/>
  <c r="D56" i="7"/>
  <c r="C56" i="7"/>
  <c r="B56" i="7"/>
  <c r="E50" i="7"/>
  <c r="D50" i="7"/>
  <c r="C116" i="9" s="1"/>
  <c r="C50" i="7"/>
  <c r="B116" i="9" s="1"/>
  <c r="B50" i="7"/>
  <c r="B52" i="7" s="1"/>
  <c r="E37" i="7"/>
  <c r="E43" i="7" s="1"/>
  <c r="D37" i="7"/>
  <c r="D43" i="7" s="1"/>
  <c r="C37" i="7"/>
  <c r="C43" i="7" s="1"/>
  <c r="B37" i="7"/>
  <c r="B43" i="7" s="1"/>
  <c r="G17" i="7"/>
  <c r="F17" i="7"/>
  <c r="E17" i="7"/>
  <c r="D17" i="7"/>
  <c r="D26" i="7" s="1"/>
  <c r="C224" i="9" s="1"/>
  <c r="C17" i="7"/>
  <c r="C26" i="7" s="1"/>
  <c r="B210" i="9" s="1"/>
  <c r="B17" i="7"/>
  <c r="B26" i="7" s="1"/>
  <c r="R97" i="25" l="1"/>
  <c r="Q97" i="25"/>
  <c r="P97" i="25"/>
  <c r="G253" i="9"/>
  <c r="E197" i="10"/>
  <c r="R103" i="25"/>
  <c r="E194" i="10"/>
  <c r="S102" i="25" s="1"/>
  <c r="R102" i="25"/>
  <c r="E156" i="10"/>
  <c r="F156" i="10" s="1"/>
  <c r="R93" i="25"/>
  <c r="E108" i="10"/>
  <c r="R85" i="25"/>
  <c r="B15" i="10"/>
  <c r="P66" i="25"/>
  <c r="C60" i="9"/>
  <c r="D69" i="7"/>
  <c r="B60" i="9"/>
  <c r="C69" i="7"/>
  <c r="B55" i="9"/>
  <c r="B69" i="7"/>
  <c r="B74" i="7" s="1"/>
  <c r="D33" i="14"/>
  <c r="R151" i="25"/>
  <c r="E304" i="9"/>
  <c r="B352" i="10"/>
  <c r="P151" i="25" s="1"/>
  <c r="C17" i="8"/>
  <c r="C32" i="8"/>
  <c r="D17" i="8"/>
  <c r="F33" i="11"/>
  <c r="D71" i="8"/>
  <c r="E58" i="8"/>
  <c r="B119" i="9"/>
  <c r="F246" i="10"/>
  <c r="C117" i="9"/>
  <c r="G246" i="10"/>
  <c r="D113" i="9"/>
  <c r="H246" i="10"/>
  <c r="E154" i="11"/>
  <c r="E161" i="11"/>
  <c r="E99" i="11"/>
  <c r="F99" i="11"/>
  <c r="G99" i="11"/>
  <c r="F69" i="11"/>
  <c r="G69" i="11"/>
  <c r="H99" i="11"/>
  <c r="I99" i="11"/>
  <c r="I69" i="11"/>
  <c r="H69" i="11"/>
  <c r="C60" i="10"/>
  <c r="D31" i="10"/>
  <c r="D280" i="10"/>
  <c r="C295" i="10"/>
  <c r="B10" i="8"/>
  <c r="B21" i="8" s="1"/>
  <c r="D63" i="10"/>
  <c r="C10" i="8"/>
  <c r="C21" i="8" s="1"/>
  <c r="G256" i="10"/>
  <c r="D54" i="10"/>
  <c r="C82" i="10"/>
  <c r="B117" i="8"/>
  <c r="C117" i="8"/>
  <c r="I44" i="8"/>
  <c r="I57" i="8" s="1"/>
  <c r="I115" i="8" s="1"/>
  <c r="C28" i="8"/>
  <c r="D32" i="8"/>
  <c r="C33" i="8" s="1"/>
  <c r="C106" i="8"/>
  <c r="E106" i="8" s="1"/>
  <c r="B67" i="8"/>
  <c r="B35" i="8"/>
  <c r="D117" i="8"/>
  <c r="D28" i="8"/>
  <c r="C29" i="8" s="1"/>
  <c r="C113" i="10"/>
  <c r="G248" i="10"/>
  <c r="C304" i="10"/>
  <c r="C59" i="10"/>
  <c r="C119" i="10"/>
  <c r="C20" i="10"/>
  <c r="D34" i="10"/>
  <c r="G44" i="8"/>
  <c r="G57" i="8" s="1"/>
  <c r="G115" i="8" s="1"/>
  <c r="H44" i="8"/>
  <c r="H57" i="8" s="1"/>
  <c r="H115" i="8" s="1"/>
  <c r="C41" i="10"/>
  <c r="E254" i="11"/>
  <c r="C294" i="10"/>
  <c r="D149" i="10"/>
  <c r="C291" i="10"/>
  <c r="D276" i="10"/>
  <c r="C276" i="10"/>
  <c r="C340" i="9"/>
  <c r="C348" i="9" s="1"/>
  <c r="B53" i="7"/>
  <c r="C48" i="8"/>
  <c r="C51" i="8" s="1"/>
  <c r="C208" i="9"/>
  <c r="C47" i="10"/>
  <c r="D217" i="10"/>
  <c r="C285" i="10"/>
  <c r="B41" i="9"/>
  <c r="C63" i="10"/>
  <c r="D110" i="10"/>
  <c r="D220" i="10"/>
  <c r="B75" i="10"/>
  <c r="B19" i="9"/>
  <c r="C214" i="9"/>
  <c r="C286" i="10"/>
  <c r="D75" i="10"/>
  <c r="D32" i="10"/>
  <c r="D125" i="10"/>
  <c r="C253" i="9"/>
  <c r="C233" i="9"/>
  <c r="C371" i="9"/>
  <c r="B20" i="10"/>
  <c r="B43" i="10"/>
  <c r="G300" i="9"/>
  <c r="G303" i="9" s="1"/>
  <c r="D371" i="9"/>
  <c r="P124" i="25" s="1"/>
  <c r="C128" i="10"/>
  <c r="C213" i="10"/>
  <c r="E83" i="9"/>
  <c r="C113" i="9"/>
  <c r="C219" i="9"/>
  <c r="E379" i="9"/>
  <c r="D18" i="10"/>
  <c r="D294" i="10"/>
  <c r="C172" i="10"/>
  <c r="F279" i="9"/>
  <c r="D116" i="9"/>
  <c r="D41" i="10"/>
  <c r="C125" i="10"/>
  <c r="D281" i="10"/>
  <c r="C220" i="10"/>
  <c r="B219" i="9"/>
  <c r="C300" i="10"/>
  <c r="C70" i="10"/>
  <c r="D152" i="10"/>
  <c r="C283" i="10"/>
  <c r="D193" i="10"/>
  <c r="B340" i="9"/>
  <c r="B348" i="9" s="1"/>
  <c r="B273" i="9"/>
  <c r="B208" i="9"/>
  <c r="C279" i="10"/>
  <c r="C303" i="10"/>
  <c r="D116" i="10"/>
  <c r="C181" i="10"/>
  <c r="B235" i="9"/>
  <c r="C35" i="10"/>
  <c r="C287" i="10"/>
  <c r="C235" i="9"/>
  <c r="C379" i="9"/>
  <c r="D35" i="10"/>
  <c r="B46" i="10"/>
  <c r="D73" i="10"/>
  <c r="D82" i="10"/>
  <c r="C277" i="10"/>
  <c r="D155" i="10"/>
  <c r="F371" i="9"/>
  <c r="D379" i="9"/>
  <c r="P125" i="25" s="1"/>
  <c r="B253" i="9"/>
  <c r="C75" i="9"/>
  <c r="B224" i="9"/>
  <c r="B331" i="9"/>
  <c r="D47" i="10"/>
  <c r="D119" i="10"/>
  <c r="B146" i="10"/>
  <c r="D184" i="10"/>
  <c r="F76" i="9"/>
  <c r="D358" i="10" s="1"/>
  <c r="R157" i="25" s="1"/>
  <c r="C199" i="9"/>
  <c r="D331" i="9"/>
  <c r="B371" i="9"/>
  <c r="B81" i="10"/>
  <c r="B214" i="9"/>
  <c r="C31" i="10"/>
  <c r="C38" i="10"/>
  <c r="B88" i="10"/>
  <c r="C301" i="10"/>
  <c r="C227" i="10"/>
  <c r="D303" i="10"/>
  <c r="E79" i="11"/>
  <c r="E371" i="9"/>
  <c r="E109" i="11"/>
  <c r="B31" i="10"/>
  <c r="C75" i="10"/>
  <c r="C292" i="10"/>
  <c r="C187" i="10"/>
  <c r="C331" i="9"/>
  <c r="D89" i="10"/>
  <c r="B132" i="10"/>
  <c r="E147" i="10"/>
  <c r="F147" i="10" s="1"/>
  <c r="G147" i="10" s="1"/>
  <c r="H147" i="10" s="1"/>
  <c r="I147" i="10" s="1"/>
  <c r="D299" i="10"/>
  <c r="D10" i="8"/>
  <c r="D44" i="8" s="1"/>
  <c r="D57" i="8" s="1"/>
  <c r="C88" i="9"/>
  <c r="B25" i="10"/>
  <c r="C40" i="10"/>
  <c r="D60" i="10"/>
  <c r="C110" i="10"/>
  <c r="D172" i="10"/>
  <c r="C184" i="10"/>
  <c r="C217" i="10"/>
  <c r="D40" i="10"/>
  <c r="B59" i="10"/>
  <c r="B48" i="8"/>
  <c r="B51" i="8" s="1"/>
  <c r="D25" i="10"/>
  <c r="D128" i="10"/>
  <c r="E182" i="10"/>
  <c r="C226" i="10"/>
  <c r="C274" i="10"/>
  <c r="D301" i="10"/>
  <c r="B34" i="10"/>
  <c r="D59" i="10"/>
  <c r="D76" i="10"/>
  <c r="C302" i="10"/>
  <c r="F304" i="9"/>
  <c r="C16" i="10"/>
  <c r="B28" i="10"/>
  <c r="C34" i="10"/>
  <c r="C280" i="10"/>
  <c r="C166" i="10"/>
  <c r="D175" i="10"/>
  <c r="F203" i="10"/>
  <c r="G203" i="10" s="1"/>
  <c r="E279" i="10"/>
  <c r="C67" i="8"/>
  <c r="D16" i="10"/>
  <c r="C28" i="10"/>
  <c r="C306" i="10"/>
  <c r="C281" i="10"/>
  <c r="D88" i="8"/>
  <c r="D89" i="8" s="1"/>
  <c r="D91" i="8" s="1"/>
  <c r="F306" i="9"/>
  <c r="C44" i="10"/>
  <c r="C54" i="10"/>
  <c r="C105" i="10"/>
  <c r="D166" i="10"/>
  <c r="G306" i="9"/>
  <c r="B18" i="10"/>
  <c r="B19" i="10" s="1"/>
  <c r="D44" i="10"/>
  <c r="B62" i="10"/>
  <c r="D105" i="10"/>
  <c r="C131" i="10"/>
  <c r="C18" i="10"/>
  <c r="D131" i="10"/>
  <c r="C232" i="10"/>
  <c r="B318" i="9"/>
  <c r="B321" i="9" s="1"/>
  <c r="C43" i="10"/>
  <c r="D286" i="10"/>
  <c r="B88" i="9"/>
  <c r="C19" i="10"/>
  <c r="D43" i="10"/>
  <c r="B56" i="10"/>
  <c r="C73" i="10"/>
  <c r="D199" i="10"/>
  <c r="D318" i="9"/>
  <c r="D321" i="9" s="1"/>
  <c r="D19" i="10"/>
  <c r="C116" i="10"/>
  <c r="D213" i="10"/>
  <c r="E106" i="11"/>
  <c r="B113" i="9"/>
  <c r="B117" i="9"/>
  <c r="D117" i="9"/>
  <c r="D127" i="9"/>
  <c r="B306" i="9" s="1"/>
  <c r="D40" i="9"/>
  <c r="B348" i="10" s="1"/>
  <c r="P147" i="25" s="1"/>
  <c r="D60" i="9"/>
  <c r="D55" i="9"/>
  <c r="E69" i="7"/>
  <c r="D161" i="9"/>
  <c r="D67" i="8"/>
  <c r="E253" i="9"/>
  <c r="E75" i="9"/>
  <c r="C357" i="10" s="1"/>
  <c r="Q156" i="25" s="1"/>
  <c r="F26" i="7"/>
  <c r="E201" i="9" s="1"/>
  <c r="F253" i="9"/>
  <c r="E127" i="9"/>
  <c r="C306" i="9" s="1"/>
  <c r="E40" i="9"/>
  <c r="C348" i="10" s="1"/>
  <c r="Q147" i="25" s="1"/>
  <c r="E55" i="9"/>
  <c r="E60" i="9"/>
  <c r="F69" i="7"/>
  <c r="E161" i="9"/>
  <c r="F83" i="9"/>
  <c r="G304" i="9"/>
  <c r="F161" i="9"/>
  <c r="E15" i="8"/>
  <c r="F31" i="8"/>
  <c r="E44" i="8"/>
  <c r="E57" i="8" s="1"/>
  <c r="E115" i="8" s="1"/>
  <c r="E21" i="8"/>
  <c r="C132" i="10"/>
  <c r="Q88" i="25" s="1"/>
  <c r="C122" i="10"/>
  <c r="D278" i="10"/>
  <c r="F194" i="10"/>
  <c r="T102" i="25" s="1"/>
  <c r="E287" i="10"/>
  <c r="C89" i="8"/>
  <c r="G288" i="9"/>
  <c r="F99" i="9"/>
  <c r="D24" i="8"/>
  <c r="C278" i="10"/>
  <c r="C24" i="8"/>
  <c r="C35" i="8"/>
  <c r="B96" i="9"/>
  <c r="B227" i="9"/>
  <c r="B279" i="9"/>
  <c r="C96" i="9"/>
  <c r="C227" i="9"/>
  <c r="C279" i="9"/>
  <c r="D253" i="9"/>
  <c r="D75" i="9"/>
  <c r="B357" i="10" s="1"/>
  <c r="P156" i="25" s="1"/>
  <c r="E26" i="7"/>
  <c r="D227" i="9" s="1"/>
  <c r="F27" i="8"/>
  <c r="F46" i="8"/>
  <c r="E48" i="8"/>
  <c r="D75" i="8" s="1"/>
  <c r="E23" i="8"/>
  <c r="F55" i="9"/>
  <c r="C213" i="9"/>
  <c r="C204" i="9"/>
  <c r="C196" i="9"/>
  <c r="C229" i="9"/>
  <c r="C226" i="9"/>
  <c r="C218" i="9"/>
  <c r="C209" i="9"/>
  <c r="C193" i="9"/>
  <c r="C223" i="9"/>
  <c r="C215" i="9"/>
  <c r="C206" i="9"/>
  <c r="C198" i="9"/>
  <c r="C231" i="9"/>
  <c r="C220" i="9"/>
  <c r="C212" i="9"/>
  <c r="C203" i="9"/>
  <c r="C195" i="9"/>
  <c r="C228" i="9"/>
  <c r="C225" i="9"/>
  <c r="C217" i="9"/>
  <c r="C61" i="9"/>
  <c r="D35" i="8"/>
  <c r="D48" i="8"/>
  <c r="B200" i="9"/>
  <c r="B205" i="9"/>
  <c r="C230" i="9"/>
  <c r="B379" i="9"/>
  <c r="B30" i="9"/>
  <c r="B24" i="9"/>
  <c r="B234" i="9"/>
  <c r="B286" i="9"/>
  <c r="G53" i="7"/>
  <c r="B36" i="9"/>
  <c r="C200" i="9"/>
  <c r="C205" i="9"/>
  <c r="B232" i="9"/>
  <c r="B213" i="9"/>
  <c r="B204" i="9"/>
  <c r="B196" i="9"/>
  <c r="C30" i="9"/>
  <c r="B229" i="9"/>
  <c r="C35" i="9"/>
  <c r="B226" i="9"/>
  <c r="B218" i="9"/>
  <c r="B209" i="9"/>
  <c r="B193" i="9"/>
  <c r="C19" i="9"/>
  <c r="B223" i="9"/>
  <c r="B215" i="9"/>
  <c r="B206" i="9"/>
  <c r="B198" i="9"/>
  <c r="B231" i="9"/>
  <c r="C29" i="9"/>
  <c r="B220" i="9"/>
  <c r="B212" i="9"/>
  <c r="B203" i="9"/>
  <c r="B195" i="9"/>
  <c r="B228" i="9"/>
  <c r="D56" i="10"/>
  <c r="D57" i="10"/>
  <c r="C234" i="9"/>
  <c r="C286" i="9"/>
  <c r="E117" i="9"/>
  <c r="E113" i="9"/>
  <c r="B29" i="9"/>
  <c r="C36" i="9"/>
  <c r="D85" i="9"/>
  <c r="E305" i="9"/>
  <c r="C210" i="9"/>
  <c r="B216" i="9"/>
  <c r="B225" i="9"/>
  <c r="D279" i="9"/>
  <c r="D292" i="10"/>
  <c r="D291" i="10"/>
  <c r="C143" i="10"/>
  <c r="F211" i="10"/>
  <c r="C216" i="9"/>
  <c r="E279" i="9"/>
  <c r="D113" i="10"/>
  <c r="D132" i="10"/>
  <c r="R88" i="25" s="1"/>
  <c r="D143" i="10"/>
  <c r="D295" i="10"/>
  <c r="C158" i="10"/>
  <c r="B46" i="9"/>
  <c r="B170" i="9"/>
  <c r="B56" i="9"/>
  <c r="C100" i="8"/>
  <c r="E100" i="8" s="1"/>
  <c r="E286" i="9"/>
  <c r="E116" i="9"/>
  <c r="B147" i="7"/>
  <c r="B8" i="9" s="1"/>
  <c r="F85" i="9"/>
  <c r="G305" i="9"/>
  <c r="B197" i="9"/>
  <c r="C89" i="10"/>
  <c r="C88" i="10"/>
  <c r="D158" i="10"/>
  <c r="F97" i="9"/>
  <c r="G279" i="9"/>
  <c r="D286" i="9"/>
  <c r="B221" i="9"/>
  <c r="D340" i="9"/>
  <c r="D348" i="9" s="1"/>
  <c r="G286" i="9"/>
  <c r="F286" i="9"/>
  <c r="F116" i="9"/>
  <c r="C74" i="7"/>
  <c r="B106" i="9" s="1"/>
  <c r="B107" i="9" s="1"/>
  <c r="C101" i="8"/>
  <c r="E101" i="8" s="1"/>
  <c r="C119" i="9"/>
  <c r="C197" i="9"/>
  <c r="B202" i="9"/>
  <c r="C232" i="9"/>
  <c r="B262" i="9"/>
  <c r="C107" i="8"/>
  <c r="C221" i="9"/>
  <c r="C273" i="9"/>
  <c r="D74" i="7"/>
  <c r="C106" i="9" s="1"/>
  <c r="C107" i="9" s="1"/>
  <c r="F21" i="8"/>
  <c r="C46" i="9"/>
  <c r="F75" i="9"/>
  <c r="D357" i="10" s="1"/>
  <c r="R156" i="25" s="1"/>
  <c r="D119" i="9"/>
  <c r="C202" i="9"/>
  <c r="B207" i="9"/>
  <c r="C262" i="9"/>
  <c r="D283" i="10"/>
  <c r="D181" i="10"/>
  <c r="F127" i="9"/>
  <c r="D306" i="9" s="1"/>
  <c r="F40" i="9"/>
  <c r="D348" i="10" s="1"/>
  <c r="R147" i="25" s="1"/>
  <c r="F60" i="9"/>
  <c r="C29" i="10"/>
  <c r="D29" i="10"/>
  <c r="D28" i="10"/>
  <c r="C56" i="10"/>
  <c r="C57" i="10"/>
  <c r="B230" i="9"/>
  <c r="G69" i="7"/>
  <c r="F305" i="9"/>
  <c r="G161" i="9"/>
  <c r="D273" i="9"/>
  <c r="C52" i="7"/>
  <c r="B97" i="9" s="1"/>
  <c r="C102" i="8"/>
  <c r="E102" i="8" s="1"/>
  <c r="B76" i="9"/>
  <c r="E85" i="9"/>
  <c r="E119" i="9"/>
  <c r="C207" i="9"/>
  <c r="B222" i="9"/>
  <c r="C25" i="10"/>
  <c r="C26" i="10"/>
  <c r="H248" i="10"/>
  <c r="I249" i="10"/>
  <c r="I248" i="10" s="1"/>
  <c r="F117" i="9"/>
  <c r="F119" i="9"/>
  <c r="E273" i="9"/>
  <c r="D52" i="7"/>
  <c r="D53" i="7" s="1"/>
  <c r="D147" i="7" s="1"/>
  <c r="D8" i="9" s="1"/>
  <c r="C24" i="9"/>
  <c r="C76" i="9"/>
  <c r="B217" i="9"/>
  <c r="C222" i="9"/>
  <c r="F300" i="9"/>
  <c r="F303" i="9" s="1"/>
  <c r="C300" i="9"/>
  <c r="C303" i="9" s="1"/>
  <c r="D69" i="10"/>
  <c r="D70" i="10"/>
  <c r="D88" i="10"/>
  <c r="C293" i="10"/>
  <c r="D306" i="10"/>
  <c r="D232" i="10"/>
  <c r="C299" i="10"/>
  <c r="B75" i="9"/>
  <c r="B201" i="9"/>
  <c r="G273" i="9"/>
  <c r="F273" i="9"/>
  <c r="E52" i="7"/>
  <c r="E53" i="7" s="1"/>
  <c r="B161" i="9"/>
  <c r="B127" i="9"/>
  <c r="B40" i="9"/>
  <c r="C103" i="8"/>
  <c r="E103" i="8" s="1"/>
  <c r="D76" i="9"/>
  <c r="B358" i="10" s="1"/>
  <c r="P157" i="25" s="1"/>
  <c r="B194" i="9"/>
  <c r="H59" i="10"/>
  <c r="D293" i="10"/>
  <c r="C137" i="10"/>
  <c r="D289" i="10"/>
  <c r="D205" i="10"/>
  <c r="B35" i="9"/>
  <c r="G26" i="7"/>
  <c r="F236" i="9" s="1"/>
  <c r="C201" i="9"/>
  <c r="F52" i="7"/>
  <c r="E97" i="9" s="1"/>
  <c r="C362" i="10" s="1"/>
  <c r="C161" i="9"/>
  <c r="C55" i="9"/>
  <c r="C104" i="8"/>
  <c r="E104" i="8" s="1"/>
  <c r="C40" i="9"/>
  <c r="E76" i="9"/>
  <c r="C358" i="10" s="1"/>
  <c r="Q157" i="25" s="1"/>
  <c r="D83" i="9"/>
  <c r="C127" i="9"/>
  <c r="C194" i="9"/>
  <c r="B199" i="9"/>
  <c r="B233" i="9"/>
  <c r="D26" i="10"/>
  <c r="D37" i="10"/>
  <c r="D38" i="10"/>
  <c r="D137" i="10"/>
  <c r="E135" i="10"/>
  <c r="S90" i="25" s="1"/>
  <c r="C205" i="10"/>
  <c r="C289" i="10"/>
  <c r="C175" i="10"/>
  <c r="F126" i="10"/>
  <c r="F279" i="10" s="1"/>
  <c r="D122" i="10"/>
  <c r="C140" i="10"/>
  <c r="D146" i="10"/>
  <c r="C15" i="10"/>
  <c r="C46" i="10"/>
  <c r="C81" i="10"/>
  <c r="D140" i="10"/>
  <c r="C169" i="10"/>
  <c r="D304" i="10"/>
  <c r="D226" i="10"/>
  <c r="B300" i="9"/>
  <c r="B303" i="9" s="1"/>
  <c r="D15" i="10"/>
  <c r="D20" i="10"/>
  <c r="R68" i="25" s="1"/>
  <c r="D53" i="10"/>
  <c r="C62" i="10"/>
  <c r="B72" i="10"/>
  <c r="C76" i="10"/>
  <c r="D81" i="10"/>
  <c r="E138" i="10"/>
  <c r="F138" i="10" s="1"/>
  <c r="G138" i="10" s="1"/>
  <c r="H138" i="10" s="1"/>
  <c r="I138" i="10" s="1"/>
  <c r="D169" i="10"/>
  <c r="C178" i="10"/>
  <c r="C282" i="10"/>
  <c r="D46" i="10"/>
  <c r="C72" i="10"/>
  <c r="D178" i="10"/>
  <c r="D282" i="10"/>
  <c r="B40" i="10"/>
  <c r="D62" i="10"/>
  <c r="D72" i="10"/>
  <c r="E176" i="10"/>
  <c r="F176" i="10" s="1"/>
  <c r="G176" i="10" s="1"/>
  <c r="H176" i="10" s="1"/>
  <c r="I176" i="10" s="1"/>
  <c r="B37" i="10"/>
  <c r="B53" i="10"/>
  <c r="B69" i="10"/>
  <c r="C196" i="10"/>
  <c r="E306" i="9"/>
  <c r="C37" i="10"/>
  <c r="C53" i="10"/>
  <c r="C69" i="10"/>
  <c r="B143" i="10"/>
  <c r="B188" i="10"/>
  <c r="P100" i="25" s="1"/>
  <c r="D287" i="10"/>
  <c r="D196" i="10"/>
  <c r="C223" i="10"/>
  <c r="D279" i="10"/>
  <c r="C155" i="10"/>
  <c r="D202" i="10"/>
  <c r="F221" i="10"/>
  <c r="E303" i="10"/>
  <c r="E200" i="10"/>
  <c r="S104" i="25" s="1"/>
  <c r="E129" i="10"/>
  <c r="E153" i="10"/>
  <c r="D300" i="10"/>
  <c r="J9" i="10"/>
  <c r="C152" i="10"/>
  <c r="E191" i="10"/>
  <c r="C284" i="10"/>
  <c r="C288" i="10"/>
  <c r="C296" i="10"/>
  <c r="D285" i="10"/>
  <c r="E185" i="10"/>
  <c r="D187" i="10"/>
  <c r="D284" i="10"/>
  <c r="D288" i="10"/>
  <c r="D296" i="10"/>
  <c r="J101" i="10"/>
  <c r="C149" i="10"/>
  <c r="E150" i="10"/>
  <c r="E296" i="10" s="1"/>
  <c r="C199" i="10"/>
  <c r="B227" i="10"/>
  <c r="P110" i="25" s="1"/>
  <c r="J102" i="10"/>
  <c r="C202" i="10"/>
  <c r="D277" i="10"/>
  <c r="D274" i="10"/>
  <c r="C146" i="10"/>
  <c r="C193" i="10"/>
  <c r="I256" i="10"/>
  <c r="H256" i="10"/>
  <c r="F154" i="11"/>
  <c r="E163" i="11"/>
  <c r="D223" i="10"/>
  <c r="G154" i="11"/>
  <c r="E220" i="11"/>
  <c r="H154" i="11"/>
  <c r="E166" i="11"/>
  <c r="C188" i="10"/>
  <c r="Q100" i="25" s="1"/>
  <c r="E215" i="10"/>
  <c r="S108" i="25" s="1"/>
  <c r="I154" i="11"/>
  <c r="E213" i="11"/>
  <c r="D188" i="10"/>
  <c r="R100" i="25" s="1"/>
  <c r="D227" i="10"/>
  <c r="R110" i="25" s="1"/>
  <c r="E74" i="11"/>
  <c r="F213" i="11"/>
  <c r="E260" i="11"/>
  <c r="G213" i="11"/>
  <c r="E224" i="11"/>
  <c r="D302" i="10"/>
  <c r="E104" i="11"/>
  <c r="H213" i="11"/>
  <c r="E263" i="11"/>
  <c r="E69" i="11"/>
  <c r="S103" i="25" l="1"/>
  <c r="F197" i="10"/>
  <c r="S93" i="25"/>
  <c r="E295" i="10"/>
  <c r="S85" i="25"/>
  <c r="F108" i="10"/>
  <c r="C41" i="9"/>
  <c r="C136" i="9"/>
  <c r="B136" i="9"/>
  <c r="C170" i="9"/>
  <c r="C56" i="9"/>
  <c r="B61" i="9"/>
  <c r="B79" i="7"/>
  <c r="B136" i="7"/>
  <c r="C21" i="10"/>
  <c r="Q68" i="25"/>
  <c r="B21" i="10"/>
  <c r="P68" i="25"/>
  <c r="C233" i="10"/>
  <c r="Q113" i="25" s="1"/>
  <c r="Q110" i="25"/>
  <c r="B159" i="10"/>
  <c r="P88" i="25"/>
  <c r="F295" i="10"/>
  <c r="T93" i="25"/>
  <c r="E294" i="10"/>
  <c r="S92" i="25"/>
  <c r="E107" i="8"/>
  <c r="E109" i="8" s="1"/>
  <c r="F75" i="8"/>
  <c r="I75" i="8"/>
  <c r="G75" i="8"/>
  <c r="E75" i="8"/>
  <c r="H75" i="8"/>
  <c r="D362" i="10"/>
  <c r="D27" i="14"/>
  <c r="I71" i="8"/>
  <c r="E71" i="8"/>
  <c r="C44" i="8"/>
  <c r="C57" i="8" s="1"/>
  <c r="C48" i="10"/>
  <c r="Q73" i="25" s="1"/>
  <c r="B44" i="8"/>
  <c r="B57" i="8" s="1"/>
  <c r="C22" i="10"/>
  <c r="F50" i="11"/>
  <c r="C25" i="8"/>
  <c r="C52" i="8"/>
  <c r="D21" i="8"/>
  <c r="B52" i="8"/>
  <c r="F71" i="8"/>
  <c r="B48" i="10"/>
  <c r="E65" i="11"/>
  <c r="C229" i="10"/>
  <c r="F289" i="10"/>
  <c r="B26" i="10"/>
  <c r="B47" i="10"/>
  <c r="B32" i="10"/>
  <c r="J147" i="10"/>
  <c r="E88" i="9"/>
  <c r="C298" i="10"/>
  <c r="Q124" i="25" s="1"/>
  <c r="G71" i="8"/>
  <c r="H71" i="8"/>
  <c r="F221" i="9"/>
  <c r="F227" i="9"/>
  <c r="E221" i="9"/>
  <c r="D30" i="9"/>
  <c r="B338" i="10" s="1"/>
  <c r="P143" i="25" s="1"/>
  <c r="D234" i="9"/>
  <c r="C97" i="9"/>
  <c r="E227" i="9"/>
  <c r="B89" i="10"/>
  <c r="E88" i="10" s="1"/>
  <c r="F88" i="10" s="1"/>
  <c r="G88" i="10" s="1"/>
  <c r="H88" i="10" s="1"/>
  <c r="I88" i="10" s="1"/>
  <c r="D221" i="9"/>
  <c r="E234" i="9"/>
  <c r="D88" i="9"/>
  <c r="B35" i="10"/>
  <c r="D24" i="9"/>
  <c r="B332" i="10" s="1"/>
  <c r="E40" i="10"/>
  <c r="F40" i="10" s="1"/>
  <c r="G40" i="10" s="1"/>
  <c r="H40" i="10" s="1"/>
  <c r="I40" i="10" s="1"/>
  <c r="B29" i="10"/>
  <c r="B133" i="10"/>
  <c r="B198" i="10"/>
  <c r="B148" i="10"/>
  <c r="B145" i="10"/>
  <c r="B38" i="10"/>
  <c r="B154" i="10"/>
  <c r="E284" i="10"/>
  <c r="F182" i="10"/>
  <c r="B168" i="10"/>
  <c r="B222" i="10"/>
  <c r="B157" i="10"/>
  <c r="B201" i="10"/>
  <c r="F88" i="9"/>
  <c r="E293" i="10"/>
  <c r="D237" i="9"/>
  <c r="D289" i="9"/>
  <c r="F153" i="10"/>
  <c r="T92" i="25" s="1"/>
  <c r="B160" i="10"/>
  <c r="B225" i="10"/>
  <c r="B177" i="10"/>
  <c r="B165" i="10"/>
  <c r="B180" i="10"/>
  <c r="B212" i="10"/>
  <c r="B118" i="10"/>
  <c r="B112" i="10"/>
  <c r="B186" i="10"/>
  <c r="B219" i="10"/>
  <c r="B109" i="10"/>
  <c r="B127" i="10"/>
  <c r="B231" i="10"/>
  <c r="B183" i="10"/>
  <c r="B130" i="10"/>
  <c r="B115" i="10"/>
  <c r="B216" i="10"/>
  <c r="B204" i="10"/>
  <c r="F15" i="8"/>
  <c r="G31" i="8"/>
  <c r="D22" i="10"/>
  <c r="D21" i="10"/>
  <c r="D48" i="10"/>
  <c r="R73" i="25" s="1"/>
  <c r="B70" i="10" a="1"/>
  <c r="B70" i="10" s="1"/>
  <c r="D298" i="10"/>
  <c r="R124" i="25" s="1"/>
  <c r="E13" i="8"/>
  <c r="E16" i="8" s="1"/>
  <c r="F23" i="8"/>
  <c r="E35" i="8"/>
  <c r="E116" i="8" s="1"/>
  <c r="E17" i="10" s="1"/>
  <c r="S67" i="25" s="1"/>
  <c r="G289" i="10"/>
  <c r="H203" i="10"/>
  <c r="D72" i="8"/>
  <c r="G211" i="10"/>
  <c r="F301" i="10"/>
  <c r="D97" i="9"/>
  <c r="B362" i="10" s="1"/>
  <c r="B233" i="10"/>
  <c r="B228" i="10"/>
  <c r="B192" i="10"/>
  <c r="E58" i="10"/>
  <c r="C49" i="10"/>
  <c r="C64" i="10"/>
  <c r="D51" i="8"/>
  <c r="D52" i="8"/>
  <c r="G46" i="8"/>
  <c r="F48" i="8"/>
  <c r="F129" i="10"/>
  <c r="F280" i="10" s="1"/>
  <c r="B54" i="10"/>
  <c r="F111" i="10"/>
  <c r="F292" i="10" s="1"/>
  <c r="E280" i="10"/>
  <c r="B189" i="10"/>
  <c r="B206" i="10"/>
  <c r="P105" i="25" s="1"/>
  <c r="B195" i="10"/>
  <c r="E304" i="10"/>
  <c r="B141" i="9"/>
  <c r="B102" i="9"/>
  <c r="B101" i="9"/>
  <c r="B175" i="9"/>
  <c r="C136" i="7"/>
  <c r="B62" i="9"/>
  <c r="C79" i="7"/>
  <c r="F14" i="8"/>
  <c r="G27" i="8"/>
  <c r="G194" i="10"/>
  <c r="U102" i="25" s="1"/>
  <c r="F287" i="10"/>
  <c r="E61" i="9"/>
  <c r="E46" i="9"/>
  <c r="F74" i="7"/>
  <c r="E41" i="9"/>
  <c r="C349" i="10" s="1"/>
  <c r="Q148" i="25" s="1"/>
  <c r="E136" i="9"/>
  <c r="C308" i="9" s="1"/>
  <c r="E170" i="9"/>
  <c r="E56" i="9"/>
  <c r="E288" i="10"/>
  <c r="F200" i="10"/>
  <c r="T104" i="25" s="1"/>
  <c r="D229" i="10"/>
  <c r="D233" i="10"/>
  <c r="R113" i="25" s="1"/>
  <c r="E149" i="11"/>
  <c r="J176" i="10"/>
  <c r="I59" i="10"/>
  <c r="B174" i="10"/>
  <c r="G289" i="9"/>
  <c r="F237" i="9"/>
  <c r="C53" i="7"/>
  <c r="C289" i="9" s="1"/>
  <c r="D170" i="9"/>
  <c r="D56" i="9"/>
  <c r="D61" i="9"/>
  <c r="D41" i="9"/>
  <c r="B349" i="10" s="1"/>
  <c r="P148" i="25" s="1"/>
  <c r="D46" i="9"/>
  <c r="E74" i="7"/>
  <c r="D136" i="9"/>
  <c r="B308" i="9" s="1"/>
  <c r="D206" i="10"/>
  <c r="R105" i="25" s="1"/>
  <c r="D190" i="10"/>
  <c r="F150" i="10"/>
  <c r="G221" i="10"/>
  <c r="F303" i="10"/>
  <c r="B171" i="10"/>
  <c r="B139" i="10"/>
  <c r="C99" i="9"/>
  <c r="C288" i="9"/>
  <c r="C236" i="9"/>
  <c r="C98" i="9"/>
  <c r="C102" i="9"/>
  <c r="C101" i="9"/>
  <c r="C141" i="9"/>
  <c r="D136" i="7"/>
  <c r="C175" i="9"/>
  <c r="C62" i="9"/>
  <c r="D79" i="7"/>
  <c r="D229" i="9"/>
  <c r="E35" i="9"/>
  <c r="C343" i="10" s="1"/>
  <c r="D226" i="9"/>
  <c r="D218" i="9"/>
  <c r="D209" i="9"/>
  <c r="D193" i="9"/>
  <c r="E19" i="9"/>
  <c r="C327" i="10" s="1"/>
  <c r="Q137" i="25" s="1"/>
  <c r="B338" i="9"/>
  <c r="B343" i="9" s="1"/>
  <c r="D223" i="9"/>
  <c r="D215" i="9"/>
  <c r="D206" i="9"/>
  <c r="D198" i="9"/>
  <c r="D231" i="9"/>
  <c r="E29" i="9"/>
  <c r="C337" i="10" s="1"/>
  <c r="Q142" i="25" s="1"/>
  <c r="D220" i="9"/>
  <c r="D212" i="9"/>
  <c r="D203" i="9"/>
  <c r="D195" i="9"/>
  <c r="D228" i="9"/>
  <c r="D225" i="9"/>
  <c r="D217" i="9"/>
  <c r="D208" i="9"/>
  <c r="D200" i="9"/>
  <c r="D233" i="9"/>
  <c r="D36" i="9"/>
  <c r="B344" i="10" s="1"/>
  <c r="D222" i="9"/>
  <c r="E24" i="9"/>
  <c r="C332" i="10" s="1"/>
  <c r="D19" i="9"/>
  <c r="B327" i="10" s="1"/>
  <c r="P137" i="25" s="1"/>
  <c r="D213" i="9"/>
  <c r="D207" i="9"/>
  <c r="D262" i="9"/>
  <c r="B323" i="10" s="1"/>
  <c r="P133" i="25" s="1"/>
  <c r="D202" i="9"/>
  <c r="E147" i="7"/>
  <c r="E8" i="9" s="1"/>
  <c r="D29" i="9"/>
  <c r="B337" i="10" s="1"/>
  <c r="P142" i="25" s="1"/>
  <c r="D224" i="9"/>
  <c r="D232" i="9"/>
  <c r="D197" i="9"/>
  <c r="D219" i="9"/>
  <c r="E30" i="9"/>
  <c r="C338" i="10" s="1"/>
  <c r="Q143" i="25" s="1"/>
  <c r="D214" i="9"/>
  <c r="D216" i="9"/>
  <c r="E36" i="9"/>
  <c r="C344" i="10" s="1"/>
  <c r="D210" i="9"/>
  <c r="D205" i="9"/>
  <c r="D230" i="9"/>
  <c r="D235" i="9"/>
  <c r="D196" i="9"/>
  <c r="D199" i="9"/>
  <c r="D96" i="9"/>
  <c r="B361" i="10" s="1"/>
  <c r="D194" i="9"/>
  <c r="D204" i="9"/>
  <c r="F52" i="11"/>
  <c r="F51" i="11"/>
  <c r="F49" i="11"/>
  <c r="E285" i="10"/>
  <c r="F185" i="10"/>
  <c r="B142" i="10"/>
  <c r="B121" i="10"/>
  <c r="F234" i="9"/>
  <c r="C134" i="10"/>
  <c r="C159" i="10"/>
  <c r="F34" i="11"/>
  <c r="F36" i="11" s="1"/>
  <c r="E9" i="18" s="1"/>
  <c r="F56" i="10"/>
  <c r="J138" i="10"/>
  <c r="E288" i="9"/>
  <c r="E236" i="9"/>
  <c r="E99" i="9"/>
  <c r="E98" i="9"/>
  <c r="F53" i="7"/>
  <c r="F147" i="7" s="1"/>
  <c r="F8" i="9" s="1"/>
  <c r="F288" i="9"/>
  <c r="F61" i="9"/>
  <c r="F46" i="9"/>
  <c r="G74" i="7"/>
  <c r="F106" i="9" s="1"/>
  <c r="F107" i="9" s="1"/>
  <c r="G170" i="9"/>
  <c r="F41" i="9"/>
  <c r="F170" i="9"/>
  <c r="F136" i="9"/>
  <c r="D308" i="9" s="1"/>
  <c r="F56" i="9"/>
  <c r="C237" i="9"/>
  <c r="E51" i="8"/>
  <c r="E59" i="8"/>
  <c r="E60" i="8" s="1"/>
  <c r="F191" i="10"/>
  <c r="E300" i="10"/>
  <c r="B124" i="10"/>
  <c r="G126" i="10"/>
  <c r="G279" i="10" s="1"/>
  <c r="D134" i="10"/>
  <c r="D159" i="10"/>
  <c r="D98" i="9"/>
  <c r="D288" i="9"/>
  <c r="D236" i="9"/>
  <c r="D99" i="9"/>
  <c r="F215" i="10"/>
  <c r="T108" i="25" s="1"/>
  <c r="E302" i="10"/>
  <c r="D338" i="9"/>
  <c r="D343" i="9" s="1"/>
  <c r="F223" i="9"/>
  <c r="F215" i="9"/>
  <c r="F206" i="9"/>
  <c r="F198" i="9"/>
  <c r="F231" i="9"/>
  <c r="F220" i="9"/>
  <c r="F212" i="9"/>
  <c r="F203" i="9"/>
  <c r="F195" i="9"/>
  <c r="F228" i="9"/>
  <c r="F225" i="9"/>
  <c r="F217" i="9"/>
  <c r="F208" i="9"/>
  <c r="F200" i="9"/>
  <c r="F233" i="9"/>
  <c r="F222" i="9"/>
  <c r="F214" i="9"/>
  <c r="F205" i="9"/>
  <c r="F197" i="9"/>
  <c r="F230" i="9"/>
  <c r="G262" i="9"/>
  <c r="F218" i="9"/>
  <c r="F213" i="9"/>
  <c r="F207" i="9"/>
  <c r="F262" i="9"/>
  <c r="D323" i="10" s="1"/>
  <c r="R133" i="25" s="1"/>
  <c r="F202" i="9"/>
  <c r="G147" i="7"/>
  <c r="F232" i="9"/>
  <c r="F193" i="9"/>
  <c r="F216" i="9"/>
  <c r="F229" i="9"/>
  <c r="F96" i="9"/>
  <c r="F210" i="9"/>
  <c r="F226" i="9"/>
  <c r="F204" i="9"/>
  <c r="F194" i="9"/>
  <c r="F201" i="9"/>
  <c r="F235" i="9"/>
  <c r="F196" i="9"/>
  <c r="F209" i="9"/>
  <c r="F199" i="9"/>
  <c r="F224" i="9"/>
  <c r="F219" i="9"/>
  <c r="J248" i="10"/>
  <c r="D35" i="9"/>
  <c r="B343" i="10" s="1"/>
  <c r="D201" i="9"/>
  <c r="D86" i="8"/>
  <c r="D115" i="8"/>
  <c r="F135" i="10"/>
  <c r="C190" i="10"/>
  <c r="C206" i="10"/>
  <c r="Q105" i="25" s="1"/>
  <c r="J61" i="10"/>
  <c r="J71" i="10"/>
  <c r="J74" i="10"/>
  <c r="J87" i="10"/>
  <c r="B136" i="10"/>
  <c r="B99" i="9"/>
  <c r="B98" i="9"/>
  <c r="B288" i="9"/>
  <c r="B236" i="9"/>
  <c r="G156" i="10"/>
  <c r="U93" i="25" s="1"/>
  <c r="E292" i="10"/>
  <c r="E226" i="9"/>
  <c r="E218" i="9"/>
  <c r="E209" i="9"/>
  <c r="E193" i="9"/>
  <c r="F19" i="9"/>
  <c r="D327" i="10" s="1"/>
  <c r="R137" i="25" s="1"/>
  <c r="C338" i="9"/>
  <c r="C343" i="9" s="1"/>
  <c r="E223" i="9"/>
  <c r="E215" i="9"/>
  <c r="E206" i="9"/>
  <c r="E198" i="9"/>
  <c r="F24" i="9"/>
  <c r="D332" i="10" s="1"/>
  <c r="E231" i="9"/>
  <c r="E220" i="9"/>
  <c r="E212" i="9"/>
  <c r="E203" i="9"/>
  <c r="E195" i="9"/>
  <c r="E228" i="9"/>
  <c r="E225" i="9"/>
  <c r="E217" i="9"/>
  <c r="E208" i="9"/>
  <c r="E200" i="9"/>
  <c r="E233" i="9"/>
  <c r="E222" i="9"/>
  <c r="E219" i="9"/>
  <c r="E199" i="9"/>
  <c r="E213" i="9"/>
  <c r="E207" i="9"/>
  <c r="E262" i="9"/>
  <c r="C323" i="10" s="1"/>
  <c r="Q133" i="25" s="1"/>
  <c r="E202" i="9"/>
  <c r="E232" i="9"/>
  <c r="E197" i="9"/>
  <c r="F30" i="9"/>
  <c r="D338" i="10" s="1"/>
  <c r="R143" i="25" s="1"/>
  <c r="E216" i="9"/>
  <c r="F36" i="9"/>
  <c r="D344" i="10" s="1"/>
  <c r="E210" i="9"/>
  <c r="F29" i="9"/>
  <c r="D337" i="10" s="1"/>
  <c r="R142" i="25" s="1"/>
  <c r="E224" i="9"/>
  <c r="E205" i="9"/>
  <c r="E230" i="9"/>
  <c r="E235" i="9"/>
  <c r="E196" i="9"/>
  <c r="E214" i="9"/>
  <c r="F35" i="9"/>
  <c r="D343" i="10" s="1"/>
  <c r="E204" i="9"/>
  <c r="E96" i="9"/>
  <c r="C361" i="10" s="1"/>
  <c r="E194" i="9"/>
  <c r="E229" i="9"/>
  <c r="F53" i="11" l="1"/>
  <c r="T103" i="25"/>
  <c r="G197" i="10"/>
  <c r="T85" i="25"/>
  <c r="G108" i="10"/>
  <c r="P94" i="25"/>
  <c r="B151" i="10"/>
  <c r="B85" i="7"/>
  <c r="B90" i="7"/>
  <c r="B81" i="7"/>
  <c r="B148" i="7" s="1"/>
  <c r="B9" i="9" s="1"/>
  <c r="C50" i="10"/>
  <c r="P73" i="25"/>
  <c r="B234" i="10"/>
  <c r="P113" i="25"/>
  <c r="C234" i="10"/>
  <c r="Q94" i="25"/>
  <c r="D228" i="10"/>
  <c r="R94" i="25"/>
  <c r="F293" i="10"/>
  <c r="T90" i="25"/>
  <c r="D22" i="14"/>
  <c r="D349" i="10"/>
  <c r="R148" i="25" s="1"/>
  <c r="E80" i="8"/>
  <c r="E72" i="8"/>
  <c r="F72" i="8" s="1"/>
  <c r="G72" i="8" s="1"/>
  <c r="H72" i="8" s="1"/>
  <c r="B86" i="8"/>
  <c r="B115" i="8"/>
  <c r="D26" i="14"/>
  <c r="D361" i="10"/>
  <c r="C115" i="8"/>
  <c r="C86" i="8"/>
  <c r="B49" i="10"/>
  <c r="B64" i="10"/>
  <c r="C66" i="10" s="1"/>
  <c r="F65" i="11"/>
  <c r="E301" i="9"/>
  <c r="F284" i="10"/>
  <c r="G182" i="10"/>
  <c r="C189" i="10"/>
  <c r="H156" i="10"/>
  <c r="F81" i="10"/>
  <c r="E80" i="10"/>
  <c r="E230" i="10" s="1"/>
  <c r="S112" i="25" s="1"/>
  <c r="F301" i="9"/>
  <c r="G295" i="10"/>
  <c r="C324" i="9"/>
  <c r="E101" i="9"/>
  <c r="C363" i="10" s="1"/>
  <c r="C337" i="9"/>
  <c r="C346" i="9" s="1"/>
  <c r="E102" i="9"/>
  <c r="E62" i="9"/>
  <c r="F79" i="7"/>
  <c r="F136" i="7"/>
  <c r="E175" i="9"/>
  <c r="E141" i="9"/>
  <c r="C309" i="9" s="1"/>
  <c r="E106" i="9"/>
  <c r="E107" i="9" s="1"/>
  <c r="F304" i="10"/>
  <c r="C77" i="10"/>
  <c r="Q81" i="25" s="1"/>
  <c r="C65" i="10"/>
  <c r="F13" i="8"/>
  <c r="F16" i="8" s="1"/>
  <c r="F52" i="8" s="1"/>
  <c r="F35" i="8"/>
  <c r="F116" i="8" s="1"/>
  <c r="F17" i="10" s="1"/>
  <c r="T67" i="25" s="1"/>
  <c r="G23" i="8"/>
  <c r="G287" i="10"/>
  <c r="H194" i="10"/>
  <c r="V102" i="25" s="1"/>
  <c r="E237" i="9"/>
  <c r="E289" i="9"/>
  <c r="F58" i="8"/>
  <c r="E141" i="10"/>
  <c r="S91" i="25" s="1"/>
  <c r="D235" i="10"/>
  <c r="D234" i="10"/>
  <c r="G111" i="10"/>
  <c r="G292" i="10" s="1"/>
  <c r="D49" i="10"/>
  <c r="D64" i="10"/>
  <c r="D50" i="10"/>
  <c r="G153" i="10"/>
  <c r="B323" i="9"/>
  <c r="B20" i="9"/>
  <c r="B25" i="9"/>
  <c r="B146" i="9"/>
  <c r="B64" i="9"/>
  <c r="B18" i="9"/>
  <c r="B23" i="9"/>
  <c r="C85" i="7"/>
  <c r="C90" i="7"/>
  <c r="B57" i="9"/>
  <c r="C81" i="7"/>
  <c r="B180" i="9"/>
  <c r="B63" i="9"/>
  <c r="F294" i="10"/>
  <c r="C323" i="9"/>
  <c r="F288" i="10"/>
  <c r="G200" i="10"/>
  <c r="U104" i="25" s="1"/>
  <c r="E206" i="11"/>
  <c r="E151" i="11"/>
  <c r="E159" i="11"/>
  <c r="G56" i="10"/>
  <c r="G303" i="10"/>
  <c r="H221" i="10"/>
  <c r="G129" i="10"/>
  <c r="G301" i="10"/>
  <c r="H211" i="10"/>
  <c r="C235" i="10"/>
  <c r="E14" i="10"/>
  <c r="E17" i="8"/>
  <c r="D160" i="10"/>
  <c r="D165" i="10"/>
  <c r="D222" i="10"/>
  <c r="D174" i="10"/>
  <c r="D161" i="10"/>
  <c r="D212" i="10"/>
  <c r="D115" i="10"/>
  <c r="D183" i="10"/>
  <c r="D186" i="10"/>
  <c r="D219" i="10"/>
  <c r="D148" i="10"/>
  <c r="D109" i="10"/>
  <c r="D127" i="10"/>
  <c r="D198" i="10"/>
  <c r="D130" i="10"/>
  <c r="D216" i="10"/>
  <c r="D225" i="10"/>
  <c r="D180" i="10"/>
  <c r="D121" i="10"/>
  <c r="D112" i="10"/>
  <c r="D124" i="10"/>
  <c r="D145" i="10"/>
  <c r="D139" i="10"/>
  <c r="D201" i="10"/>
  <c r="D142" i="10"/>
  <c r="D231" i="10"/>
  <c r="D168" i="10"/>
  <c r="D151" i="10"/>
  <c r="D204" i="10"/>
  <c r="D136" i="10"/>
  <c r="D195" i="10"/>
  <c r="D171" i="10"/>
  <c r="D154" i="10"/>
  <c r="D177" i="10"/>
  <c r="D157" i="10"/>
  <c r="D118" i="10"/>
  <c r="D192" i="10"/>
  <c r="G150" i="10"/>
  <c r="G301" i="9"/>
  <c r="G14" i="8"/>
  <c r="H27" i="8"/>
  <c r="D133" i="10"/>
  <c r="C225" i="10"/>
  <c r="C165" i="10"/>
  <c r="C222" i="10"/>
  <c r="C174" i="10"/>
  <c r="C161" i="10"/>
  <c r="C180" i="10"/>
  <c r="C212" i="10"/>
  <c r="C160" i="10"/>
  <c r="C118" i="10"/>
  <c r="C112" i="10"/>
  <c r="C145" i="10"/>
  <c r="C115" i="10"/>
  <c r="C186" i="10"/>
  <c r="C154" i="10"/>
  <c r="C219" i="10"/>
  <c r="C148" i="10"/>
  <c r="C109" i="10"/>
  <c r="C127" i="10"/>
  <c r="C151" i="10"/>
  <c r="C216" i="10"/>
  <c r="C183" i="10"/>
  <c r="C228" i="10"/>
  <c r="C130" i="10"/>
  <c r="C157" i="10"/>
  <c r="C136" i="10"/>
  <c r="C124" i="10"/>
  <c r="C121" i="10"/>
  <c r="C192" i="10"/>
  <c r="C168" i="10"/>
  <c r="C204" i="10"/>
  <c r="C231" i="10"/>
  <c r="C171" i="10"/>
  <c r="C142" i="10"/>
  <c r="C177" i="10"/>
  <c r="C139" i="10"/>
  <c r="C198" i="10"/>
  <c r="C201" i="10"/>
  <c r="C195" i="10"/>
  <c r="C25" i="9"/>
  <c r="C146" i="9"/>
  <c r="C18" i="9"/>
  <c r="C20" i="9"/>
  <c r="D85" i="7"/>
  <c r="C64" i="9"/>
  <c r="C23" i="9"/>
  <c r="D90" i="7"/>
  <c r="C57" i="9"/>
  <c r="D81" i="7"/>
  <c r="C180" i="9"/>
  <c r="C63" i="9"/>
  <c r="F296" i="10"/>
  <c r="B289" i="9"/>
  <c r="B237" i="9"/>
  <c r="C147" i="7"/>
  <c r="C8" i="9" s="1"/>
  <c r="F51" i="8"/>
  <c r="F59" i="8"/>
  <c r="D76" i="8"/>
  <c r="B106" i="7"/>
  <c r="B127" i="7" s="1"/>
  <c r="F285" i="10"/>
  <c r="G185" i="10"/>
  <c r="C133" i="10"/>
  <c r="F289" i="9"/>
  <c r="G48" i="8"/>
  <c r="H46" i="8"/>
  <c r="D323" i="9"/>
  <c r="B324" i="9"/>
  <c r="F302" i="10"/>
  <c r="G215" i="10"/>
  <c r="U108" i="25" s="1"/>
  <c r="C208" i="10"/>
  <c r="C236" i="10"/>
  <c r="C207" i="10"/>
  <c r="G135" i="10"/>
  <c r="F58" i="10"/>
  <c r="H126" i="10"/>
  <c r="H279" i="10" s="1"/>
  <c r="D207" i="10"/>
  <c r="D208" i="10"/>
  <c r="D236" i="10"/>
  <c r="I203" i="10"/>
  <c r="H289" i="10"/>
  <c r="G191" i="10"/>
  <c r="F300" i="10"/>
  <c r="B207" i="10"/>
  <c r="B236" i="10"/>
  <c r="P114" i="25" s="1"/>
  <c r="E52" i="8"/>
  <c r="D102" i="9"/>
  <c r="B337" i="9"/>
  <c r="B346" i="9" s="1"/>
  <c r="E79" i="7"/>
  <c r="D175" i="9"/>
  <c r="E136" i="7"/>
  <c r="D62" i="9"/>
  <c r="D101" i="9"/>
  <c r="B363" i="10" s="1"/>
  <c r="D141" i="9"/>
  <c r="B309" i="9" s="1"/>
  <c r="D106" i="9"/>
  <c r="D107" i="9" s="1"/>
  <c r="D324" i="9"/>
  <c r="D337" i="9"/>
  <c r="D346" i="9" s="1"/>
  <c r="G136" i="7"/>
  <c r="F102" i="9"/>
  <c r="G79" i="7"/>
  <c r="F62" i="9"/>
  <c r="F101" i="9"/>
  <c r="G175" i="9"/>
  <c r="F141" i="9"/>
  <c r="D309" i="9" s="1"/>
  <c r="F175" i="9"/>
  <c r="D189" i="10"/>
  <c r="H31" i="8"/>
  <c r="G15" i="8"/>
  <c r="F9" i="28" l="1"/>
  <c r="K9" i="28"/>
  <c r="U103" i="25"/>
  <c r="H197" i="10"/>
  <c r="U85" i="25"/>
  <c r="H108" i="10"/>
  <c r="H295" i="10"/>
  <c r="V93" i="25"/>
  <c r="G294" i="10"/>
  <c r="U92" i="25"/>
  <c r="C239" i="10"/>
  <c r="Q114" i="25"/>
  <c r="G293" i="10"/>
  <c r="U90" i="25"/>
  <c r="D239" i="10"/>
  <c r="R114" i="25"/>
  <c r="D28" i="14"/>
  <c r="D363" i="10"/>
  <c r="E18" i="10"/>
  <c r="S66" i="25"/>
  <c r="B65" i="10"/>
  <c r="D21" i="14"/>
  <c r="E10" i="18"/>
  <c r="I249" i="11"/>
  <c r="E27" i="10"/>
  <c r="B77" i="10"/>
  <c r="P81" i="25" s="1"/>
  <c r="B184" i="10"/>
  <c r="B152" i="10"/>
  <c r="B131" i="10"/>
  <c r="B181" i="10"/>
  <c r="B187" i="10"/>
  <c r="E321" i="10"/>
  <c r="S131" i="25" s="1"/>
  <c r="E354" i="10"/>
  <c r="S153" i="25" s="1"/>
  <c r="G65" i="11"/>
  <c r="G58" i="10"/>
  <c r="F249" i="11"/>
  <c r="B137" i="10"/>
  <c r="B110" i="10"/>
  <c r="E258" i="11"/>
  <c r="I72" i="8"/>
  <c r="B128" i="10"/>
  <c r="B149" i="10"/>
  <c r="B140" i="10"/>
  <c r="B116" i="10"/>
  <c r="E114" i="10" s="1"/>
  <c r="B125" i="10"/>
  <c r="E124" i="10" s="1"/>
  <c r="E123" i="10" s="1"/>
  <c r="B169" i="10"/>
  <c r="E249" i="11"/>
  <c r="B217" i="10"/>
  <c r="B175" i="10"/>
  <c r="B223" i="10"/>
  <c r="B166" i="10"/>
  <c r="E164" i="10" s="1"/>
  <c r="G284" i="10"/>
  <c r="H182" i="10"/>
  <c r="F60" i="8"/>
  <c r="G51" i="8" s="1"/>
  <c r="B122" i="10"/>
  <c r="E121" i="10" s="1"/>
  <c r="E120" i="10" s="1"/>
  <c r="F120" i="10" s="1"/>
  <c r="G249" i="11"/>
  <c r="H249" i="11"/>
  <c r="F231" i="10"/>
  <c r="I231" i="10"/>
  <c r="H231" i="10"/>
  <c r="G231" i="10"/>
  <c r="E231" i="10"/>
  <c r="H56" i="10"/>
  <c r="H135" i="10"/>
  <c r="D66" i="10"/>
  <c r="D65" i="10"/>
  <c r="D77" i="10"/>
  <c r="R81" i="25" s="1"/>
  <c r="H191" i="10"/>
  <c r="G300" i="10"/>
  <c r="E33" i="10"/>
  <c r="E42" i="10"/>
  <c r="E15" i="10"/>
  <c r="E20" i="10"/>
  <c r="E45" i="10"/>
  <c r="E24" i="10"/>
  <c r="E39" i="10"/>
  <c r="E36" i="10"/>
  <c r="B90" i="10"/>
  <c r="B91" i="10" s="1"/>
  <c r="B78" i="10"/>
  <c r="B83" i="10"/>
  <c r="B84" i="10" s="1"/>
  <c r="C51" i="9"/>
  <c r="C52" i="9"/>
  <c r="C31" i="9"/>
  <c r="C37" i="9"/>
  <c r="C34" i="9"/>
  <c r="C42" i="9"/>
  <c r="C28" i="9"/>
  <c r="C148" i="9"/>
  <c r="C118" i="9"/>
  <c r="C182" i="9"/>
  <c r="C47" i="9"/>
  <c r="D148" i="7"/>
  <c r="D9" i="9" s="1"/>
  <c r="C336" i="9"/>
  <c r="E64" i="9"/>
  <c r="E63" i="9"/>
  <c r="F85" i="7"/>
  <c r="E146" i="9"/>
  <c r="E180" i="9"/>
  <c r="C322" i="10" s="1"/>
  <c r="Q132" i="25" s="1"/>
  <c r="E23" i="9"/>
  <c r="C331" i="10" s="1"/>
  <c r="F90" i="7"/>
  <c r="E57" i="9"/>
  <c r="F81" i="7"/>
  <c r="E20" i="9"/>
  <c r="C328" i="10" s="1"/>
  <c r="Q138" i="25" s="1"/>
  <c r="E25" i="9"/>
  <c r="C333" i="10" s="1"/>
  <c r="E18" i="9"/>
  <c r="C326" i="10" s="1"/>
  <c r="Q136" i="25" s="1"/>
  <c r="G285" i="10"/>
  <c r="H185" i="10"/>
  <c r="I194" i="10"/>
  <c r="W102" i="25" s="1"/>
  <c r="H287" i="10"/>
  <c r="B185" i="9"/>
  <c r="B68" i="9"/>
  <c r="B151" i="9"/>
  <c r="B67" i="9"/>
  <c r="B43" i="9"/>
  <c r="C361" i="9"/>
  <c r="C365" i="9" s="1"/>
  <c r="C382" i="9" s="1"/>
  <c r="D106" i="7"/>
  <c r="I27" i="8"/>
  <c r="I14" i="8" s="1"/>
  <c r="H14" i="8"/>
  <c r="H301" i="10"/>
  <c r="I211" i="10"/>
  <c r="G288" i="10"/>
  <c r="H200" i="10"/>
  <c r="V104" i="25" s="1"/>
  <c r="D336" i="9"/>
  <c r="F64" i="9"/>
  <c r="F18" i="9"/>
  <c r="D326" i="10" s="1"/>
  <c r="R136" i="25" s="1"/>
  <c r="G180" i="9"/>
  <c r="F146" i="9"/>
  <c r="F23" i="9"/>
  <c r="D331" i="10" s="1"/>
  <c r="G90" i="7"/>
  <c r="F57" i="9"/>
  <c r="G81" i="7"/>
  <c r="F180" i="9"/>
  <c r="D322" i="10" s="1"/>
  <c r="R132" i="25" s="1"/>
  <c r="F63" i="9"/>
  <c r="F20" i="9"/>
  <c r="F25" i="9"/>
  <c r="D333" i="10" s="1"/>
  <c r="G85" i="7"/>
  <c r="B361" i="9"/>
  <c r="B365" i="9" s="1"/>
  <c r="B382" i="9" s="1"/>
  <c r="C106" i="7"/>
  <c r="H215" i="10"/>
  <c r="V108" i="25" s="1"/>
  <c r="G302" i="10"/>
  <c r="I31" i="8"/>
  <c r="I15" i="8" s="1"/>
  <c r="H15" i="8"/>
  <c r="H129" i="10"/>
  <c r="H280" i="10" s="1"/>
  <c r="S71" i="25"/>
  <c r="E82" i="8"/>
  <c r="E64" i="8"/>
  <c r="E65" i="8" s="1"/>
  <c r="E67" i="8" s="1"/>
  <c r="E83" i="8"/>
  <c r="G35" i="8"/>
  <c r="G116" i="8" s="1"/>
  <c r="G17" i="10" s="1"/>
  <c r="U67" i="25" s="1"/>
  <c r="G13" i="8"/>
  <c r="G16" i="8" s="1"/>
  <c r="G52" i="8" s="1"/>
  <c r="H23" i="8"/>
  <c r="E306" i="10"/>
  <c r="E96" i="11" s="1"/>
  <c r="C237" i="10"/>
  <c r="C238" i="10"/>
  <c r="G76" i="8"/>
  <c r="F76" i="8"/>
  <c r="F80" i="8" s="1"/>
  <c r="H76" i="8"/>
  <c r="I76" i="8"/>
  <c r="C43" i="9"/>
  <c r="C151" i="9"/>
  <c r="C67" i="9"/>
  <c r="C68" i="9"/>
  <c r="C185" i="9"/>
  <c r="G280" i="10"/>
  <c r="G81" i="10"/>
  <c r="F80" i="10"/>
  <c r="F230" i="10" s="1"/>
  <c r="T112" i="25" s="1"/>
  <c r="B118" i="9"/>
  <c r="B51" i="9"/>
  <c r="B148" i="9"/>
  <c r="B47" i="9"/>
  <c r="B52" i="9"/>
  <c r="B31" i="9"/>
  <c r="B182" i="9"/>
  <c r="B37" i="9"/>
  <c r="B42" i="9"/>
  <c r="B28" i="9"/>
  <c r="C148" i="7"/>
  <c r="C9" i="9" s="1"/>
  <c r="B34" i="9"/>
  <c r="B155" i="10"/>
  <c r="H150" i="10"/>
  <c r="H296" i="10" s="1"/>
  <c r="I221" i="10"/>
  <c r="H303" i="10"/>
  <c r="F14" i="10"/>
  <c r="T66" i="25" s="1"/>
  <c r="F17" i="8"/>
  <c r="B336" i="9"/>
  <c r="D146" i="9"/>
  <c r="D64" i="9"/>
  <c r="D25" i="9"/>
  <c r="B333" i="10" s="1"/>
  <c r="E85" i="7"/>
  <c r="E81" i="7"/>
  <c r="D23" i="9"/>
  <c r="B331" i="10" s="1"/>
  <c r="E90" i="7"/>
  <c r="D57" i="9"/>
  <c r="D180" i="9"/>
  <c r="B322" i="10" s="1"/>
  <c r="P132" i="25" s="1"/>
  <c r="D63" i="9"/>
  <c r="D20" i="9"/>
  <c r="B328" i="10" s="1"/>
  <c r="P138" i="25" s="1"/>
  <c r="D18" i="9"/>
  <c r="B326" i="10" s="1"/>
  <c r="P136" i="25" s="1"/>
  <c r="I126" i="10"/>
  <c r="I279" i="10" s="1"/>
  <c r="I46" i="8"/>
  <c r="I48" i="8" s="1"/>
  <c r="H48" i="8"/>
  <c r="G296" i="10"/>
  <c r="I156" i="10"/>
  <c r="B237" i="10"/>
  <c r="B239" i="10"/>
  <c r="E210" i="11"/>
  <c r="E222" i="11"/>
  <c r="H111" i="10"/>
  <c r="H292" i="10" s="1"/>
  <c r="J203" i="10"/>
  <c r="J289" i="10" s="1"/>
  <c r="I289" i="10"/>
  <c r="D237" i="10"/>
  <c r="D238" i="10"/>
  <c r="G59" i="8"/>
  <c r="D77" i="8"/>
  <c r="B158" i="10"/>
  <c r="H153" i="10"/>
  <c r="E291" i="10"/>
  <c r="E298" i="10" s="1"/>
  <c r="S124" i="25" s="1"/>
  <c r="C78" i="10"/>
  <c r="C273" i="10"/>
  <c r="C290" i="10" s="1"/>
  <c r="Q123" i="25" s="1"/>
  <c r="C90" i="10"/>
  <c r="C79" i="10"/>
  <c r="C83" i="10"/>
  <c r="V103" i="25" l="1"/>
  <c r="I197" i="10"/>
  <c r="V85" i="25"/>
  <c r="I108" i="10"/>
  <c r="E276" i="10"/>
  <c r="S86" i="25"/>
  <c r="H293" i="10"/>
  <c r="V90" i="25"/>
  <c r="I295" i="10"/>
  <c r="W93" i="25"/>
  <c r="H294" i="10"/>
  <c r="V92" i="25"/>
  <c r="S72" i="25"/>
  <c r="S70" i="25"/>
  <c r="E348" i="10"/>
  <c r="S147" i="25" s="1"/>
  <c r="S68" i="25"/>
  <c r="D18" i="14"/>
  <c r="D328" i="10"/>
  <c r="R138" i="25" s="1"/>
  <c r="E352" i="10"/>
  <c r="E179" i="10"/>
  <c r="F18" i="10"/>
  <c r="F321" i="10"/>
  <c r="T131" i="25" s="1"/>
  <c r="H65" i="11"/>
  <c r="F124" i="10"/>
  <c r="F123" i="10" s="1"/>
  <c r="F286" i="10" s="1"/>
  <c r="F114" i="10"/>
  <c r="E167" i="10"/>
  <c r="E282" i="10" s="1"/>
  <c r="E117" i="10"/>
  <c r="G124" i="10"/>
  <c r="G58" i="8"/>
  <c r="G60" i="8" s="1"/>
  <c r="H51" i="8" s="1"/>
  <c r="F141" i="10"/>
  <c r="E173" i="10"/>
  <c r="S98" i="25" s="1"/>
  <c r="E278" i="10"/>
  <c r="H284" i="10"/>
  <c r="I182" i="10"/>
  <c r="E170" i="10"/>
  <c r="F164" i="10"/>
  <c r="F306" i="10"/>
  <c r="F96" i="11" s="1"/>
  <c r="I191" i="10"/>
  <c r="H300" i="10"/>
  <c r="I129" i="10"/>
  <c r="C100" i="9"/>
  <c r="D127" i="7"/>
  <c r="D149" i="7" s="1"/>
  <c r="D10" i="9" s="1"/>
  <c r="C77" i="9"/>
  <c r="C109" i="9"/>
  <c r="C110" i="9" s="1"/>
  <c r="D297" i="9"/>
  <c r="D78" i="10"/>
  <c r="D79" i="10"/>
  <c r="D273" i="10"/>
  <c r="D290" i="10" s="1"/>
  <c r="R123" i="25" s="1"/>
  <c r="D90" i="10"/>
  <c r="D83" i="10"/>
  <c r="F148" i="9"/>
  <c r="F34" i="9"/>
  <c r="D342" i="10" s="1"/>
  <c r="F42" i="9"/>
  <c r="F118" i="9"/>
  <c r="F37" i="9"/>
  <c r="D345" i="10" s="1"/>
  <c r="F51" i="9"/>
  <c r="G148" i="7"/>
  <c r="F47" i="9"/>
  <c r="G182" i="9"/>
  <c r="F182" i="9"/>
  <c r="F28" i="9"/>
  <c r="D336" i="10" s="1"/>
  <c r="R141" i="25" s="1"/>
  <c r="F31" i="9"/>
  <c r="F52" i="9"/>
  <c r="F361" i="9"/>
  <c r="F365" i="9" s="1"/>
  <c r="F382" i="9" s="1"/>
  <c r="G106" i="7"/>
  <c r="E37" i="9"/>
  <c r="C345" i="10" s="1"/>
  <c r="E52" i="9"/>
  <c r="E31" i="9"/>
  <c r="C339" i="10" s="1"/>
  <c r="Q144" i="25" s="1"/>
  <c r="E47" i="9"/>
  <c r="E51" i="9"/>
  <c r="E42" i="9"/>
  <c r="E118" i="9"/>
  <c r="E34" i="9"/>
  <c r="C342" i="10" s="1"/>
  <c r="E148" i="9"/>
  <c r="F148" i="7"/>
  <c r="F9" i="9" s="1"/>
  <c r="E182" i="9"/>
  <c r="E28" i="9"/>
  <c r="C336" i="10" s="1"/>
  <c r="Q141" i="25" s="1"/>
  <c r="J156" i="10"/>
  <c r="X93" i="25" s="1"/>
  <c r="F64" i="8"/>
  <c r="T71" i="25"/>
  <c r="F83" i="8"/>
  <c r="F82" i="8"/>
  <c r="C311" i="9"/>
  <c r="C301" i="9"/>
  <c r="E361" i="9"/>
  <c r="E365" i="9" s="1"/>
  <c r="E382" i="9" s="1"/>
  <c r="F106" i="7"/>
  <c r="C297" i="9"/>
  <c r="H58" i="10"/>
  <c r="D361" i="9"/>
  <c r="D365" i="9" s="1"/>
  <c r="E106" i="7"/>
  <c r="D342" i="9"/>
  <c r="D344" i="9"/>
  <c r="E286" i="10"/>
  <c r="H59" i="8"/>
  <c r="D78" i="8"/>
  <c r="J194" i="10"/>
  <c r="X102" i="25" s="1"/>
  <c r="I287" i="10"/>
  <c r="E43" i="9"/>
  <c r="E151" i="9"/>
  <c r="E67" i="9"/>
  <c r="E68" i="9"/>
  <c r="E185" i="9"/>
  <c r="I135" i="10"/>
  <c r="E245" i="11"/>
  <c r="E93" i="11"/>
  <c r="I150" i="10"/>
  <c r="D67" i="9"/>
  <c r="D43" i="9"/>
  <c r="D185" i="9"/>
  <c r="D151" i="9"/>
  <c r="D68" i="9"/>
  <c r="E22" i="10"/>
  <c r="E21" i="10"/>
  <c r="E48" i="10"/>
  <c r="H77" i="8"/>
  <c r="I77" i="8"/>
  <c r="G77" i="8"/>
  <c r="G80" i="8" s="1"/>
  <c r="H302" i="10"/>
  <c r="I215" i="10"/>
  <c r="H13" i="8"/>
  <c r="H16" i="8" s="1"/>
  <c r="H52" i="8" s="1"/>
  <c r="H35" i="8"/>
  <c r="H116" i="8" s="1"/>
  <c r="H17" i="10" s="1"/>
  <c r="V67" i="25" s="1"/>
  <c r="I23" i="8"/>
  <c r="E281" i="10"/>
  <c r="I303" i="10"/>
  <c r="J221" i="10"/>
  <c r="J303" i="10" s="1"/>
  <c r="B311" i="9"/>
  <c r="B301" i="9"/>
  <c r="I153" i="10"/>
  <c r="W92" i="25" s="1"/>
  <c r="E297" i="9"/>
  <c r="I185" i="10"/>
  <c r="H285" i="10"/>
  <c r="C342" i="9"/>
  <c r="C344" i="9"/>
  <c r="J126" i="10"/>
  <c r="J279" i="10" s="1"/>
  <c r="I301" i="10"/>
  <c r="J211" i="10"/>
  <c r="J301" i="10" s="1"/>
  <c r="H81" i="10"/>
  <c r="G80" i="10"/>
  <c r="G230" i="10" s="1"/>
  <c r="U112" i="25" s="1"/>
  <c r="D148" i="9"/>
  <c r="D34" i="9"/>
  <c r="B342" i="10" s="1"/>
  <c r="D52" i="9"/>
  <c r="D31" i="9"/>
  <c r="B339" i="10" s="1"/>
  <c r="P144" i="25" s="1"/>
  <c r="D182" i="9"/>
  <c r="D37" i="9"/>
  <c r="B345" i="10" s="1"/>
  <c r="D28" i="9"/>
  <c r="B336" i="10" s="1"/>
  <c r="P141" i="25" s="1"/>
  <c r="D51" i="9"/>
  <c r="E148" i="7"/>
  <c r="E9" i="9" s="1"/>
  <c r="D42" i="9"/>
  <c r="D118" i="9"/>
  <c r="D47" i="9"/>
  <c r="G14" i="10"/>
  <c r="U66" i="25" s="1"/>
  <c r="G17" i="8"/>
  <c r="H288" i="10"/>
  <c r="I200" i="10"/>
  <c r="W104" i="25" s="1"/>
  <c r="E144" i="10"/>
  <c r="F63" i="8"/>
  <c r="I56" i="10"/>
  <c r="G120" i="10"/>
  <c r="D311" i="9"/>
  <c r="D301" i="9"/>
  <c r="B342" i="9"/>
  <c r="B344" i="9"/>
  <c r="B77" i="9"/>
  <c r="B100" i="9"/>
  <c r="C127" i="7"/>
  <c r="C149" i="7" s="1"/>
  <c r="C10" i="9" s="1"/>
  <c r="B109" i="9"/>
  <c r="B110" i="9" s="1"/>
  <c r="D79" i="8"/>
  <c r="I79" i="8" s="1"/>
  <c r="I59" i="8"/>
  <c r="F43" i="9"/>
  <c r="F151" i="9"/>
  <c r="F68" i="9"/>
  <c r="F67" i="9"/>
  <c r="F185" i="9"/>
  <c r="G185" i="9"/>
  <c r="C84" i="10"/>
  <c r="C85" i="10"/>
  <c r="C305" i="10"/>
  <c r="C307" i="10" s="1"/>
  <c r="C91" i="10"/>
  <c r="C92" i="10"/>
  <c r="I111" i="10"/>
  <c r="I292" i="10" s="1"/>
  <c r="F42" i="10"/>
  <c r="F15" i="10"/>
  <c r="F20" i="10"/>
  <c r="F27" i="10"/>
  <c r="F39" i="10"/>
  <c r="F45" i="10"/>
  <c r="F24" i="10"/>
  <c r="T70" i="25" s="1"/>
  <c r="F33" i="10"/>
  <c r="F36" i="10"/>
  <c r="F278" i="10"/>
  <c r="S73" i="25" l="1"/>
  <c r="E14" i="14"/>
  <c r="W103" i="25"/>
  <c r="J197" i="10"/>
  <c r="X103" i="25" s="1"/>
  <c r="W85" i="25"/>
  <c r="J108" i="10"/>
  <c r="X85" i="25" s="1"/>
  <c r="E283" i="10"/>
  <c r="S99" i="25"/>
  <c r="G114" i="10"/>
  <c r="T86" i="25"/>
  <c r="F117" i="10"/>
  <c r="F132" i="10" s="1"/>
  <c r="T88" i="25" s="1"/>
  <c r="S87" i="25"/>
  <c r="F170" i="10"/>
  <c r="T97" i="25" s="1"/>
  <c r="S97" i="25"/>
  <c r="I293" i="10"/>
  <c r="W90" i="25"/>
  <c r="I65" i="11"/>
  <c r="W108" i="25"/>
  <c r="C308" i="10"/>
  <c r="Q125" i="25"/>
  <c r="D382" i="9"/>
  <c r="P126" i="25" s="1"/>
  <c r="P123" i="25"/>
  <c r="T72" i="25"/>
  <c r="E33" i="14"/>
  <c r="S151" i="25"/>
  <c r="F291" i="10"/>
  <c r="F298" i="10" s="1"/>
  <c r="F245" i="11" s="1"/>
  <c r="T91" i="25"/>
  <c r="F348" i="10"/>
  <c r="T147" i="25" s="1"/>
  <c r="T68" i="25"/>
  <c r="J287" i="10"/>
  <c r="J295" i="10"/>
  <c r="D339" i="10"/>
  <c r="R144" i="25" s="1"/>
  <c r="D19" i="14"/>
  <c r="E22" i="14"/>
  <c r="E349" i="10"/>
  <c r="S148" i="25" s="1"/>
  <c r="E55" i="10"/>
  <c r="S76" i="25" s="1"/>
  <c r="F179" i="10"/>
  <c r="F354" i="10"/>
  <c r="T153" i="25" s="1"/>
  <c r="F276" i="10"/>
  <c r="E52" i="10"/>
  <c r="S75" i="25" s="1"/>
  <c r="F352" i="10"/>
  <c r="E132" i="10"/>
  <c r="G321" i="10"/>
  <c r="U131" i="25" s="1"/>
  <c r="E277" i="10"/>
  <c r="E353" i="10"/>
  <c r="S152" i="25" s="1"/>
  <c r="F167" i="10"/>
  <c r="G167" i="10" s="1"/>
  <c r="E188" i="10"/>
  <c r="S100" i="25" s="1"/>
  <c r="E299" i="10"/>
  <c r="E94" i="11" s="1"/>
  <c r="I58" i="10"/>
  <c r="J58" i="10" s="1"/>
  <c r="F65" i="8"/>
  <c r="F173" i="10"/>
  <c r="I284" i="10"/>
  <c r="J182" i="10"/>
  <c r="J284" i="10" s="1"/>
  <c r="G306" i="10"/>
  <c r="G96" i="11" s="1"/>
  <c r="I288" i="10"/>
  <c r="J200" i="10"/>
  <c r="X104" i="25" s="1"/>
  <c r="J150" i="10"/>
  <c r="J296" i="10" s="1"/>
  <c r="I81" i="10"/>
  <c r="H80" i="10"/>
  <c r="H230" i="10" s="1"/>
  <c r="V112" i="25" s="1"/>
  <c r="I78" i="8"/>
  <c r="I80" i="8" s="1"/>
  <c r="W71" i="25" s="1"/>
  <c r="H78" i="8"/>
  <c r="H80" i="8" s="1"/>
  <c r="H64" i="8" s="1"/>
  <c r="F77" i="9"/>
  <c r="G127" i="7"/>
  <c r="G149" i="7" s="1"/>
  <c r="F100" i="9"/>
  <c r="D29" i="14" s="1"/>
  <c r="F109" i="9"/>
  <c r="F110" i="9" s="1"/>
  <c r="D91" i="10"/>
  <c r="D92" i="10"/>
  <c r="G117" i="10"/>
  <c r="C322" i="9"/>
  <c r="F277" i="10"/>
  <c r="J215" i="10"/>
  <c r="X108" i="25" s="1"/>
  <c r="I302" i="10"/>
  <c r="H114" i="10"/>
  <c r="V86" i="25" s="1"/>
  <c r="C347" i="9"/>
  <c r="C349" i="9" s="1"/>
  <c r="C351" i="9" s="1"/>
  <c r="D319" i="9"/>
  <c r="D332" i="9" s="1"/>
  <c r="J129" i="10"/>
  <c r="J280" i="10" s="1"/>
  <c r="B322" i="9"/>
  <c r="I280" i="10"/>
  <c r="E274" i="10"/>
  <c r="H120" i="10"/>
  <c r="G278" i="10"/>
  <c r="I296" i="10"/>
  <c r="E100" i="9"/>
  <c r="E77" i="9"/>
  <c r="F127" i="7"/>
  <c r="F149" i="7" s="1"/>
  <c r="F10" i="9" s="1"/>
  <c r="E109" i="9"/>
  <c r="E110" i="9" s="1"/>
  <c r="G15" i="10"/>
  <c r="G20" i="10"/>
  <c r="G27" i="10"/>
  <c r="G39" i="10"/>
  <c r="G45" i="10"/>
  <c r="G42" i="10"/>
  <c r="G24" i="10"/>
  <c r="U70" i="25" s="1"/>
  <c r="G36" i="10"/>
  <c r="G33" i="10"/>
  <c r="U72" i="25" s="1"/>
  <c r="F22" i="10"/>
  <c r="F21" i="10"/>
  <c r="F48" i="10"/>
  <c r="G18" i="10"/>
  <c r="B319" i="9"/>
  <c r="B332" i="9" s="1"/>
  <c r="G141" i="10"/>
  <c r="H58" i="8"/>
  <c r="H60" i="8" s="1"/>
  <c r="J135" i="10"/>
  <c r="X90" i="25" s="1"/>
  <c r="J153" i="10"/>
  <c r="X92" i="25" s="1"/>
  <c r="J111" i="10"/>
  <c r="J292" i="10" s="1"/>
  <c r="F52" i="10"/>
  <c r="T75" i="25" s="1"/>
  <c r="G170" i="10"/>
  <c r="F281" i="10"/>
  <c r="G164" i="10"/>
  <c r="B347" i="9"/>
  <c r="B349" i="9" s="1"/>
  <c r="B351" i="9" s="1"/>
  <c r="J185" i="10"/>
  <c r="J285" i="10" s="1"/>
  <c r="I285" i="10"/>
  <c r="I13" i="8"/>
  <c r="I16" i="8" s="1"/>
  <c r="I35" i="8"/>
  <c r="I116" i="8" s="1"/>
  <c r="I17" i="10" s="1"/>
  <c r="W67" i="25" s="1"/>
  <c r="D347" i="9"/>
  <c r="D349" i="9" s="1"/>
  <c r="D351" i="9" s="1"/>
  <c r="D322" i="9"/>
  <c r="J191" i="10"/>
  <c r="J300" i="10" s="1"/>
  <c r="I300" i="10"/>
  <c r="I294" i="10"/>
  <c r="G82" i="8"/>
  <c r="G64" i="8"/>
  <c r="U71" i="25"/>
  <c r="G83" i="8"/>
  <c r="E49" i="10"/>
  <c r="E50" i="10"/>
  <c r="G123" i="10"/>
  <c r="H14" i="10"/>
  <c r="V66" i="25" s="1"/>
  <c r="H17" i="8"/>
  <c r="D77" i="9"/>
  <c r="D100" i="9"/>
  <c r="E127" i="7"/>
  <c r="E149" i="7" s="1"/>
  <c r="E10" i="9" s="1"/>
  <c r="D109" i="9"/>
  <c r="D110" i="9" s="1"/>
  <c r="C319" i="9"/>
  <c r="C332" i="9" s="1"/>
  <c r="D84" i="10"/>
  <c r="D305" i="10"/>
  <c r="D307" i="10" s="1"/>
  <c r="D85" i="10"/>
  <c r="T73" i="25" l="1"/>
  <c r="F14" i="14"/>
  <c r="U97" i="25"/>
  <c r="U86" i="25"/>
  <c r="G352" i="10"/>
  <c r="U151" i="25" s="1"/>
  <c r="G276" i="10"/>
  <c r="T99" i="25"/>
  <c r="F283" i="10"/>
  <c r="G179" i="10"/>
  <c r="T87" i="25"/>
  <c r="F353" i="10"/>
  <c r="T152" i="25" s="1"/>
  <c r="Q126" i="25"/>
  <c r="C310" i="10"/>
  <c r="E134" i="10"/>
  <c r="S88" i="25"/>
  <c r="G173" i="10"/>
  <c r="G188" i="10" s="1"/>
  <c r="U100" i="25" s="1"/>
  <c r="T98" i="25"/>
  <c r="G353" i="10"/>
  <c r="U152" i="25" s="1"/>
  <c r="U87" i="25"/>
  <c r="D308" i="10"/>
  <c r="R125" i="25"/>
  <c r="T124" i="25"/>
  <c r="F93" i="11"/>
  <c r="F33" i="14"/>
  <c r="T151" i="25"/>
  <c r="G348" i="10"/>
  <c r="U147" i="25" s="1"/>
  <c r="U68" i="25"/>
  <c r="G354" i="10"/>
  <c r="U153" i="25" s="1"/>
  <c r="U91" i="25"/>
  <c r="J288" i="10"/>
  <c r="J294" i="10"/>
  <c r="J293" i="10"/>
  <c r="F22" i="14"/>
  <c r="F349" i="10"/>
  <c r="T148" i="25" s="1"/>
  <c r="F144" i="10"/>
  <c r="F67" i="8"/>
  <c r="G63" i="8"/>
  <c r="G65" i="8" s="1"/>
  <c r="G67" i="8" s="1"/>
  <c r="E64" i="10"/>
  <c r="E68" i="10" s="1"/>
  <c r="H352" i="10"/>
  <c r="V151" i="25" s="1"/>
  <c r="H321" i="10"/>
  <c r="V131" i="25" s="1"/>
  <c r="E159" i="10"/>
  <c r="S94" i="25" s="1"/>
  <c r="E357" i="10"/>
  <c r="S156" i="25" s="1"/>
  <c r="E358" i="10"/>
  <c r="S157" i="25" s="1"/>
  <c r="E206" i="10"/>
  <c r="S105" i="25" s="1"/>
  <c r="F282" i="10"/>
  <c r="E190" i="10"/>
  <c r="F188" i="10"/>
  <c r="T100" i="25" s="1"/>
  <c r="G55" i="10"/>
  <c r="U76" i="25" s="1"/>
  <c r="F299" i="10"/>
  <c r="F94" i="11" s="1"/>
  <c r="F55" i="10"/>
  <c r="V71" i="25"/>
  <c r="H83" i="8"/>
  <c r="H82" i="8"/>
  <c r="H306" i="10"/>
  <c r="H96" i="11" s="1"/>
  <c r="I64" i="8"/>
  <c r="I83" i="8"/>
  <c r="I82" i="8"/>
  <c r="H15" i="10"/>
  <c r="H20" i="10"/>
  <c r="H27" i="10"/>
  <c r="H39" i="10"/>
  <c r="H24" i="10"/>
  <c r="V70" i="25" s="1"/>
  <c r="H36" i="10"/>
  <c r="H45" i="10"/>
  <c r="H42" i="10"/>
  <c r="H33" i="10"/>
  <c r="V72" i="25" s="1"/>
  <c r="G132" i="10"/>
  <c r="U88" i="25" s="1"/>
  <c r="H123" i="10"/>
  <c r="G286" i="10"/>
  <c r="G52" i="10"/>
  <c r="U75" i="25" s="1"/>
  <c r="H117" i="10"/>
  <c r="V87" i="25" s="1"/>
  <c r="G281" i="10"/>
  <c r="H164" i="10"/>
  <c r="I80" i="10"/>
  <c r="J80" i="10" s="1"/>
  <c r="G291" i="10"/>
  <c r="G298" i="10" s="1"/>
  <c r="U124" i="25" s="1"/>
  <c r="I120" i="10"/>
  <c r="H170" i="10"/>
  <c r="G299" i="10"/>
  <c r="H278" i="10"/>
  <c r="G22" i="10"/>
  <c r="G48" i="10"/>
  <c r="G21" i="10"/>
  <c r="I114" i="10"/>
  <c r="J17" i="10"/>
  <c r="X67" i="25" s="1"/>
  <c r="I14" i="10"/>
  <c r="W66" i="25" s="1"/>
  <c r="I17" i="8"/>
  <c r="I52" i="8"/>
  <c r="F50" i="10"/>
  <c r="F49" i="10"/>
  <c r="G277" i="10"/>
  <c r="H18" i="10"/>
  <c r="H141" i="10"/>
  <c r="I58" i="8"/>
  <c r="I60" i="8" s="1"/>
  <c r="I51" i="8"/>
  <c r="G282" i="10"/>
  <c r="H167" i="10"/>
  <c r="H276" i="10"/>
  <c r="F134" i="10"/>
  <c r="J302" i="10"/>
  <c r="U73" i="25" l="1"/>
  <c r="S79" i="25"/>
  <c r="E241" i="11"/>
  <c r="U99" i="25"/>
  <c r="G283" i="10"/>
  <c r="H179" i="10"/>
  <c r="U98" i="25"/>
  <c r="H173" i="10"/>
  <c r="R126" i="25"/>
  <c r="D310" i="10"/>
  <c r="F64" i="10"/>
  <c r="T76" i="25"/>
  <c r="V97" i="25"/>
  <c r="I276" i="10"/>
  <c r="W86" i="25"/>
  <c r="H348" i="10"/>
  <c r="V147" i="25" s="1"/>
  <c r="V68" i="25"/>
  <c r="H354" i="10"/>
  <c r="V153" i="25" s="1"/>
  <c r="V91" i="25"/>
  <c r="F274" i="10"/>
  <c r="F159" i="10"/>
  <c r="E160" i="10"/>
  <c r="G349" i="10"/>
  <c r="U148" i="25" s="1"/>
  <c r="E363" i="10"/>
  <c r="E66" i="10"/>
  <c r="E65" i="10"/>
  <c r="J30" i="10"/>
  <c r="X71" i="25" s="1"/>
  <c r="E323" i="10"/>
  <c r="S133" i="25" s="1"/>
  <c r="E343" i="10"/>
  <c r="E327" i="10"/>
  <c r="S137" i="25" s="1"/>
  <c r="E133" i="10"/>
  <c r="E332" i="10"/>
  <c r="E333" i="10"/>
  <c r="E331" i="10"/>
  <c r="E337" i="10"/>
  <c r="S142" i="25" s="1"/>
  <c r="I18" i="10"/>
  <c r="I352" i="10"/>
  <c r="W151" i="25" s="1"/>
  <c r="I321" i="10"/>
  <c r="W131" i="25" s="1"/>
  <c r="E161" i="10"/>
  <c r="E189" i="10"/>
  <c r="F343" i="10"/>
  <c r="F337" i="10"/>
  <c r="T142" i="25" s="1"/>
  <c r="H277" i="10"/>
  <c r="H353" i="10"/>
  <c r="V152" i="25" s="1"/>
  <c r="F357" i="10"/>
  <c r="T156" i="25" s="1"/>
  <c r="F358" i="10"/>
  <c r="T157" i="25" s="1"/>
  <c r="G357" i="10"/>
  <c r="U156" i="25" s="1"/>
  <c r="G358" i="10"/>
  <c r="U157" i="25" s="1"/>
  <c r="E361" i="10"/>
  <c r="E208" i="10"/>
  <c r="E207" i="10"/>
  <c r="F190" i="10"/>
  <c r="F206" i="10"/>
  <c r="T105" i="25" s="1"/>
  <c r="H291" i="10"/>
  <c r="H298" i="10" s="1"/>
  <c r="E77" i="10"/>
  <c r="S81" i="25" s="1"/>
  <c r="I141" i="10"/>
  <c r="G144" i="10"/>
  <c r="G159" i="10" s="1"/>
  <c r="U94" i="25" s="1"/>
  <c r="H63" i="8"/>
  <c r="H65" i="8" s="1"/>
  <c r="G64" i="10"/>
  <c r="G50" i="10"/>
  <c r="G49" i="10"/>
  <c r="I123" i="10"/>
  <c r="H286" i="10"/>
  <c r="F66" i="10"/>
  <c r="F65" i="10"/>
  <c r="G94" i="11"/>
  <c r="I20" i="10"/>
  <c r="I27" i="10"/>
  <c r="J27" i="10" s="1"/>
  <c r="I39" i="10"/>
  <c r="J39" i="10" s="1"/>
  <c r="I24" i="10"/>
  <c r="I36" i="10"/>
  <c r="J36" i="10" s="1"/>
  <c r="I33" i="10"/>
  <c r="I15" i="10"/>
  <c r="I45" i="10"/>
  <c r="J45" i="10" s="1"/>
  <c r="J14" i="10"/>
  <c r="X66" i="25" s="1"/>
  <c r="I42" i="10"/>
  <c r="J42" i="10" s="1"/>
  <c r="I170" i="10"/>
  <c r="I117" i="10"/>
  <c r="I230" i="10"/>
  <c r="W112" i="25" s="1"/>
  <c r="H282" i="10"/>
  <c r="I167" i="10"/>
  <c r="J114" i="10"/>
  <c r="X86" i="25" s="1"/>
  <c r="G206" i="10"/>
  <c r="U105" i="25" s="1"/>
  <c r="G190" i="10"/>
  <c r="H132" i="10"/>
  <c r="V88" i="25" s="1"/>
  <c r="J120" i="10"/>
  <c r="J278" i="10" s="1"/>
  <c r="H22" i="10"/>
  <c r="H48" i="10"/>
  <c r="H21" i="10"/>
  <c r="I164" i="10"/>
  <c r="H281" i="10"/>
  <c r="I278" i="10"/>
  <c r="G134" i="10"/>
  <c r="H52" i="10"/>
  <c r="V75" i="25" s="1"/>
  <c r="G93" i="11"/>
  <c r="G245" i="11"/>
  <c r="V73" i="25" l="1"/>
  <c r="F68" i="10"/>
  <c r="F363" i="10"/>
  <c r="V99" i="25"/>
  <c r="I179" i="10"/>
  <c r="H283" i="10"/>
  <c r="H55" i="10"/>
  <c r="H299" i="10"/>
  <c r="H94" i="11" s="1"/>
  <c r="H188" i="10"/>
  <c r="V98" i="25"/>
  <c r="I173" i="10"/>
  <c r="F332" i="10"/>
  <c r="F327" i="10"/>
  <c r="T137" i="25" s="1"/>
  <c r="F323" i="10"/>
  <c r="T133" i="25" s="1"/>
  <c r="I55" i="10"/>
  <c r="W97" i="25"/>
  <c r="I353" i="10"/>
  <c r="W152" i="25" s="1"/>
  <c r="W87" i="25"/>
  <c r="F189" i="10"/>
  <c r="T94" i="25"/>
  <c r="H245" i="11"/>
  <c r="V124" i="25"/>
  <c r="I291" i="10"/>
  <c r="I298" i="10" s="1"/>
  <c r="W91" i="25"/>
  <c r="I348" i="10"/>
  <c r="W147" i="25" s="1"/>
  <c r="W68" i="25"/>
  <c r="J24" i="10"/>
  <c r="X70" i="25" s="1"/>
  <c r="W70" i="25"/>
  <c r="J33" i="10"/>
  <c r="X72" i="25" s="1"/>
  <c r="W72" i="25"/>
  <c r="F161" i="10"/>
  <c r="F133" i="10"/>
  <c r="F160" i="10"/>
  <c r="F333" i="10"/>
  <c r="H349" i="10"/>
  <c r="V148" i="25" s="1"/>
  <c r="J276" i="10"/>
  <c r="I48" i="10"/>
  <c r="W73" i="25" s="1"/>
  <c r="F331" i="10"/>
  <c r="E273" i="10"/>
  <c r="E290" i="10" s="1"/>
  <c r="E90" i="10"/>
  <c r="I354" i="10"/>
  <c r="W153" i="25" s="1"/>
  <c r="F241" i="11"/>
  <c r="G189" i="10"/>
  <c r="G343" i="10"/>
  <c r="G337" i="10"/>
  <c r="U142" i="25" s="1"/>
  <c r="G332" i="10"/>
  <c r="G327" i="10"/>
  <c r="U137" i="25" s="1"/>
  <c r="G323" i="10"/>
  <c r="U133" i="25" s="1"/>
  <c r="H358" i="10"/>
  <c r="V157" i="25" s="1"/>
  <c r="F207" i="10"/>
  <c r="F361" i="10"/>
  <c r="G363" i="10"/>
  <c r="E78" i="10"/>
  <c r="E342" i="10"/>
  <c r="E322" i="10"/>
  <c r="S132" i="25" s="1"/>
  <c r="E326" i="10"/>
  <c r="S136" i="25" s="1"/>
  <c r="E328" i="10"/>
  <c r="S138" i="25" s="1"/>
  <c r="E336" i="10"/>
  <c r="S141" i="25" s="1"/>
  <c r="G361" i="10"/>
  <c r="J352" i="10"/>
  <c r="X151" i="25" s="1"/>
  <c r="J321" i="10"/>
  <c r="X131" i="25" s="1"/>
  <c r="E83" i="10"/>
  <c r="E79" i="10"/>
  <c r="F208" i="10"/>
  <c r="H93" i="11"/>
  <c r="I132" i="10"/>
  <c r="W88" i="25" s="1"/>
  <c r="I52" i="10"/>
  <c r="H134" i="10"/>
  <c r="J117" i="10"/>
  <c r="X87" i="25" s="1"/>
  <c r="J164" i="10"/>
  <c r="I281" i="10"/>
  <c r="I21" i="10"/>
  <c r="I22" i="10"/>
  <c r="G133" i="10"/>
  <c r="G66" i="10"/>
  <c r="G68" i="10"/>
  <c r="U79" i="25" s="1"/>
  <c r="G65" i="10"/>
  <c r="H50" i="10"/>
  <c r="H49" i="10"/>
  <c r="H144" i="10"/>
  <c r="H159" i="10" s="1"/>
  <c r="V94" i="25" s="1"/>
  <c r="I63" i="8"/>
  <c r="I65" i="8" s="1"/>
  <c r="H67" i="8"/>
  <c r="J123" i="10"/>
  <c r="J286" i="10" s="1"/>
  <c r="G208" i="10"/>
  <c r="G207" i="10"/>
  <c r="J20" i="10"/>
  <c r="X68" i="25" s="1"/>
  <c r="G274" i="10"/>
  <c r="I282" i="10"/>
  <c r="J167" i="10"/>
  <c r="J282" i="10" s="1"/>
  <c r="J230" i="10"/>
  <c r="X112" i="25" s="1"/>
  <c r="I306" i="10"/>
  <c r="I96" i="11" s="1"/>
  <c r="G160" i="10"/>
  <c r="G161" i="10"/>
  <c r="I277" i="10"/>
  <c r="I286" i="10"/>
  <c r="J170" i="10"/>
  <c r="J141" i="10"/>
  <c r="X91" i="25" s="1"/>
  <c r="T79" i="25" l="1"/>
  <c r="F77" i="10"/>
  <c r="S123" i="25"/>
  <c r="E12" i="14"/>
  <c r="E13" i="14" s="1"/>
  <c r="W99" i="25"/>
  <c r="J179" i="10"/>
  <c r="I283" i="10"/>
  <c r="V76" i="25"/>
  <c r="H64" i="10"/>
  <c r="V100" i="25"/>
  <c r="H357" i="10"/>
  <c r="V156" i="25" s="1"/>
  <c r="H206" i="10"/>
  <c r="H190" i="10"/>
  <c r="I299" i="10"/>
  <c r="I94" i="11" s="1"/>
  <c r="I188" i="10"/>
  <c r="W76" i="25"/>
  <c r="J55" i="10"/>
  <c r="X76" i="25" s="1"/>
  <c r="W98" i="25"/>
  <c r="J173" i="10"/>
  <c r="J299" i="10" s="1"/>
  <c r="J94" i="11" s="1"/>
  <c r="W124" i="25"/>
  <c r="I93" i="11"/>
  <c r="I245" i="11"/>
  <c r="J52" i="10"/>
  <c r="X75" i="25" s="1"/>
  <c r="W75" i="25"/>
  <c r="X97" i="25"/>
  <c r="E240" i="11"/>
  <c r="E91" i="11"/>
  <c r="I349" i="10"/>
  <c r="W148" i="25" s="1"/>
  <c r="G241" i="11"/>
  <c r="J306" i="10"/>
  <c r="J96" i="11" s="1"/>
  <c r="J291" i="10"/>
  <c r="J298" i="10" s="1"/>
  <c r="X124" i="25" s="1"/>
  <c r="J353" i="10"/>
  <c r="X152" i="25" s="1"/>
  <c r="J348" i="10"/>
  <c r="X147" i="25" s="1"/>
  <c r="E18" i="14"/>
  <c r="E245" i="10"/>
  <c r="E251" i="10" s="1"/>
  <c r="E64" i="11" s="1"/>
  <c r="E91" i="10"/>
  <c r="E147" i="11"/>
  <c r="E204" i="11" s="1"/>
  <c r="E208" i="11" s="1"/>
  <c r="E209" i="11" s="1"/>
  <c r="E211" i="11" s="1"/>
  <c r="E214" i="11" s="1"/>
  <c r="H343" i="10"/>
  <c r="H337" i="10"/>
  <c r="V142" i="25" s="1"/>
  <c r="H332" i="10"/>
  <c r="H323" i="10"/>
  <c r="V133" i="25" s="1"/>
  <c r="H327" i="10"/>
  <c r="V137" i="25" s="1"/>
  <c r="E84" i="10"/>
  <c r="E85" i="10"/>
  <c r="G331" i="10"/>
  <c r="G333" i="10"/>
  <c r="J354" i="10"/>
  <c r="X153" i="25" s="1"/>
  <c r="E92" i="10"/>
  <c r="H133" i="10"/>
  <c r="H189" i="10"/>
  <c r="J277" i="10"/>
  <c r="H274" i="10"/>
  <c r="I64" i="10"/>
  <c r="I50" i="10"/>
  <c r="I49" i="10"/>
  <c r="J281" i="10"/>
  <c r="G77" i="10"/>
  <c r="U81" i="25" s="1"/>
  <c r="I144" i="10"/>
  <c r="I274" i="10" s="1"/>
  <c r="I67" i="8"/>
  <c r="J132" i="10"/>
  <c r="X88" i="25" s="1"/>
  <c r="H160" i="10"/>
  <c r="H161" i="10"/>
  <c r="J48" i="10"/>
  <c r="X73" i="25" s="1"/>
  <c r="J21" i="10"/>
  <c r="I134" i="10"/>
  <c r="T81" i="25" l="1"/>
  <c r="F326" i="10"/>
  <c r="T136" i="25" s="1"/>
  <c r="F336" i="10"/>
  <c r="T141" i="25" s="1"/>
  <c r="F342" i="10"/>
  <c r="F328" i="10"/>
  <c r="T138" i="25" s="1"/>
  <c r="F322" i="10"/>
  <c r="T132" i="25" s="1"/>
  <c r="F79" i="10"/>
  <c r="F83" i="10"/>
  <c r="F90" i="10"/>
  <c r="F78" i="10"/>
  <c r="F273" i="10"/>
  <c r="F290" i="10" s="1"/>
  <c r="X99" i="25"/>
  <c r="J283" i="10"/>
  <c r="H363" i="10"/>
  <c r="H66" i="10"/>
  <c r="H68" i="10"/>
  <c r="V79" i="25" s="1"/>
  <c r="H65" i="10"/>
  <c r="V105" i="25"/>
  <c r="H361" i="10"/>
  <c r="H207" i="10"/>
  <c r="H208" i="10"/>
  <c r="W100" i="25"/>
  <c r="I190" i="10"/>
  <c r="I357" i="10"/>
  <c r="W156" i="25" s="1"/>
  <c r="I358" i="10"/>
  <c r="W157" i="25" s="1"/>
  <c r="I206" i="10"/>
  <c r="W105" i="25" s="1"/>
  <c r="X98" i="25"/>
  <c r="J188" i="10"/>
  <c r="H241" i="11"/>
  <c r="J93" i="11"/>
  <c r="J245" i="11"/>
  <c r="J349" i="10"/>
  <c r="X148" i="25" s="1"/>
  <c r="E152" i="11"/>
  <c r="E155" i="11" s="1"/>
  <c r="G326" i="10"/>
  <c r="U136" i="25" s="1"/>
  <c r="G322" i="10"/>
  <c r="U132" i="25" s="1"/>
  <c r="G336" i="10"/>
  <c r="U141" i="25" s="1"/>
  <c r="G342" i="10"/>
  <c r="G328" i="10"/>
  <c r="U138" i="25" s="1"/>
  <c r="I363" i="10"/>
  <c r="W162" i="25" s="1"/>
  <c r="H333" i="10"/>
  <c r="H331" i="10"/>
  <c r="J64" i="10"/>
  <c r="J49" i="10"/>
  <c r="J134" i="10"/>
  <c r="H77" i="10"/>
  <c r="V81" i="25" s="1"/>
  <c r="I68" i="10"/>
  <c r="W79" i="25" s="1"/>
  <c r="I65" i="10"/>
  <c r="I66" i="10"/>
  <c r="J144" i="10"/>
  <c r="J274" i="10" s="1"/>
  <c r="I159" i="10"/>
  <c r="W94" i="25" s="1"/>
  <c r="G273" i="10"/>
  <c r="G290" i="10" s="1"/>
  <c r="G79" i="10"/>
  <c r="G83" i="10"/>
  <c r="G90" i="10"/>
  <c r="G78" i="10"/>
  <c r="I208" i="10"/>
  <c r="U123" i="25" l="1"/>
  <c r="F12" i="14"/>
  <c r="F13" i="14" s="1"/>
  <c r="T123" i="25"/>
  <c r="F245" i="10"/>
  <c r="F251" i="10" s="1"/>
  <c r="F64" i="11" s="1"/>
  <c r="F85" i="10"/>
  <c r="F84" i="10"/>
  <c r="F18" i="14"/>
  <c r="F91" i="10"/>
  <c r="F147" i="11"/>
  <c r="F204" i="11" s="1"/>
  <c r="F92" i="10"/>
  <c r="F91" i="11"/>
  <c r="F240" i="11"/>
  <c r="J358" i="10"/>
  <c r="X157" i="25" s="1"/>
  <c r="J206" i="10"/>
  <c r="X105" i="25" s="1"/>
  <c r="X100" i="25"/>
  <c r="J357" i="10"/>
  <c r="X156" i="25" s="1"/>
  <c r="I331" i="10"/>
  <c r="I207" i="10"/>
  <c r="I323" i="10"/>
  <c r="W133" i="25" s="1"/>
  <c r="I343" i="10"/>
  <c r="I337" i="10"/>
  <c r="W142" i="25" s="1"/>
  <c r="I332" i="10"/>
  <c r="I327" i="10"/>
  <c r="W137" i="25" s="1"/>
  <c r="I361" i="10"/>
  <c r="W160" i="25" s="1"/>
  <c r="I333" i="10"/>
  <c r="H336" i="10"/>
  <c r="V141" i="25" s="1"/>
  <c r="H322" i="10"/>
  <c r="V132" i="25" s="1"/>
  <c r="H326" i="10"/>
  <c r="V136" i="25" s="1"/>
  <c r="H328" i="10"/>
  <c r="V138" i="25" s="1"/>
  <c r="H342" i="10"/>
  <c r="J363" i="10"/>
  <c r="X162" i="25" s="1"/>
  <c r="J159" i="10"/>
  <c r="X94" i="25" s="1"/>
  <c r="I160" i="10"/>
  <c r="I161" i="10"/>
  <c r="I133" i="10"/>
  <c r="I189" i="10"/>
  <c r="G91" i="11"/>
  <c r="G240" i="11"/>
  <c r="G245" i="10"/>
  <c r="G251" i="10" s="1"/>
  <c r="G64" i="11" s="1"/>
  <c r="G85" i="10"/>
  <c r="G84" i="10"/>
  <c r="G147" i="11"/>
  <c r="G91" i="10"/>
  <c r="G92" i="10"/>
  <c r="J65" i="10"/>
  <c r="H273" i="10"/>
  <c r="H290" i="10" s="1"/>
  <c r="H79" i="10"/>
  <c r="H83" i="10"/>
  <c r="H90" i="10"/>
  <c r="H78" i="10"/>
  <c r="J68" i="10"/>
  <c r="X79" i="25" s="1"/>
  <c r="I241" i="11"/>
  <c r="I77" i="10"/>
  <c r="W81" i="25" s="1"/>
  <c r="V123" i="25" l="1"/>
  <c r="J241" i="11"/>
  <c r="I322" i="10"/>
  <c r="W132" i="25" s="1"/>
  <c r="I326" i="10"/>
  <c r="W136" i="25" s="1"/>
  <c r="I328" i="10"/>
  <c r="W138" i="25" s="1"/>
  <c r="I336" i="10"/>
  <c r="W141" i="25" s="1"/>
  <c r="I342" i="10"/>
  <c r="J207" i="10"/>
  <c r="J323" i="10"/>
  <c r="X133" i="25" s="1"/>
  <c r="J343" i="10"/>
  <c r="J332" i="10"/>
  <c r="J337" i="10"/>
  <c r="X142" i="25" s="1"/>
  <c r="J327" i="10"/>
  <c r="X137" i="25" s="1"/>
  <c r="J333" i="10"/>
  <c r="J361" i="10"/>
  <c r="X160" i="25" s="1"/>
  <c r="J331" i="10"/>
  <c r="H245" i="10"/>
  <c r="H251" i="10" s="1"/>
  <c r="H64" i="11" s="1"/>
  <c r="H85" i="10"/>
  <c r="H84" i="10"/>
  <c r="I273" i="10"/>
  <c r="I290" i="10" s="1"/>
  <c r="W123" i="25" s="1"/>
  <c r="I79" i="10"/>
  <c r="I83" i="10"/>
  <c r="I90" i="10"/>
  <c r="I78" i="10"/>
  <c r="J77" i="10"/>
  <c r="X81" i="25" s="1"/>
  <c r="G204" i="11"/>
  <c r="H91" i="11"/>
  <c r="H240" i="11"/>
  <c r="J161" i="10"/>
  <c r="J160" i="10"/>
  <c r="J133" i="10"/>
  <c r="J189" i="10"/>
  <c r="H91" i="10"/>
  <c r="H147" i="11"/>
  <c r="H92" i="10"/>
  <c r="J326" i="10" l="1"/>
  <c r="X136" i="25" s="1"/>
  <c r="J328" i="10"/>
  <c r="X138" i="25" s="1"/>
  <c r="J336" i="10"/>
  <c r="X141" i="25" s="1"/>
  <c r="J342" i="10"/>
  <c r="J322" i="10"/>
  <c r="X132" i="25" s="1"/>
  <c r="I91" i="11"/>
  <c r="I240" i="11"/>
  <c r="J273" i="10"/>
  <c r="J290" i="10" s="1"/>
  <c r="X123" i="25" s="1"/>
  <c r="J79" i="10"/>
  <c r="J83" i="10"/>
  <c r="J90" i="10"/>
  <c r="J78" i="10"/>
  <c r="I91" i="10"/>
  <c r="I92" i="10"/>
  <c r="I147" i="11"/>
  <c r="H204" i="11"/>
  <c r="I245" i="10"/>
  <c r="I85" i="10"/>
  <c r="I84" i="10"/>
  <c r="J91" i="11" l="1"/>
  <c r="J240" i="11"/>
  <c r="I204" i="11"/>
  <c r="J85" i="10"/>
  <c r="J84" i="10"/>
  <c r="J245" i="10"/>
  <c r="J251" i="10" s="1"/>
  <c r="I251" i="10"/>
  <c r="I64" i="11" s="1"/>
  <c r="J92" i="10"/>
  <c r="J147" i="11"/>
  <c r="J91" i="10"/>
  <c r="G304" i="10" l="1"/>
  <c r="J204" i="11"/>
  <c r="H304" i="10" l="1"/>
  <c r="J224" i="10" l="1"/>
  <c r="J304" i="10" s="1"/>
  <c r="I304" i="10"/>
  <c r="E256" i="10" l="1"/>
  <c r="E241" i="10" s="1"/>
  <c r="E218" i="10" s="1"/>
  <c r="S109" i="25" s="1"/>
  <c r="E259" i="10" l="1"/>
  <c r="E261" i="10" s="1"/>
  <c r="E66" i="11" s="1"/>
  <c r="E305" i="10"/>
  <c r="E307" i="10" s="1"/>
  <c r="S125" i="25" s="1"/>
  <c r="E308" i="10" l="1"/>
  <c r="E67" i="11"/>
  <c r="E70" i="11" s="1"/>
  <c r="E227" i="10"/>
  <c r="S110" i="25" s="1"/>
  <c r="F241" i="10"/>
  <c r="F218" i="10" s="1"/>
  <c r="T109" i="25" s="1"/>
  <c r="E243" i="11" l="1"/>
  <c r="E244" i="11" s="1"/>
  <c r="E247" i="11" s="1"/>
  <c r="E250" i="11" s="1"/>
  <c r="S126" i="25"/>
  <c r="E310" i="10"/>
  <c r="E92" i="11"/>
  <c r="E97" i="11" s="1"/>
  <c r="E345" i="10"/>
  <c r="E19" i="14"/>
  <c r="E344" i="10"/>
  <c r="E228" i="10"/>
  <c r="E229" i="10"/>
  <c r="E338" i="10"/>
  <c r="S143" i="25" s="1"/>
  <c r="F149" i="11"/>
  <c r="F206" i="11" s="1"/>
  <c r="E362" i="10"/>
  <c r="E339" i="10"/>
  <c r="S144" i="25" s="1"/>
  <c r="E233" i="10"/>
  <c r="S113" i="25" s="1"/>
  <c r="F259" i="10"/>
  <c r="F261" i="10" s="1"/>
  <c r="F66" i="11" s="1"/>
  <c r="G241" i="10"/>
  <c r="G218" i="10" s="1"/>
  <c r="U109" i="25" s="1"/>
  <c r="E100" i="11" l="1"/>
  <c r="E112" i="11" s="1"/>
  <c r="D30" i="14" s="1"/>
  <c r="E23" i="14"/>
  <c r="E235" i="10"/>
  <c r="F151" i="11"/>
  <c r="F152" i="11" s="1"/>
  <c r="F155" i="11" s="1"/>
  <c r="F67" i="11"/>
  <c r="F70" i="11" s="1"/>
  <c r="E234" i="10"/>
  <c r="E236" i="10"/>
  <c r="S114" i="25" s="1"/>
  <c r="G259" i="10"/>
  <c r="G261" i="10" s="1"/>
  <c r="G66" i="11" s="1"/>
  <c r="G305" i="10"/>
  <c r="G307" i="10" s="1"/>
  <c r="U125" i="25" s="1"/>
  <c r="F305" i="10"/>
  <c r="F307" i="10" s="1"/>
  <c r="T125" i="25" s="1"/>
  <c r="F227" i="10"/>
  <c r="T110" i="25" s="1"/>
  <c r="H241" i="10"/>
  <c r="H259" i="10" s="1"/>
  <c r="H261" i="10" s="1"/>
  <c r="H66" i="11" s="1"/>
  <c r="G227" i="10"/>
  <c r="U110" i="25" s="1"/>
  <c r="F208" i="11"/>
  <c r="F209" i="11" s="1"/>
  <c r="F210" i="11"/>
  <c r="E239" i="10" l="1"/>
  <c r="G308" i="10"/>
  <c r="U126" i="25" s="1"/>
  <c r="F308" i="10"/>
  <c r="T126" i="25" s="1"/>
  <c r="E237" i="10"/>
  <c r="E238" i="10"/>
  <c r="G149" i="11"/>
  <c r="G151" i="11" s="1"/>
  <c r="G152" i="11" s="1"/>
  <c r="G155" i="11" s="1"/>
  <c r="F19" i="14"/>
  <c r="H218" i="10"/>
  <c r="V109" i="25" s="1"/>
  <c r="H67" i="11"/>
  <c r="H70" i="11" s="1"/>
  <c r="G67" i="11"/>
  <c r="G70" i="11" s="1"/>
  <c r="F233" i="10"/>
  <c r="T113" i="25" s="1"/>
  <c r="F345" i="10"/>
  <c r="F339" i="10"/>
  <c r="T144" i="25" s="1"/>
  <c r="F338" i="10"/>
  <c r="T143" i="25" s="1"/>
  <c r="F228" i="10"/>
  <c r="F344" i="10"/>
  <c r="F229" i="10"/>
  <c r="F362" i="10"/>
  <c r="G339" i="10"/>
  <c r="U144" i="25" s="1"/>
  <c r="G233" i="10"/>
  <c r="U113" i="25" s="1"/>
  <c r="G229" i="10"/>
  <c r="G362" i="10"/>
  <c r="G344" i="10"/>
  <c r="G345" i="10"/>
  <c r="G338" i="10"/>
  <c r="U143" i="25" s="1"/>
  <c r="G228" i="10"/>
  <c r="H149" i="11"/>
  <c r="F211" i="11"/>
  <c r="F214" i="11" s="1"/>
  <c r="G92" i="11" l="1"/>
  <c r="G97" i="11" s="1"/>
  <c r="G100" i="11" s="1"/>
  <c r="G243" i="11"/>
  <c r="G244" i="11" s="1"/>
  <c r="G247" i="11" s="1"/>
  <c r="G250" i="11" s="1"/>
  <c r="G310" i="10"/>
  <c r="F243" i="11"/>
  <c r="F244" i="11" s="1"/>
  <c r="F247" i="11" s="1"/>
  <c r="F250" i="11" s="1"/>
  <c r="F92" i="11"/>
  <c r="F97" i="11" s="1"/>
  <c r="F100" i="11" s="1"/>
  <c r="E24" i="14" s="1"/>
  <c r="F310" i="10"/>
  <c r="F235" i="10"/>
  <c r="G206" i="11"/>
  <c r="F236" i="10"/>
  <c r="T114" i="25" s="1"/>
  <c r="F234" i="10"/>
  <c r="G234" i="10"/>
  <c r="G235" i="10"/>
  <c r="G236" i="10"/>
  <c r="U114" i="25" s="1"/>
  <c r="I241" i="10"/>
  <c r="I218" i="10" s="1"/>
  <c r="W109" i="25" s="1"/>
  <c r="H305" i="10"/>
  <c r="H307" i="10" s="1"/>
  <c r="V125" i="25" s="1"/>
  <c r="H227" i="10"/>
  <c r="V110" i="25" s="1"/>
  <c r="H206" i="11"/>
  <c r="H151" i="11"/>
  <c r="H152" i="11" s="1"/>
  <c r="H155" i="11" s="1"/>
  <c r="G208" i="11" l="1"/>
  <c r="G209" i="11" s="1"/>
  <c r="G210" i="11"/>
  <c r="F112" i="11"/>
  <c r="F23" i="14"/>
  <c r="F24" i="14"/>
  <c r="G112" i="11"/>
  <c r="F239" i="10"/>
  <c r="H308" i="10"/>
  <c r="V126" i="25" s="1"/>
  <c r="F238" i="10"/>
  <c r="F237" i="10"/>
  <c r="I259" i="10"/>
  <c r="I261" i="10" s="1"/>
  <c r="I66" i="11" s="1"/>
  <c r="H228" i="10"/>
  <c r="H362" i="10"/>
  <c r="H233" i="10"/>
  <c r="V113" i="25" s="1"/>
  <c r="H229" i="10"/>
  <c r="I149" i="11"/>
  <c r="H339" i="10"/>
  <c r="V144" i="25" s="1"/>
  <c r="H338" i="10"/>
  <c r="V143" i="25" s="1"/>
  <c r="H345" i="10"/>
  <c r="H344" i="10"/>
  <c r="H210" i="11"/>
  <c r="H208" i="11"/>
  <c r="H209" i="11" s="1"/>
  <c r="G239" i="10"/>
  <c r="G237" i="10"/>
  <c r="G238" i="10"/>
  <c r="G211" i="11" l="1"/>
  <c r="G214" i="11" s="1"/>
  <c r="H310" i="10"/>
  <c r="H243" i="11"/>
  <c r="H244" i="11" s="1"/>
  <c r="H247" i="11" s="1"/>
  <c r="H250" i="11" s="1"/>
  <c r="H92" i="11"/>
  <c r="H97" i="11" s="1"/>
  <c r="H100" i="11" s="1"/>
  <c r="H112" i="11" s="1"/>
  <c r="I67" i="11"/>
  <c r="I70" i="11" s="1"/>
  <c r="E71" i="11" s="1"/>
  <c r="H211" i="11"/>
  <c r="H214" i="11" s="1"/>
  <c r="I305" i="10"/>
  <c r="I307" i="10" s="1"/>
  <c r="W125" i="25" s="1"/>
  <c r="I227" i="10"/>
  <c r="W110" i="25" s="1"/>
  <c r="J241" i="10"/>
  <c r="I206" i="11"/>
  <c r="I151" i="11"/>
  <c r="I152" i="11" s="1"/>
  <c r="I155" i="11" s="1"/>
  <c r="E156" i="11" s="1"/>
  <c r="H235" i="10"/>
  <c r="H236" i="10"/>
  <c r="V114" i="25" s="1"/>
  <c r="H234" i="10"/>
  <c r="I308" i="10" l="1"/>
  <c r="W126" i="25" s="1"/>
  <c r="J259" i="10"/>
  <c r="J261" i="10" s="1"/>
  <c r="J218" i="10" s="1"/>
  <c r="X109" i="25" s="1"/>
  <c r="I208" i="11"/>
  <c r="I209" i="11" s="1"/>
  <c r="I210" i="11"/>
  <c r="I233" i="10"/>
  <c r="W113" i="25" s="1"/>
  <c r="I229" i="10"/>
  <c r="J149" i="11"/>
  <c r="I339" i="10"/>
  <c r="W144" i="25" s="1"/>
  <c r="I345" i="10"/>
  <c r="I338" i="10"/>
  <c r="W143" i="25" s="1"/>
  <c r="I228" i="10"/>
  <c r="I362" i="10"/>
  <c r="W161" i="25" s="1"/>
  <c r="I344" i="10"/>
  <c r="H237" i="10"/>
  <c r="H239" i="10"/>
  <c r="H238" i="10"/>
  <c r="I310" i="10" l="1"/>
  <c r="I243" i="11"/>
  <c r="I244" i="11" s="1"/>
  <c r="I247" i="11" s="1"/>
  <c r="I250" i="11" s="1"/>
  <c r="E251" i="11" s="1"/>
  <c r="I92" i="11"/>
  <c r="I97" i="11" s="1"/>
  <c r="I100" i="11" s="1"/>
  <c r="J227" i="10"/>
  <c r="X110" i="25" s="1"/>
  <c r="J67" i="11"/>
  <c r="E72" i="11" s="1"/>
  <c r="E73" i="11" s="1"/>
  <c r="E75" i="11" s="1"/>
  <c r="E77" i="11" s="1"/>
  <c r="F3" i="11" s="1"/>
  <c r="J305" i="10"/>
  <c r="J307" i="10" s="1"/>
  <c r="X125" i="25" s="1"/>
  <c r="J151" i="11"/>
  <c r="J152" i="11" s="1"/>
  <c r="E157" i="11" s="1"/>
  <c r="E158" i="11" s="1"/>
  <c r="E160" i="11" s="1"/>
  <c r="E162" i="11" s="1"/>
  <c r="E164" i="11" s="1"/>
  <c r="J206" i="11"/>
  <c r="I211" i="11"/>
  <c r="I214" i="11" s="1"/>
  <c r="E215" i="11" s="1"/>
  <c r="I236" i="10"/>
  <c r="W114" i="25" s="1"/>
  <c r="I234" i="10"/>
  <c r="I235" i="10"/>
  <c r="I112" i="11" l="1"/>
  <c r="E101" i="11"/>
  <c r="J233" i="10"/>
  <c r="X113" i="25" s="1"/>
  <c r="J345" i="10"/>
  <c r="J229" i="10"/>
  <c r="J338" i="10"/>
  <c r="X143" i="25" s="1"/>
  <c r="J362" i="10"/>
  <c r="X161" i="25" s="1"/>
  <c r="J344" i="10"/>
  <c r="J339" i="10"/>
  <c r="X144" i="25" s="1"/>
  <c r="J308" i="10"/>
  <c r="X126" i="25" s="1"/>
  <c r="E80" i="11"/>
  <c r="J208" i="11"/>
  <c r="J209" i="11" s="1"/>
  <c r="J210" i="11"/>
  <c r="I239" i="10"/>
  <c r="I238" i="10"/>
  <c r="I237" i="10"/>
  <c r="E167" i="11"/>
  <c r="F5" i="11"/>
  <c r="B178" i="11"/>
  <c r="J243" i="11" l="1"/>
  <c r="J244" i="11" s="1"/>
  <c r="J247" i="11" s="1"/>
  <c r="E252" i="11" s="1"/>
  <c r="J236" i="10"/>
  <c r="X114" i="25" s="1"/>
  <c r="J92" i="11"/>
  <c r="J97" i="11" s="1"/>
  <c r="E102" i="11" s="1"/>
  <c r="J310" i="10"/>
  <c r="J211" i="11"/>
  <c r="E216" i="11" s="1"/>
  <c r="E217" i="11" s="1"/>
  <c r="E219" i="11" s="1"/>
  <c r="E221" i="11" s="1"/>
  <c r="E223" i="11" s="1"/>
  <c r="E225" i="11" s="1"/>
  <c r="E253" i="11" l="1"/>
  <c r="J237" i="10"/>
  <c r="J238" i="10"/>
  <c r="J239" i="10"/>
  <c r="E103" i="11"/>
  <c r="E105" i="11" s="1"/>
  <c r="E107" i="11" s="1"/>
  <c r="B121" i="11" s="1"/>
  <c r="F6" i="11"/>
  <c r="H8" i="28" s="1"/>
  <c r="E228" i="11"/>
  <c r="E257" i="11" l="1"/>
  <c r="E259" i="11" s="1"/>
  <c r="E261" i="11" s="1"/>
  <c r="E110" i="11"/>
  <c r="F4" i="11"/>
  <c r="F8" i="28" l="1"/>
  <c r="G8" i="28"/>
  <c r="E264" i="11"/>
  <c r="F7" i="11"/>
  <c r="K8" i="28" l="1"/>
  <c r="Z2" i="25"/>
  <c r="L118" i="25"/>
  <c r="Z118" i="2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<sst xmlns="http://schemas.openxmlformats.org/spreadsheetml/2006/main" count="2240" uniqueCount="1655">
  <si>
    <t>Cash Changes</t>
  </si>
  <si>
    <t>Net Income (computed) - Net Income (reported)</t>
  </si>
  <si>
    <t>Assets - Liabilities - Equities</t>
  </si>
  <si>
    <t>FINANCIAL DATA CHECKS</t>
  </si>
  <si>
    <t>Share price at fiscal year end</t>
  </si>
  <si>
    <t>Common dividends per share</t>
  </si>
  <si>
    <t>Earnings per share (basic)</t>
  </si>
  <si>
    <t>Common shares outstanding</t>
  </si>
  <si>
    <t>Preferred stock dividends (total, if any)</t>
  </si>
  <si>
    <t>Depreciation expense</t>
  </si>
  <si>
    <t>After-tax effects of nonrecurring and unusual items on net income</t>
  </si>
  <si>
    <t xml:space="preserve">Average tax rate implied from income statement data </t>
  </si>
  <si>
    <t>Statutory tax rate</t>
  </si>
  <si>
    <t>SUPPLEMENTAL DATA</t>
  </si>
  <si>
    <t>Cash and cash equivalents, end of year</t>
  </si>
  <si>
    <t>Cash and cash equivalents, beginning of year</t>
  </si>
  <si>
    <t xml:space="preserve">  Net Change in Cash</t>
  </si>
  <si>
    <t>Effects of exchange rate changes on cash</t>
  </si>
  <si>
    <t xml:space="preserve">  Net CF from Financing Activities</t>
  </si>
  <si>
    <t>Other financing transactions (2)</t>
  </si>
  <si>
    <t>Other financing transactions (1)</t>
  </si>
  <si>
    <t>&lt;Dividend payments&gt;</t>
  </si>
  <si>
    <t>&lt;Share repurchases&gt;</t>
  </si>
  <si>
    <t>Proceeds from stock option exercises</t>
  </si>
  <si>
    <t>Issue of capital stock</t>
  </si>
  <si>
    <t>&lt;Decrease in long-term borrowing&gt;</t>
  </si>
  <si>
    <t>Increase in long-term borrowing</t>
  </si>
  <si>
    <t>&lt;Decrease in short-term borrowing&gt;</t>
  </si>
  <si>
    <t>Increase in short-term borrowing</t>
  </si>
  <si>
    <t xml:space="preserve">  Net CF from Investing Activities</t>
  </si>
  <si>
    <t xml:space="preserve">Other investing transactions </t>
  </si>
  <si>
    <t>Payments for acquisitions of intangible assets</t>
  </si>
  <si>
    <t>&lt;Investments acquired&gt;</t>
  </si>
  <si>
    <t>Investments sold</t>
  </si>
  <si>
    <t>&lt;Increase&gt; Decrease in marketable securities</t>
  </si>
  <si>
    <t>&lt;Property, plant, and equipment acquired&gt;</t>
  </si>
  <si>
    <t>Proceeds from sales of property, plant, and equipment</t>
  </si>
  <si>
    <t xml:space="preserve">  Net CF from Operating Activities</t>
  </si>
  <si>
    <t>Other operating cash flows</t>
  </si>
  <si>
    <t>Other addbacks to &lt;subtractions from&gt; net income</t>
  </si>
  <si>
    <t>Increase &lt;Decrease&gt; in deferred revenues</t>
  </si>
  <si>
    <t>Increase &lt;Decrease&gt; in other current liabilities</t>
  </si>
  <si>
    <t>Increase &lt;Decrease&gt; in income taxes payable</t>
  </si>
  <si>
    <t>Increase &lt;Decrease&gt; in accounts payable</t>
  </si>
  <si>
    <t>&lt;Increase&gt; Decrease in other noncurrent assets</t>
  </si>
  <si>
    <t>&lt;Increase&gt; Decrease in other current assets</t>
  </si>
  <si>
    <t>&lt;Increase&gt; Decrease in prepaid expenses</t>
  </si>
  <si>
    <t>&lt;Increase&gt; Decrease in inventories</t>
  </si>
  <si>
    <t>&lt;Increase&gt; Decrease in accounts receivable</t>
  </si>
  <si>
    <t>&lt;Income from equity affiliates, net of dividends&gt;</t>
  </si>
  <si>
    <t>Deferred income taxes</t>
  </si>
  <si>
    <t>Add back stock-based compensation expense</t>
  </si>
  <si>
    <t>Add back depreciation and amortization expenses</t>
  </si>
  <si>
    <t>Net Income</t>
  </si>
  <si>
    <t>STATEMENT OF CASH FLOWS DATA</t>
  </si>
  <si>
    <t>Comprehensive Income</t>
  </si>
  <si>
    <t>Other comprehensive income items</t>
  </si>
  <si>
    <t>Net Income (enter reported amount as a check)</t>
  </si>
  <si>
    <t xml:space="preserve">  Net Income attributable to common shareholders</t>
  </si>
  <si>
    <t>Net income attributable to noncontrolling interests</t>
  </si>
  <si>
    <t xml:space="preserve">  Net Income </t>
  </si>
  <si>
    <t>Changes in accounting principles</t>
  </si>
  <si>
    <t>Extraordinary gains &lt;losses&gt;</t>
  </si>
  <si>
    <t>Income &lt;Loss&gt; from discontinued operations</t>
  </si>
  <si>
    <t>&lt;Income tax expense&gt;</t>
  </si>
  <si>
    <t xml:space="preserve">  Income before Tax</t>
  </si>
  <si>
    <t>Other income or gains &lt;Other expenses or losses&gt;</t>
  </si>
  <si>
    <t>Income &lt;Loss&gt; from equity affiliates</t>
  </si>
  <si>
    <t>&lt;Interest expense&gt;</t>
  </si>
  <si>
    <t>Interest income</t>
  </si>
  <si>
    <t xml:space="preserve">  Operating Profit</t>
  </si>
  <si>
    <t>Non-recurring operating gains &lt;losses&gt;</t>
  </si>
  <si>
    <t>Income from equity investees</t>
  </si>
  <si>
    <t>Other operating expenses (2)</t>
  </si>
  <si>
    <t>Other operating expenses (1)</t>
  </si>
  <si>
    <t>&lt;Selling, General and Administrative Expenses&gt;</t>
  </si>
  <si>
    <t>&lt;Depreciation and Amortization&gt;</t>
  </si>
  <si>
    <t>&lt;Operating Expenses (2)&gt;</t>
  </si>
  <si>
    <t>&lt;Operating Expenses (1)&gt;</t>
  </si>
  <si>
    <t xml:space="preserve">  Gross Profit</t>
  </si>
  <si>
    <t>&lt;Cost of goods sold&gt;</t>
  </si>
  <si>
    <t>Revenues</t>
  </si>
  <si>
    <t>INCOME STATEMENT DATA</t>
  </si>
  <si>
    <t xml:space="preserve">  Total Liabilities and Equities</t>
  </si>
  <si>
    <t xml:space="preserve">  Total Equity</t>
  </si>
  <si>
    <t>Noncontrolling interests</t>
  </si>
  <si>
    <t xml:space="preserve"> Total Common Shareholders' Equity</t>
  </si>
  <si>
    <t>&lt;Treasury stock&gt; and other equity adjustments</t>
  </si>
  <si>
    <t>Accum. other comprehensive income &lt;loss&gt;</t>
  </si>
  <si>
    <t>Retained earnings &lt;deficit&gt;</t>
  </si>
  <si>
    <t>Common stock + Additional paid in capital</t>
  </si>
  <si>
    <t>Preferred stock</t>
  </si>
  <si>
    <t xml:space="preserve">  Total Liabilities</t>
  </si>
  <si>
    <t>Other noncurrent liabilities (2)</t>
  </si>
  <si>
    <t>Other noncurrent liabilities (1)</t>
  </si>
  <si>
    <t>Deferred tax liabilities- noncurrent</t>
  </si>
  <si>
    <t>Long-term accrued liabilities</t>
  </si>
  <si>
    <t xml:space="preserve">Long-term debt </t>
  </si>
  <si>
    <t xml:space="preserve">  Current Liabilities</t>
  </si>
  <si>
    <t>Other current liabilities (3)</t>
  </si>
  <si>
    <t>Other current liabilities (2)</t>
  </si>
  <si>
    <t>Other current liabilities (1)</t>
  </si>
  <si>
    <t>Deferred tax liabilities</t>
  </si>
  <si>
    <t>Non-current lease liabilities</t>
  </si>
  <si>
    <t>Other non-current liabilities</t>
  </si>
  <si>
    <t>Employee benefit liabilities</t>
  </si>
  <si>
    <t>Provisions for risks and charges</t>
  </si>
  <si>
    <t>Liabilities and Equities:</t>
  </si>
  <si>
    <t xml:space="preserve">   Total Assets</t>
  </si>
  <si>
    <t>-</t>
  </si>
  <si>
    <t xml:space="preserve">Goodwill </t>
  </si>
  <si>
    <t>Other intangible assets</t>
  </si>
  <si>
    <t>Other assets</t>
  </si>
  <si>
    <t>Deferred income taxes - noncurrent</t>
  </si>
  <si>
    <t>&lt;Accumulated depreciation&gt;</t>
  </si>
  <si>
    <t>Property, plant, and equipment - at cost</t>
  </si>
  <si>
    <t xml:space="preserve">Equity and cost investments </t>
  </si>
  <si>
    <t>Long-term investments</t>
  </si>
  <si>
    <t xml:space="preserve">  Current Assets</t>
  </si>
  <si>
    <t>Other current assets (3)</t>
  </si>
  <si>
    <t>Other current assets (2)</t>
  </si>
  <si>
    <t>Other current assets (1)</t>
  </si>
  <si>
    <t>Prepaid expenses and other current assets</t>
  </si>
  <si>
    <t>Inventories</t>
  </si>
  <si>
    <t>Accounts and notes receivable - net</t>
  </si>
  <si>
    <t>Short-term investments</t>
  </si>
  <si>
    <t>Cash and cash equivalents</t>
  </si>
  <si>
    <t>Assets:</t>
  </si>
  <si>
    <t>BALANCE SHEET DATA</t>
  </si>
  <si>
    <t>Year (Most recent in far right column.)</t>
  </si>
  <si>
    <t>Salvatore Ferragamo Group</t>
  </si>
  <si>
    <t>Company Name:</t>
  </si>
  <si>
    <t>ARYAN Shrenick kothari</t>
  </si>
  <si>
    <t>Analyst Name:</t>
  </si>
  <si>
    <t>as a percent of total revenues</t>
  </si>
  <si>
    <t xml:space="preserve">Cost of Sales and Occupancy Costs: </t>
  </si>
  <si>
    <t>Cost of Sales and Occupancy Cost Projections</t>
  </si>
  <si>
    <t>Cost of Sales and Occupancy Costs</t>
  </si>
  <si>
    <t>Weighted Average Interest Rate Used in Forecasts:</t>
  </si>
  <si>
    <t>Totals</t>
  </si>
  <si>
    <t>Maturity 7</t>
  </si>
  <si>
    <t>Maturity 6</t>
  </si>
  <si>
    <t>Maturity 5</t>
  </si>
  <si>
    <t>Maturity 4</t>
  </si>
  <si>
    <t>Maturity 3</t>
  </si>
  <si>
    <t>Maturity 2</t>
  </si>
  <si>
    <t>Maturity 1</t>
  </si>
  <si>
    <t>Weighted Average Interest Rates</t>
  </si>
  <si>
    <t>Stated Interest Rates</t>
  </si>
  <si>
    <t>Proportion of Total</t>
  </si>
  <si>
    <t>Face Value Amounts</t>
  </si>
  <si>
    <t>Debt Issues and Maturities:</t>
  </si>
  <si>
    <t>Long-Term Debt and Weighted-Average Interest Rates</t>
  </si>
  <si>
    <t>(in years)</t>
  </si>
  <si>
    <t>Useful Life Forecast Assumption:</t>
  </si>
  <si>
    <t>Implied Avg. Useful Life in Years</t>
  </si>
  <si>
    <t>Depreciation Expense</t>
  </si>
  <si>
    <t>Avg Depreciable PPE</t>
  </si>
  <si>
    <t xml:space="preserve">FSAP automatically estimates the estimated useful life for depreciation purposes by dividing the average amount of gross depreciable PP&amp;E by depreciation expense.  This estimate assume straight line depreciation and zero salvage value. </t>
  </si>
  <si>
    <t>PPE at Cost</t>
  </si>
  <si>
    <t>Depreciation methods:</t>
  </si>
  <si>
    <t>Portion Reported within COGS on Income Statement (5% of total)</t>
  </si>
  <si>
    <t>Portion Reported Separately on Income Statement (95% of total)</t>
  </si>
  <si>
    <t>Total Depreciation Expense</t>
  </si>
  <si>
    <t>Capex Year +5</t>
  </si>
  <si>
    <t>Capex Year +4</t>
  </si>
  <si>
    <t>Capex Year +3</t>
  </si>
  <si>
    <t>Capex Year +2</t>
  </si>
  <si>
    <t xml:space="preserve">FSAP automatically computes a new depreciation schedule for each year's capital expenditures, which are included in PP&amp;E. These computations assume straight line depreciation methods and zero salvage value. The computations use the extimated useful life as computed below. </t>
  </si>
  <si>
    <t>Capex Year +1</t>
  </si>
  <si>
    <t>Depreciation expense forecasts on new PP&amp;E:</t>
  </si>
  <si>
    <t xml:space="preserve">PP&amp;E Purchases: </t>
  </si>
  <si>
    <t>This computation shows the amount of gross PP&amp;E still to be depreciated.  Once this amount falls to zero, depreciation is complete.The FSAP user should be sure that these amounts are not negative.</t>
  </si>
  <si>
    <t>Remaining balance to be depreciated.</t>
  </si>
  <si>
    <t xml:space="preserve">This computation shows depreciation expense based on the exisiting depreciable PP&amp;E at the start of the forecast period. The computation assumes straight line depreciation methods, zero salvage value, and the estimated useful life computed below. .  </t>
  </si>
  <si>
    <t>Existing PP&amp;E at cost:</t>
  </si>
  <si>
    <t>Depreciation expense forecast on existing PP&amp;E:</t>
  </si>
  <si>
    <t>Depreciation Expense Forecast Development:</t>
  </si>
  <si>
    <t>PP&amp;E - net</t>
  </si>
  <si>
    <t>End Balance:</t>
  </si>
  <si>
    <t>Subtract: Depreciation expense forecasts from below:</t>
  </si>
  <si>
    <t>Beg. Balance:</t>
  </si>
  <si>
    <t>Accumulated Depreciation:</t>
  </si>
  <si>
    <t>End balance at cost:</t>
  </si>
  <si>
    <t>Add: CAPEX forecasts from above:</t>
  </si>
  <si>
    <t>Beg. balance at cost:</t>
  </si>
  <si>
    <t xml:space="preserve">PP&amp;E at cost: </t>
  </si>
  <si>
    <t xml:space="preserve">FSAP automatically links the projected amounts for gross PP&amp;E, accumulated depreciation, depreciation expense, and capital expenditures into the financial statements in the Forecasts worksheet. </t>
  </si>
  <si>
    <t xml:space="preserve">The Property, Plant &amp; Equipment and Depreciation schedule automatically computes for the FSAP detailed forecasts of future PP&amp;E based on exisitng PP&amp;E plus projected future capital expenditures. The Depreciation expense schedule automatically computes future depreciation expense based on exisitng depreciable PP&amp;E future capital expenditures.  The expected useful life for depreciation purposes is computed below.  </t>
  </si>
  <si>
    <t>Property, Plant and Equipment and Depreciation Forecasts:</t>
  </si>
  <si>
    <t>Property, Plant and Equipment and Depreciation</t>
  </si>
  <si>
    <t xml:space="preserve"> Gross PP&amp;E</t>
  </si>
  <si>
    <t>Net CAPEX as a percent of:</t>
  </si>
  <si>
    <t>Net CAPEX</t>
  </si>
  <si>
    <t>PP&amp;E Sold</t>
  </si>
  <si>
    <t>PP&amp;E Acquired</t>
  </si>
  <si>
    <t>CAPEX:</t>
  </si>
  <si>
    <t xml:space="preserve">The Capital Expenditures schedule permits the FSAP user to build detailed forecasts of future capital expenditures as a percent of future revenues, gross PP&amp;E or any other reasonable basis for these forecast assumptions. </t>
  </si>
  <si>
    <t>Capital Expenditures:</t>
  </si>
  <si>
    <t>Forecast Development: Capital Expenditures, Property, Plant and Equipment, and Depreciation</t>
  </si>
  <si>
    <t>Growth rates</t>
  </si>
  <si>
    <t>Summary: Revenues by Segment and Type:</t>
  </si>
  <si>
    <t>Implied revenue growth rates.</t>
  </si>
  <si>
    <t>rates of change</t>
  </si>
  <si>
    <t xml:space="preserve">   Total Net Revenues</t>
  </si>
  <si>
    <t>Net Revenues (in millions):</t>
  </si>
  <si>
    <t>Year</t>
  </si>
  <si>
    <t>Forecasts</t>
  </si>
  <si>
    <t>Actuals</t>
  </si>
  <si>
    <t>Asia</t>
  </si>
  <si>
    <t>Americas</t>
  </si>
  <si>
    <t>Europe</t>
  </si>
  <si>
    <t>Revenue Forecast Development</t>
  </si>
  <si>
    <t>Other financing transactions</t>
  </si>
  <si>
    <t>Dividends</t>
  </si>
  <si>
    <t>Net proceeds from share issues and repurchases</t>
  </si>
  <si>
    <t>Net proceeds from long-term borrowing</t>
  </si>
  <si>
    <t>Net proceeds from short-term borrowing</t>
  </si>
  <si>
    <t>Financing Activities:</t>
  </si>
  <si>
    <t>Other investing transactions</t>
  </si>
  <si>
    <t>Investments</t>
  </si>
  <si>
    <t>Capital expenditures (net)</t>
  </si>
  <si>
    <t>Investing Activities:</t>
  </si>
  <si>
    <t>Other net addbacks/subtractions</t>
  </si>
  <si>
    <t>Net cash flows for working capital</t>
  </si>
  <si>
    <t>Operating Activities:</t>
  </si>
  <si>
    <t>STATEMENT OF CASH FLOWS: SUMMARY</t>
  </si>
  <si>
    <t>ROCE = Operating ROA+Leverage*Spread</t>
  </si>
  <si>
    <t>Leverage*Spread</t>
  </si>
  <si>
    <t>Leverage</t>
  </si>
  <si>
    <t>Spread</t>
  </si>
  <si>
    <t>Net Borrowing Rate</t>
  </si>
  <si>
    <t>Operating ROA (NOPAT/Average NOA)</t>
  </si>
  <si>
    <t>Net operating asset turnover</t>
  </si>
  <si>
    <t>Profit margin for operating ROA</t>
  </si>
  <si>
    <t>Average Common Equity</t>
  </si>
  <si>
    <t>Average Financing Obligations</t>
  </si>
  <si>
    <t>Average Net Operating Assets</t>
  </si>
  <si>
    <t>Net Financing Expense After Tax</t>
  </si>
  <si>
    <t>Net Operating Profit After Tax (NOPAT)</t>
  </si>
  <si>
    <t>Total Revenues</t>
  </si>
  <si>
    <t>INPUT VARIABLES</t>
  </si>
  <si>
    <t>ROCE</t>
  </si>
  <si>
    <t>RETURN ON COMMON SHAREHOLDERS' EQUITY</t>
  </si>
  <si>
    <t>RETURN ON COMMON SHAREHOLDERS' EQUITY ANALYSIS: Alternative Approach to Disaggregation</t>
  </si>
  <si>
    <t>CAPITAL STRUCTURE LEVERAGE</t>
  </si>
  <si>
    <t>ASSET TURNOVER</t>
  </si>
  <si>
    <t>PROFIT MARGIN FOR ROCE</t>
  </si>
  <si>
    <t>RETURN ON COMMON SHAREHOLDERS' EQUITY ANALYSIS (excluding the effects of non-recurring items)</t>
  </si>
  <si>
    <r>
      <t>*</t>
    </r>
    <r>
      <rPr>
        <b/>
        <sz val="8"/>
        <rFont val="Arial"/>
        <family val="2"/>
      </rPr>
      <t>Amounts do not sum.</t>
    </r>
  </si>
  <si>
    <r>
      <t>Profit Margin for ROA</t>
    </r>
    <r>
      <rPr>
        <b/>
        <vertAlign val="superscript"/>
        <sz val="8"/>
        <rFont val="Arial"/>
        <family val="2"/>
      </rPr>
      <t>*</t>
    </r>
  </si>
  <si>
    <t>Fixed Assets</t>
  </si>
  <si>
    <t>Inventory</t>
  </si>
  <si>
    <t>Receivables</t>
  </si>
  <si>
    <t>Turnovers:</t>
  </si>
  <si>
    <t>Level 3</t>
  </si>
  <si>
    <t>PROFIT MARGIN FOR ROA</t>
  </si>
  <si>
    <t>Level 2</t>
  </si>
  <si>
    <t>RETURN ON ASSETS</t>
  </si>
  <si>
    <t>Level 1</t>
  </si>
  <si>
    <t>RETURN ON ASSETS ANALYSIS (excluding the effects of non-recurring items)</t>
  </si>
  <si>
    <t>RATE</t>
  </si>
  <si>
    <t>YEAR TO YEAR GROWTH RATES:</t>
  </si>
  <si>
    <t>GROWTH</t>
  </si>
  <si>
    <t>COMPOUND</t>
  </si>
  <si>
    <t>BALANCE SHEET ITEMS: GROWTH RATES</t>
  </si>
  <si>
    <t>COMMON SIZE BALANCE SHEET - AS A PERCENT OF TOTAL ASSETS</t>
  </si>
  <si>
    <t>INCOME STATEMENT ITEMS: GROWTH RATES</t>
  </si>
  <si>
    <t>INCOME STATEMENT ITEMS AS A PERCENT OF REVENUES:</t>
  </si>
  <si>
    <t>Common Dividend Yield (% of Share Price)</t>
  </si>
  <si>
    <t>Common Dividend Payout (% of Net Income)</t>
  </si>
  <si>
    <t>Common Dividends per Share</t>
  </si>
  <si>
    <t>Market Value to Book Value Ratio</t>
  </si>
  <si>
    <t>Price-Earnings Ratio (recurring amounts)</t>
  </si>
  <si>
    <t>Price-Earnings Ratio (reported amounts)</t>
  </si>
  <si>
    <t>Stock Returns</t>
  </si>
  <si>
    <t>DIVIDEND and STOCK MARKET-BASED RATIOS:</t>
  </si>
  <si>
    <t xml:space="preserve">   Earnings Manipulation Probability</t>
  </si>
  <si>
    <t>Beneish Earnings Manipulation Score</t>
  </si>
  <si>
    <t>Earnings Manipulation Predictors:</t>
  </si>
  <si>
    <t xml:space="preserve">   Bankruptcy Probability</t>
  </si>
  <si>
    <t>Altman Z Score</t>
  </si>
  <si>
    <t>Bankruptcy Predictors:</t>
  </si>
  <si>
    <t>RISK FACTORS:</t>
  </si>
  <si>
    <t>Interest Coverage ratio (recurring amounts)</t>
  </si>
  <si>
    <t>Interest Coverage Ratio (reported amounts)</t>
  </si>
  <si>
    <t>Operating Cash Flow to Total Liabilities</t>
  </si>
  <si>
    <t>LT Debt / Total Equity</t>
  </si>
  <si>
    <t>LT Debt / LT Capital</t>
  </si>
  <si>
    <t>Total Liabilities / Total Equity</t>
  </si>
  <si>
    <t>Total Liabilities / Total Assets</t>
  </si>
  <si>
    <t>SOLVENCY:</t>
  </si>
  <si>
    <t>Expected Remaining Useful Life of PPE</t>
  </si>
  <si>
    <t>Expected Useful Life of PPE for Depreciation</t>
  </si>
  <si>
    <t>CAPEX Index</t>
  </si>
  <si>
    <t>Revenues / Average Net Fixed Assets</t>
  </si>
  <si>
    <t>Net Working Capital Days</t>
  </si>
  <si>
    <t xml:space="preserve">   Days Payables Held</t>
  </si>
  <si>
    <t>Accounts Payable Turnover</t>
  </si>
  <si>
    <t xml:space="preserve">   Days Inventory Held</t>
  </si>
  <si>
    <t>Inventory Turnover</t>
  </si>
  <si>
    <t xml:space="preserve">   Days Receivables Held</t>
  </si>
  <si>
    <t>Accounts Receivable Turnover</t>
  </si>
  <si>
    <t xml:space="preserve">  Days Sales Held in Cash</t>
  </si>
  <si>
    <t>Cash Turnover</t>
  </si>
  <si>
    <t>ASSET TURNOVER:</t>
  </si>
  <si>
    <t>Operating Cash Flow to Current Liabilities</t>
  </si>
  <si>
    <t>Quick Ratio</t>
  </si>
  <si>
    <t>Current Ratio</t>
  </si>
  <si>
    <t>LIQUIDITY:</t>
  </si>
  <si>
    <t>Comprehensive Income Margin</t>
  </si>
  <si>
    <t>Comprehensive Income Index</t>
  </si>
  <si>
    <t>Comprehensive Income Performance:</t>
  </si>
  <si>
    <t>Net Profit Margin</t>
  </si>
  <si>
    <t>Tax Index</t>
  </si>
  <si>
    <t>Leverage Index</t>
  </si>
  <si>
    <t>Operating Profit Index</t>
  </si>
  <si>
    <t>Gross Profit Margin</t>
  </si>
  <si>
    <t>Profit Margin Decomposition:</t>
  </si>
  <si>
    <t>Net Profit Contol Index</t>
  </si>
  <si>
    <t>Operating Profit Contol Index</t>
  </si>
  <si>
    <t>Gross Profit Control Index</t>
  </si>
  <si>
    <t>OPERATING CONTROL:</t>
  </si>
  <si>
    <t>Persistent Net Income Growth</t>
  </si>
  <si>
    <t>Net Income Growth</t>
  </si>
  <si>
    <t>Revenue Growth</t>
  </si>
  <si>
    <t>GROWTH RATES:</t>
  </si>
  <si>
    <t>Persistent Net Income / Revenues</t>
  </si>
  <si>
    <t>Persistent Operating Profit / Revenues</t>
  </si>
  <si>
    <t>PERSISTENT OPERATING PERFORMANCE (excluding the effects of nonrecurring items):</t>
  </si>
  <si>
    <t>Comprehensive Income / Revenues</t>
  </si>
  <si>
    <t>Net Income / Revenues</t>
  </si>
  <si>
    <t>Operating Profit / Revenues</t>
  </si>
  <si>
    <t>Gross Profit / Revenues</t>
  </si>
  <si>
    <t>OPERATING PERFORMANCE:</t>
  </si>
  <si>
    <t>= Return on Common Equity</t>
  </si>
  <si>
    <t>x Capital Structure Leverage</t>
  </si>
  <si>
    <t>x Asset Turnover</t>
  </si>
  <si>
    <t xml:space="preserve">  Profit Margin for ROCE</t>
  </si>
  <si>
    <t>RETURN ON COMMON EQUITY (excluding the effects of nonrecurring items):</t>
  </si>
  <si>
    <t>RETURN ON COMMON EQUITY (based on reported amounts):</t>
  </si>
  <si>
    <t>= Return on Assets</t>
  </si>
  <si>
    <t xml:space="preserve">  Profit Margin for ROA</t>
  </si>
  <si>
    <t>RETURN ON ASSETS (excluding the effects of nonrecurring items):</t>
  </si>
  <si>
    <t>RETURN ON ASSETS (based on reported amounts):</t>
  </si>
  <si>
    <t>PROFITABILITY FACTORS:</t>
  </si>
  <si>
    <t>In the computations below, a #DIV/0! message indicates that a ratio denominator is zero.</t>
  </si>
  <si>
    <t>DATA CHECKS</t>
  </si>
  <si>
    <t>Interest Coverage Ratio</t>
  </si>
  <si>
    <t>Revenues / Average Fixed Assets</t>
  </si>
  <si>
    <t>COGS / Average Inventory</t>
  </si>
  <si>
    <t>Revenues / Avg. Accounts Receivable</t>
  </si>
  <si>
    <t>Operating Profit Before Taxes / Revenues</t>
  </si>
  <si>
    <t>Total Asset Growth Rates</t>
  </si>
  <si>
    <t>Net Income Growth Rates:</t>
  </si>
  <si>
    <t>Revenue Growth Rates:</t>
  </si>
  <si>
    <t>FORECAST VALIDITY CHECK DATA:</t>
  </si>
  <si>
    <t>FINANCIAL STATEMENT FORECASTS</t>
  </si>
  <si>
    <t>FSAP OUTPUT:</t>
  </si>
  <si>
    <t>Net change in cash - Change in cash balance</t>
  </si>
  <si>
    <t xml:space="preserve">Check Figure: </t>
  </si>
  <si>
    <t xml:space="preserve">  Net Cash Flows from Financing Activities</t>
  </si>
  <si>
    <t>Increase &lt;Decrease&gt; in noncontrolling interests</t>
  </si>
  <si>
    <t>Dividends and share repurchases</t>
  </si>
  <si>
    <t>Increase &lt;Decrease&gt; in treasury stock and other equity adjs.</t>
  </si>
  <si>
    <t xml:space="preserve">Increase &lt;Decrease&gt; in accum. OCI </t>
  </si>
  <si>
    <t>Increase &lt;Decrease&gt; in common stock + paid in capital</t>
  </si>
  <si>
    <t>Increase &lt;Decrease&gt; in preferred stock</t>
  </si>
  <si>
    <t>Increase &lt;Decrease&gt; in long-term debt</t>
  </si>
  <si>
    <t>Increase &lt;Decrease&gt; in short-term debt</t>
  </si>
  <si>
    <t xml:space="preserve">  Net Cash Flows from Investing Activities</t>
  </si>
  <si>
    <t>&lt;Increase&gt; Decrease in other noncurrent assets (2)</t>
  </si>
  <si>
    <t xml:space="preserve">&lt;Increase&gt; Decrease in other  assets </t>
  </si>
  <si>
    <t>&lt;Increase&gt; Decrease in goodwill and nonamort. intangibles</t>
  </si>
  <si>
    <t>&lt;Increase&gt; Decrease in amortizable intangible assets (net)</t>
  </si>
  <si>
    <t>&lt;Increase&gt; Decrease in long-term investments</t>
  </si>
  <si>
    <t>&lt;Increase&gt; Decrease in short-term investments</t>
  </si>
  <si>
    <t>&lt;Increase&gt; Decrease in property, plant, &amp; equip. at cost</t>
  </si>
  <si>
    <t xml:space="preserve">  Net Cash Flows from Operations</t>
  </si>
  <si>
    <t>Increase &lt;Decrease&gt; in other noncurrent liabilities (2)</t>
  </si>
  <si>
    <t>Increase &lt;Decrease&gt; in other noncurrent liabilities (1)</t>
  </si>
  <si>
    <t>Increase &lt;Decrease&gt; in long-term accrued liabilities</t>
  </si>
  <si>
    <t>Net change in deferred tax assets and liabilities</t>
  </si>
  <si>
    <t>Increase &lt;Decrease&gt; in other current liabilities (2)</t>
  </si>
  <si>
    <t xml:space="preserve">Increase &lt;Decrease&gt; in stored value card liabilities </t>
  </si>
  <si>
    <t>Increase &lt;Decrease&gt; in insurance reserves</t>
  </si>
  <si>
    <t>Increase &lt;Decrease&gt; in current accrued liabilities</t>
  </si>
  <si>
    <t>Increase &lt;Decrease&gt; in accounts payable - trade</t>
  </si>
  <si>
    <t>&lt;Increase&gt; Decrease in other current assets (2)</t>
  </si>
  <si>
    <t>&lt;Increase&gt; Decrease in other current assets (1)</t>
  </si>
  <si>
    <t>&lt;Increase&gt; Decrease in receivables - net</t>
  </si>
  <si>
    <t>Add back amortization expense (net)</t>
  </si>
  <si>
    <t>Add back depreciation expense (net)</t>
  </si>
  <si>
    <t>IMPLIED STATEMENT OF CASH FLOWS</t>
  </si>
  <si>
    <t>Total Treasury Stock Purchase Amounts</t>
  </si>
  <si>
    <t>Total:</t>
  </si>
  <si>
    <t>Adjustment needed to balance the balance sheet, from above.</t>
  </si>
  <si>
    <t>Implied adjustments:</t>
  </si>
  <si>
    <t>Enter treasury stock purchases, if any.</t>
  </si>
  <si>
    <t xml:space="preserve">Original Forecast Amounts: </t>
  </si>
  <si>
    <t>Treasury Stock Purchases:</t>
  </si>
  <si>
    <t xml:space="preserve">Flexible Financial Account: </t>
  </si>
  <si>
    <t>Total dividend forecast amounts.</t>
  </si>
  <si>
    <t>Total dividends:</t>
  </si>
  <si>
    <t>Enter preferred stock dividend payment amounts, if any.</t>
  </si>
  <si>
    <t>Preferred dividends:</t>
  </si>
  <si>
    <t>Assume dividend payout of net income, if any.</t>
  </si>
  <si>
    <t>Common dividends:</t>
  </si>
  <si>
    <t>Dividends forecasts:</t>
  </si>
  <si>
    <t>Initial adjustment needed to balance the balance sheet:</t>
  </si>
  <si>
    <t>Check figures: Balance Sheet A=L+OE?</t>
  </si>
  <si>
    <t>rate of change</t>
  </si>
  <si>
    <t>common size</t>
  </si>
  <si>
    <t>Explain assumptions</t>
  </si>
  <si>
    <t>Treasury stock repurchases, if not subtracted from retained earnings.</t>
  </si>
  <si>
    <t>Add accumulated other comprehensive income items from income statement</t>
  </si>
  <si>
    <t>Add net income and subtract dividends and share repurchases; see forecast box below.</t>
  </si>
  <si>
    <t>SHAREHOLDERS' EQUITY</t>
  </si>
  <si>
    <t xml:space="preserve">See long-term debt note. </t>
  </si>
  <si>
    <t>Current maturities of long-term debt per long-term debt note.</t>
  </si>
  <si>
    <t>LIABILITIES:</t>
  </si>
  <si>
    <t>See depreciation schedule in forecast development worksheet.</t>
  </si>
  <si>
    <t>PP&amp;E assumptions - see schedule in forecast development</t>
  </si>
  <si>
    <t>ASSETS:</t>
  </si>
  <si>
    <t>BALANCE SHEET</t>
  </si>
  <si>
    <t>Long-Run Growth Factor:</t>
  </si>
  <si>
    <t>Forecast assumption explanation</t>
  </si>
  <si>
    <t>Rate of Change Percent</t>
  </si>
  <si>
    <t>Long-Run Growth Rate:</t>
  </si>
  <si>
    <t>Forecast assumption</t>
  </si>
  <si>
    <t>Common Size Percent</t>
  </si>
  <si>
    <t>Year +6 and beyond:</t>
  </si>
  <si>
    <t>Forecast Amounts</t>
  </si>
  <si>
    <t>Actual Amounts</t>
  </si>
  <si>
    <t>Row Format:</t>
  </si>
  <si>
    <t>Assume random walk, mean zero.</t>
  </si>
  <si>
    <t>Effective income tax rate assumptions.</t>
  </si>
  <si>
    <t>Explain assumptions.</t>
  </si>
  <si>
    <t>Weighted average interest rate on average balance in financial liabilities. See Forecast Development.</t>
  </si>
  <si>
    <t>Interest rate earned on average balance in cash and investment securities.</t>
  </si>
  <si>
    <t>Amounts from depreciation schedule, Forecast Development worksheet.</t>
  </si>
  <si>
    <t>See Forecast Development worksheet.</t>
  </si>
  <si>
    <t>See Forecast Development worksheet for details of revenues forecasts.</t>
  </si>
  <si>
    <t>INCOME STATEMENT</t>
  </si>
  <si>
    <t>Year +6</t>
  </si>
  <si>
    <t>Year +5</t>
  </si>
  <si>
    <t>Year +4</t>
  </si>
  <si>
    <t>Year +3</t>
  </si>
  <si>
    <t>Year +2</t>
  </si>
  <si>
    <t>Year +1</t>
  </si>
  <si>
    <t>Rate of Change Percentage</t>
  </si>
  <si>
    <t>Common Size Percentage</t>
  </si>
  <si>
    <t xml:space="preserve">Percent difference </t>
  </si>
  <si>
    <t>Current share price</t>
  </si>
  <si>
    <t>Estimated Value per Share</t>
  </si>
  <si>
    <t>Shares Outstanding</t>
  </si>
  <si>
    <t>Total Present Value of Equity</t>
  </si>
  <si>
    <t>Adjust to midyear discounting</t>
  </si>
  <si>
    <t>Present Value of Equity</t>
  </si>
  <si>
    <t>Plus: Value of Financial Assets</t>
  </si>
  <si>
    <t>Less: Value of Preferred Stock</t>
  </si>
  <si>
    <t>Less: Value of Outstanding Debt</t>
  </si>
  <si>
    <t>Total Present Value Free Cash Flows to Equity and Debt</t>
  </si>
  <si>
    <t>Present Value of Continuing Value</t>
  </si>
  <si>
    <t>Sum of Present Value Free Cash Flows</t>
  </si>
  <si>
    <t>Present Value Free Cash Flows</t>
  </si>
  <si>
    <t>Present Value Factors</t>
  </si>
  <si>
    <t>Free Cash Flows - All Debt and Equity</t>
  </si>
  <si>
    <t>Add back: Net CFs into Financial Assets</t>
  </si>
  <si>
    <t>Net Cash Flow from Investing</t>
  </si>
  <si>
    <t>Free Cash Flow from Operations</t>
  </si>
  <si>
    <t>Decrease (Increase) in Cash Required for Operations</t>
  </si>
  <si>
    <t>Subtract: Interest Income after tax</t>
  </si>
  <si>
    <t>Add back: Interest Expense after tax</t>
  </si>
  <si>
    <t>Net Cash Flow from Operations</t>
  </si>
  <si>
    <t>Free Cash Flows for All Debt and Equity</t>
  </si>
  <si>
    <t>Value</t>
  </si>
  <si>
    <t>Continuing</t>
  </si>
  <si>
    <t>Sensitivity analysis for the market-to-book approach should be identical to that of the residual income approach.</t>
  </si>
  <si>
    <t>Times Beginning Book Value of Equity</t>
  </si>
  <si>
    <t>Implied Market-to-Book Ratio</t>
  </si>
  <si>
    <t>Adjust to mid-year discounting</t>
  </si>
  <si>
    <t>Sum</t>
  </si>
  <si>
    <t>Add one for book value of equity at t-1</t>
  </si>
  <si>
    <t>Total Present Value Residual ROCE</t>
  </si>
  <si>
    <t>Sum of Present Value Residual ROCE times growth</t>
  </si>
  <si>
    <t>Present Value Residual ROCE times growth</t>
  </si>
  <si>
    <t>Residual ROCE times cumulative growth</t>
  </si>
  <si>
    <t>Cumulative growth factor in common equity as of t-1</t>
  </si>
  <si>
    <t xml:space="preserve">Residual ROCE </t>
  </si>
  <si>
    <t xml:space="preserve">Implied ROCE </t>
  </si>
  <si>
    <t xml:space="preserve">    Shareholders' Equity (at t-1)</t>
  </si>
  <si>
    <t>Book Value of Common</t>
  </si>
  <si>
    <t xml:space="preserve">    for Common Shareholders</t>
  </si>
  <si>
    <t xml:space="preserve">Comprehensive Income Available </t>
  </si>
  <si>
    <t>Market-to-Book Approach</t>
  </si>
  <si>
    <t>RESIDUAL INCOME  VALUATION</t>
  </si>
  <si>
    <t>Rates:</t>
  </si>
  <si>
    <t>Discount</t>
  </si>
  <si>
    <t>Long-Run Growth Assumptions</t>
  </si>
  <si>
    <t>RESIDUAL INCOME VALUATION SENSITIVITY ANALYSIS:</t>
  </si>
  <si>
    <t>Add: Beginning Book Value of Equity</t>
  </si>
  <si>
    <t>Total</t>
  </si>
  <si>
    <t>Sum of Present Value Residual Income</t>
  </si>
  <si>
    <t>Present Value Residual Income</t>
  </si>
  <si>
    <t>Residual Income</t>
  </si>
  <si>
    <t>Required Earnings</t>
  </si>
  <si>
    <t>Lagged Book Value of Common</t>
  </si>
  <si>
    <t>Dividends Valuation Sensitivity Analysis:</t>
  </si>
  <si>
    <t>Total Present Value Free Cash Flows to Equity</t>
  </si>
  <si>
    <t>Free Cash Flow for Common Equity</t>
  </si>
  <si>
    <t>Net CFs - Pref. Stock and Noncontrolling Interests</t>
  </si>
  <si>
    <t>Net CFs into Financial Assets</t>
  </si>
  <si>
    <t>Net CFs from Debt Financing</t>
  </si>
  <si>
    <t>Free Cash Flows for Common Equity</t>
  </si>
  <si>
    <t>Total Present Value Dividends</t>
  </si>
  <si>
    <t>Sum of Present Value Net Dividends</t>
  </si>
  <si>
    <t>Present Value Net Dividends</t>
  </si>
  <si>
    <t>Dividends to Common Equity</t>
  </si>
  <si>
    <t>Plus: Common Stock Repurchases</t>
  </si>
  <si>
    <t>Less: Common Stock Issues</t>
  </si>
  <si>
    <t>Dividends Paid to Common Shareholders</t>
  </si>
  <si>
    <t>Dividends-Based Valuation</t>
  </si>
  <si>
    <t>Weighted average cost of capital</t>
  </si>
  <si>
    <t>Weight of noncontrolling interests in capital structure</t>
  </si>
  <si>
    <t>Weight of preferred in capital structure</t>
  </si>
  <si>
    <t>Weight of debt in capital structure</t>
  </si>
  <si>
    <t>Weight of equity in capital structure</t>
  </si>
  <si>
    <t>WEIGHTED AVERAGE COST OF CAPITAL</t>
  </si>
  <si>
    <t>Implied yield</t>
  </si>
  <si>
    <t>Earnings attributable to noncontrolling interests</t>
  </si>
  <si>
    <t>Noncontrolling interests capital</t>
  </si>
  <si>
    <t>COST OF NONCONTROLLING INTERESTS' CAPITAL</t>
  </si>
  <si>
    <t>Preferred dividends</t>
  </si>
  <si>
    <t>Preferred stock capital</t>
  </si>
  <si>
    <t>COST OF PREFERRED STOCK</t>
  </si>
  <si>
    <t>After-tax cost of debt capital</t>
  </si>
  <si>
    <t>Effective tax rate</t>
  </si>
  <si>
    <t>Cost of debt capital, before tax</t>
  </si>
  <si>
    <t>Debt capital</t>
  </si>
  <si>
    <t>COST OF DEBT CAPITAL</t>
  </si>
  <si>
    <t>Required rate of return on common equity:</t>
  </si>
  <si>
    <t>Market risk premium</t>
  </si>
  <si>
    <t>Risk free rate</t>
  </si>
  <si>
    <t>Equity risk factor (market beta)</t>
  </si>
  <si>
    <t>COST OF EQUITY CAPITAL:</t>
  </si>
  <si>
    <t xml:space="preserve">  (Both long-run growth assumptions should be the same.)</t>
  </si>
  <si>
    <t>Long-run growth assumption used in valuation.</t>
  </si>
  <si>
    <t>Long-run growth assumption used in forecasts</t>
  </si>
  <si>
    <t>Current market value</t>
  </si>
  <si>
    <t>Number of shares outstanding</t>
  </si>
  <si>
    <t>VALUATION PARAMETER ASSUMPTIONS</t>
  </si>
  <si>
    <t xml:space="preserve"> </t>
  </si>
  <si>
    <t>VALUATION MODELS</t>
  </si>
  <si>
    <t>Free Cash Flow for All Debt and Equity Valuation</t>
  </si>
  <si>
    <t>Residual Income Market-to-Book Valuation</t>
  </si>
  <si>
    <t>Residual Income Valuation</t>
  </si>
  <si>
    <t>Free Cash Flow Valuation</t>
  </si>
  <si>
    <t>Dividend Based Valuation</t>
  </si>
  <si>
    <t>DATA CHECKS - Estimated Value per Share</t>
  </si>
  <si>
    <t>Row Name in your Excel</t>
  </si>
  <si>
    <t>Equity and cost investments</t>
  </si>
  <si>
    <t>Direct from report</t>
  </si>
  <si>
    <t>2023 Input (in thousands)</t>
  </si>
  <si>
    <t>2024 Input (in thousands)</t>
  </si>
  <si>
    <t>Long-term debt</t>
  </si>
  <si>
    <t>Total Liabilities</t>
  </si>
  <si>
    <t>Logic/Mapping for Final Fit</t>
  </si>
  <si>
    <t>Other non-current liabilities (Note 25)</t>
  </si>
  <si>
    <t>Assumed to be zero based on template pattern (DTL is in the lower block).</t>
  </si>
  <si>
    <t>Current lease liabilities</t>
  </si>
  <si>
    <t>Other current liabilities (Note 30)</t>
  </si>
  <si>
    <t>Combined: Trade Payables (1,73,323 / 1,64,446) + Combined Current Liabilities (1,23,661 / 1,46,872)</t>
  </si>
  <si>
    <t>Current Liabilities</t>
  </si>
  <si>
    <t>Assumed to be zero (calculated total).</t>
  </si>
  <si>
    <t>Assumed Zero.</t>
  </si>
  <si>
    <t>Employee benefit liabilities (Long-term portion moved from row 2 based on template pattern)</t>
  </si>
  <si>
    <t>Deferred tax liabilities (Note 39)</t>
  </si>
  <si>
    <t>Other non-current liabilities (Duplicate placement of row 3).</t>
  </si>
  <si>
    <t>Provisions for risks and charges (Duplicate placement of row 1).</t>
  </si>
  <si>
    <t>Matches Consolidated Report Total.</t>
  </si>
  <si>
    <t>Source/Logic from Consolidated Report</t>
  </si>
  <si>
    <t>Not reported.</t>
  </si>
  <si>
    <t>Share capital + Reserves (Group)</t>
  </si>
  <si>
    <t>Net profit/(loss) – Group</t>
  </si>
  <si>
    <t>Plug figure (based on template pattern) to help balance total equity.</t>
  </si>
  <si>
    <t>Total Minority Interests</t>
  </si>
  <si>
    <t>Total Equity</t>
  </si>
  <si>
    <t>TOTAL SHAREHOLDERS’ EQUITY</t>
  </si>
  <si>
    <t>Total Liabilities and Equities</t>
  </si>
  <si>
    <t>Must match TOTAL ASSETS</t>
  </si>
  <si>
    <t>Trade receivables</t>
  </si>
  <si>
    <t>Other current assets</t>
  </si>
  <si>
    <t>Other current financial assets</t>
  </si>
  <si>
    <t>Other non-current financial assets</t>
  </si>
  <si>
    <t>Est. Gross PPE (Plug)</t>
  </si>
  <si>
    <t>Est. Depreciation (Plug)</t>
  </si>
  <si>
    <t>Deferred tax assets</t>
  </si>
  <si>
    <t>Intangible assets with a finite useful life</t>
  </si>
  <si>
    <t>Goodwill</t>
  </si>
  <si>
    <t>Logic/Mapping from Consolidated Report</t>
  </si>
  <si>
    <t>Not reported as distinct item.</t>
  </si>
  <si>
    <t>Tax receivables</t>
  </si>
  <si>
    <t>Sum of: Right of return assets (6,044/5,911) + Assets held for sale (63/67)</t>
  </si>
  <si>
    <t>TOTAL CURRENT ASSETS</t>
  </si>
  <si>
    <t>Calculated total (Close to 788,747 / 759,141)</t>
  </si>
  <si>
    <t>Other non-current assets (Financial)</t>
  </si>
  <si>
    <t>SUM of: Investment property (22,666 / 6,463) + Right-of-Use Assets (6,16,612 / 5,28,627)</t>
  </si>
  <si>
    <t>IS Line</t>
  </si>
  <si>
    <t>2024 Report</t>
  </si>
  <si>
    <t>2024 Template</t>
  </si>
  <si>
    <t>2023 Report</t>
  </si>
  <si>
    <t>2023 Template</t>
  </si>
  <si>
    <t>2022 Report</t>
  </si>
  <si>
    <t>2022 Template</t>
  </si>
  <si>
    <t>Style, product development... ($\text{S,G\&amp;A}$)</t>
  </si>
  <si>
    <t>Sales &amp; distribution costs ($\text{Op Ex (1)}$)</t>
  </si>
  <si>
    <t>General &amp; admin costs ($\text{Op Ex (2)}$)</t>
  </si>
  <si>
    <t>Marketing &amp; communication ($\text{Other Op Ex (1)}$)</t>
  </si>
  <si>
    <t>Template Row Name</t>
  </si>
  <si>
    <t>2022 Report Line</t>
  </si>
  <si>
    <t>Current 2022 Value (Template)</t>
  </si>
  <si>
    <t>CORRECT 2022 VALUE</t>
  </si>
  <si>
    <t>2023 Report Line</t>
  </si>
  <si>
    <t>CORRECT 2023 VALUE</t>
  </si>
  <si>
    <t>Sales &amp; distribution costs</t>
  </si>
  <si>
    <t>General and administrative costs</t>
  </si>
  <si>
    <t>Style, product development and logistics costs</t>
  </si>
  <si>
    <t>Marketing &amp; communication costs</t>
  </si>
  <si>
    <t>Communication and marketing costs</t>
  </si>
  <si>
    <t>Other operating costs</t>
  </si>
  <si>
    <t>Current 2022 Value</t>
  </si>
  <si>
    <t>Current 2023 Value</t>
  </si>
  <si>
    <t>$\text{-1,27,837}$</t>
  </si>
  <si>
    <t>$\text{-1,37,142}$</t>
  </si>
  <si>
    <t>$\text{-50,292}$</t>
  </si>
  <si>
    <t>$\text{-53,086}$</t>
  </si>
  <si>
    <t>$\text{Other operating expenses (1)}$</t>
  </si>
  <si>
    <t>$\text{-79,676}$</t>
  </si>
  <si>
    <t>$\text{-1,13,695}$</t>
  </si>
  <si>
    <t>$\text{Other operating expenses (2)}$</t>
  </si>
  <si>
    <t>$\text{-24,467}$</t>
  </si>
  <si>
    <t>$\text{-29,721}$</t>
  </si>
  <si>
    <t>Rationale (Official Annual Report Line)</t>
  </si>
  <si>
    <t>Average tax rate implied from IS data</t>
  </si>
  <si>
    <t>Revenue Forecasts by Segment and Type</t>
  </si>
  <si>
    <t>Net Profit</t>
  </si>
  <si>
    <t xml:space="preserve">Revenues </t>
  </si>
  <si>
    <t>5Y</t>
  </si>
  <si>
    <t>10Y</t>
  </si>
  <si>
    <t>15Y</t>
  </si>
  <si>
    <t>CAGR</t>
  </si>
  <si>
    <t>OCF to Current Liability</t>
  </si>
  <si>
    <t>Liquidity Ratio</t>
  </si>
  <si>
    <t>DOS Held in Cash</t>
  </si>
  <si>
    <t>Cash turnover</t>
  </si>
  <si>
    <t>Networking Capital Days</t>
  </si>
  <si>
    <t>Days Payable Held</t>
  </si>
  <si>
    <t>Acc. Payable Turnover</t>
  </si>
  <si>
    <t>Days Inventory held</t>
  </si>
  <si>
    <t>Days Receivable Held</t>
  </si>
  <si>
    <t>Acc Receivable turnover</t>
  </si>
  <si>
    <t>Asset Turnover</t>
  </si>
  <si>
    <t>FCF/Total Liabilities</t>
  </si>
  <si>
    <t>OCF/Total Liabilities</t>
  </si>
  <si>
    <t>TIE (interest cover ratio)</t>
  </si>
  <si>
    <t>NET DEBT/Total Equity</t>
  </si>
  <si>
    <t>Total Debt/Total Assets</t>
  </si>
  <si>
    <t>Solvency or Risk Factors</t>
  </si>
  <si>
    <t>FCF YIELD (FCF/EV)</t>
  </si>
  <si>
    <t xml:space="preserve">Operating Margin </t>
  </si>
  <si>
    <t xml:space="preserve"> ROIC exceed WACC by</t>
  </si>
  <si>
    <t>ROIC</t>
  </si>
  <si>
    <t xml:space="preserve">ROE </t>
  </si>
  <si>
    <t xml:space="preserve">ROA </t>
  </si>
  <si>
    <t>Profitability factors %</t>
  </si>
  <si>
    <t>Dividend Yield</t>
  </si>
  <si>
    <t>EV/EBITDA</t>
  </si>
  <si>
    <t>eps</t>
  </si>
  <si>
    <t>P/E</t>
  </si>
  <si>
    <t>2026E</t>
  </si>
  <si>
    <t>2025E</t>
  </si>
  <si>
    <t>2024A</t>
  </si>
  <si>
    <t>Stock Market Ratios</t>
  </si>
  <si>
    <t>Optimal Capital Rating</t>
  </si>
  <si>
    <t>Beta (2Y Weekly):</t>
  </si>
  <si>
    <t>Free Float (%)</t>
  </si>
  <si>
    <t xml:space="preserve">Avg. 3mth traded shares </t>
  </si>
  <si>
    <t>EV (bn€/$):</t>
  </si>
  <si>
    <t>Market Cap (M $):</t>
  </si>
  <si>
    <t>52 week High &amp; Low</t>
  </si>
  <si>
    <t>Stock Price</t>
  </si>
  <si>
    <t>Interest Cover Ratio</t>
  </si>
  <si>
    <t>EV</t>
  </si>
  <si>
    <t>Price/Cash Flow</t>
  </si>
  <si>
    <t>Price/Book</t>
  </si>
  <si>
    <t xml:space="preserve">DIV YIELD </t>
  </si>
  <si>
    <t>FCF YIELD</t>
  </si>
  <si>
    <t>RELATIVE VALUATION</t>
  </si>
  <si>
    <t>A</t>
  </si>
  <si>
    <t>Bargaining Power of Suppliers</t>
  </si>
  <si>
    <t>Bargaining Power of Buyers</t>
  </si>
  <si>
    <t>INDUSTRY PROFITABILITY</t>
  </si>
  <si>
    <t>Threat of Substitute Products</t>
  </si>
  <si>
    <t>Threat of New Entrants</t>
  </si>
  <si>
    <t>Rivalry among existing firms</t>
  </si>
  <si>
    <t>Weighted average cost of capital (WACC)</t>
  </si>
  <si>
    <t>Required rate of return on common equity: (CAPM)</t>
  </si>
  <si>
    <t>Equity Risk Premium</t>
  </si>
  <si>
    <t>Equity risk factor (company beta)</t>
  </si>
  <si>
    <t>Capital Structure</t>
  </si>
  <si>
    <t>beta</t>
  </si>
  <si>
    <t>co-variance</t>
  </si>
  <si>
    <t>variance</t>
  </si>
  <si>
    <t>count</t>
  </si>
  <si>
    <t>Product of the deviation of average return</t>
  </si>
  <si>
    <t>Date</t>
  </si>
  <si>
    <t>TOTAL</t>
  </si>
  <si>
    <t>Description</t>
  </si>
  <si>
    <t>Amount</t>
  </si>
  <si>
    <t>Name</t>
  </si>
  <si>
    <t>Logo</t>
  </si>
  <si>
    <t>A-1</t>
  </si>
  <si>
    <t>Factor</t>
  </si>
  <si>
    <t>2024 (Actuals)</t>
  </si>
  <si>
    <t>2025E (Year +1)</t>
  </si>
  <si>
    <t>2026E (Year +2)</t>
  </si>
  <si>
    <t>Interpretation</t>
  </si>
  <si>
    <t>Increasing leverage as the proportion of assets financed by debt rises sharply in the forecast.</t>
  </si>
  <si>
    <t>Very high and rapidly increasing reliance on debt relative to equity, indicating a highly leveraged structure.</t>
  </si>
  <si>
    <t>TIE (Interest Coverage Ratio)</t>
  </si>
  <si>
    <t>Negative coverage in 2024, meaning operating profit wasn't enough to cover interest expense. Improvement is forecasted, but remains low.</t>
  </si>
  <si>
    <t>The ability to cover total liabilities with operating cash flow is moderate and improving, offering some resilience.</t>
  </si>
  <si>
    <t>The ability to cover total liabilities with free cash flow is moderate and improving.</t>
  </si>
  <si>
    <t>Price/REVENUES</t>
  </si>
  <si>
    <t>RATIOS</t>
  </si>
  <si>
    <t>EPS NEXT Quarter CONSENSUS</t>
  </si>
  <si>
    <t>EPS  beat or miss? Last quarter 3Q25</t>
  </si>
  <si>
    <t>Revenue CAGR 2020-2024</t>
  </si>
  <si>
    <t xml:space="preserve">CAGR AND EPS </t>
  </si>
  <si>
    <t>GEARING(NET DEBT/EQUITY) %</t>
  </si>
  <si>
    <t>RISK FACTORS</t>
  </si>
  <si>
    <t>P/E 2026</t>
  </si>
  <si>
    <t>P/E 2025</t>
  </si>
  <si>
    <t>TRY TO USE 2025 OR IF NOT 2024</t>
  </si>
  <si>
    <t>Market Cap</t>
  </si>
  <si>
    <t>USE YAHOO FINANCE TO DEFINE YOUR KEY COMPETITORS</t>
  </si>
  <si>
    <t>Average</t>
  </si>
  <si>
    <t>Brunello Cucinelli</t>
  </si>
  <si>
    <t>Kering</t>
  </si>
  <si>
    <t>Prada S.p.A.</t>
  </si>
  <si>
    <t>Moncler S.p.A.</t>
  </si>
  <si>
    <t>Ermenegildo Zegna</t>
  </si>
  <si>
    <t>17.6x</t>
  </si>
  <si>
    <t>10.0x</t>
  </si>
  <si>
    <t>18.2x</t>
  </si>
  <si>
    <t>17.2x</t>
  </si>
  <si>
    <t>18.6x</t>
  </si>
  <si>
    <t>16.3x</t>
  </si>
  <si>
    <t>20.9x</t>
  </si>
  <si>
    <t>26.2x</t>
  </si>
  <si>
    <t>27.7x</t>
  </si>
  <si>
    <t>20.9x (Proxy)</t>
  </si>
  <si>
    <t>26.2x (Proxy)</t>
  </si>
  <si>
    <t>0.9%</t>
  </si>
  <si>
    <t>42.1x (Highest)</t>
  </si>
  <si>
    <t>2.0% (Lowest)</t>
  </si>
  <si>
    <t>200.9% (Highest)</t>
  </si>
  <si>
    <t>24.0x (Highest)</t>
  </si>
  <si>
    <t>13.1x</t>
  </si>
  <si>
    <t>6.2x</t>
  </si>
  <si>
    <t>4.8x</t>
  </si>
  <si>
    <t>3.1x</t>
  </si>
  <si>
    <t>10.2x</t>
  </si>
  <si>
    <t>15.3B</t>
  </si>
  <si>
    <t>13.3B</t>
  </si>
  <si>
    <t>6.0B</t>
  </si>
  <si>
    <t>2.0B</t>
  </si>
  <si>
    <t>34.2B</t>
  </si>
  <si>
    <t>14.2B</t>
  </si>
  <si>
    <t>13.8B</t>
  </si>
  <si>
    <t>7.0B</t>
  </si>
  <si>
    <t>2.2B</t>
  </si>
  <si>
    <t>35.4B</t>
  </si>
  <si>
    <t>14.7B</t>
  </si>
  <si>
    <t xml:space="preserve">BEAT </t>
  </si>
  <si>
    <t>ALIGNED</t>
  </si>
  <si>
    <t>MISS</t>
  </si>
  <si>
    <t>4.5x</t>
  </si>
  <si>
    <t>12.3x (Highest)</t>
  </si>
  <si>
    <t>2.2x (Lowest)</t>
  </si>
  <si>
    <t>2.5x</t>
  </si>
  <si>
    <t>4.9x</t>
  </si>
  <si>
    <t>24.4x</t>
  </si>
  <si>
    <t>25.6x</t>
  </si>
  <si>
    <t>69.3x (Highest)</t>
  </si>
  <si>
    <t>38.6x</t>
  </si>
  <si>
    <t>54.1x</t>
  </si>
  <si>
    <t>42.4x</t>
  </si>
  <si>
    <t>4.9x (Highest)</t>
  </si>
  <si>
    <t>2.3x</t>
  </si>
  <si>
    <t>2.6x</t>
  </si>
  <si>
    <t>2.3x (Lowest)</t>
  </si>
  <si>
    <t>3.3x</t>
  </si>
  <si>
    <t>16.6x (Proxy)</t>
  </si>
  <si>
    <t>32.5x (Proxy)</t>
  </si>
  <si>
    <t>-1.40% (Neg.)</t>
  </si>
  <si>
    <t>Intensity: High due to competition from global powerhouses like LVMH, Kering, Prada, and Hermès.
Ferragamo's Specifics: Ferragamo is smaller and must compete fiercely with rivals that have greater marketing spend and retail footprint (e.g., Gucci, Louis Vuitton). The rivalry is based on differentiation (style, quality, craftsmanship, heritage), not price, which protects margins overall.</t>
  </si>
  <si>
    <t>Barrier: The extreme difficulty in replicating Ferragamo's 90+ years of heritage and "Made in Italy" craftsmanship is the ultimate barrier.
Impact: New fashion brands can emerge, but achieving the global scale, brand equity, and direct-to-consumer network of an established luxury house is prohibitively expensive and time-consuming.</t>
  </si>
  <si>
    <t>Substitutes: Premium fast-fashion or mass-market high-quality goods (e.g., high-end sneakers, premium leather brands).
Impact: These cannot replace the emotional connection, status, and investment value tied to a luxury brand like Ferragamo. Customers are purchasing identity and exclusivity, which have no true substitute.</t>
  </si>
  <si>
    <t>Price Elasticity: Luxury consumers are largely price-inelastic. They buy based on desirability and brand status.
Ferragamo's Specifics: Ferragamo's customers value their classic, elegant style and impeccable quality, which reduces their willingness to switch brands simply for a lower price.</t>
  </si>
  <si>
    <t>Leverage: Suppliers, particularly in specialized Italian leather and shoe production, may have some unique skills.
Mitigation: Ferragamo, like its peers, maintains strong control over its supply chain, often through long-term partnerships or vertical integration, to guarantee the quality and exclusivity of its "Made in Italy" materials and production methods.</t>
  </si>
  <si>
    <t>LOW</t>
  </si>
  <si>
    <t>MODERATE to HIGH</t>
  </si>
  <si>
    <t>LOW to MODERATE</t>
  </si>
  <si>
    <t>% CHANGE OF ferragammo</t>
  </si>
  <si>
    <t>% CHANGE OF FTSE MIB Index</t>
  </si>
  <si>
    <t>deviation from average ferragammo return</t>
  </si>
  <si>
    <t>deviation from average FTSE MIB Index return</t>
  </si>
  <si>
    <t>yahoo finance as of 28th nov 2025</t>
  </si>
  <si>
    <t>Nov 28, 2025</t>
  </si>
  <si>
    <t>Nov 27, 2025</t>
  </si>
  <si>
    <t>Nov 26, 2025</t>
  </si>
  <si>
    <t>Nov 25, 2025</t>
  </si>
  <si>
    <t>Nov 24, 2025</t>
  </si>
  <si>
    <t>Nov 21, 2025</t>
  </si>
  <si>
    <t>Nov 20, 2025</t>
  </si>
  <si>
    <t>Nov 19, 2025</t>
  </si>
  <si>
    <t>Nov 18, 2025</t>
  </si>
  <si>
    <t>Nov 17, 2025</t>
  </si>
  <si>
    <t>Nov 14, 2025</t>
  </si>
  <si>
    <t>Nov 13, 2025</t>
  </si>
  <si>
    <t>Nov 12, 2025</t>
  </si>
  <si>
    <t>Nov 11, 2025</t>
  </si>
  <si>
    <t>Nov 10, 2025</t>
  </si>
  <si>
    <t>Nov 07, 2025</t>
  </si>
  <si>
    <t>Nov 06, 2025</t>
  </si>
  <si>
    <t>Nov 05, 2025</t>
  </si>
  <si>
    <t>Nov 04, 2025</t>
  </si>
  <si>
    <t>Nov 03, 2025</t>
  </si>
  <si>
    <t>Oct 31, 2025</t>
  </si>
  <si>
    <t>Oct 30, 2025</t>
  </si>
  <si>
    <t>Oct 29, 2025</t>
  </si>
  <si>
    <t>Oct 28, 2025</t>
  </si>
  <si>
    <t>Oct 27, 2025</t>
  </si>
  <si>
    <t>Oct 24, 2025</t>
  </si>
  <si>
    <t>Oct 23, 2025</t>
  </si>
  <si>
    <t>Oct 22, 2025</t>
  </si>
  <si>
    <t>Oct 21, 2025</t>
  </si>
  <si>
    <t>Oct 20, 2025</t>
  </si>
  <si>
    <t>Oct 17, 2025</t>
  </si>
  <si>
    <t>Oct 16, 2025</t>
  </si>
  <si>
    <t>Oct 15, 2025</t>
  </si>
  <si>
    <t>Oct 14, 2025</t>
  </si>
  <si>
    <t>Oct 13, 2025</t>
  </si>
  <si>
    <t>Oct 10, 2025</t>
  </si>
  <si>
    <t>Oct 09, 2025</t>
  </si>
  <si>
    <t>Oct 08, 2025</t>
  </si>
  <si>
    <t>Oct 07, 2025</t>
  </si>
  <si>
    <t>Oct 06, 2025</t>
  </si>
  <si>
    <t>Oct 03, 2025</t>
  </si>
  <si>
    <t>Oct 02, 2025</t>
  </si>
  <si>
    <t>Oct 01, 2025</t>
  </si>
  <si>
    <t>Sep 30, 2025</t>
  </si>
  <si>
    <t>Sep 29, 2025</t>
  </si>
  <si>
    <t>Sep 26, 2025</t>
  </si>
  <si>
    <t>Sep 25, 2025</t>
  </si>
  <si>
    <t>Sep 24, 2025</t>
  </si>
  <si>
    <t>Sep 23, 2025</t>
  </si>
  <si>
    <t>Sep 22, 2025</t>
  </si>
  <si>
    <t>Sep 19, 2025</t>
  </si>
  <si>
    <t>Sep 18, 2025</t>
  </si>
  <si>
    <t>Sep 17, 2025</t>
  </si>
  <si>
    <t>Sep 16, 2025</t>
  </si>
  <si>
    <t>Sep 15, 2025</t>
  </si>
  <si>
    <t>Sep 12, 2025</t>
  </si>
  <si>
    <t>Sep 11, 2025</t>
  </si>
  <si>
    <t>Sep 10, 2025</t>
  </si>
  <si>
    <t>Sep 09, 2025</t>
  </si>
  <si>
    <t>Sep 08, 2025</t>
  </si>
  <si>
    <t>Sep 05, 2025</t>
  </si>
  <si>
    <t>Sep 04, 2025</t>
  </si>
  <si>
    <t>Sep 03, 2025</t>
  </si>
  <si>
    <t>Sep 02, 2025</t>
  </si>
  <si>
    <t>Sep 01, 2025</t>
  </si>
  <si>
    <t>Aug 29, 2025</t>
  </si>
  <si>
    <t>Aug 28, 2025</t>
  </si>
  <si>
    <t>Aug 27, 2025</t>
  </si>
  <si>
    <t>Aug 26, 2025</t>
  </si>
  <si>
    <t>Aug 25, 2025</t>
  </si>
  <si>
    <t>Aug 22, 2025</t>
  </si>
  <si>
    <t>Aug 21, 2025</t>
  </si>
  <si>
    <t>Aug 20, 2025</t>
  </si>
  <si>
    <t>Aug 19, 2025</t>
  </si>
  <si>
    <t>Aug 18, 2025</t>
  </si>
  <si>
    <t>Aug 14, 2025</t>
  </si>
  <si>
    <t>Aug 13, 2025</t>
  </si>
  <si>
    <t>Aug 12, 2025</t>
  </si>
  <si>
    <t>Aug 11, 2025</t>
  </si>
  <si>
    <t>Aug 08, 2025</t>
  </si>
  <si>
    <t>Aug 07, 2025</t>
  </si>
  <si>
    <t>Aug 06, 2025</t>
  </si>
  <si>
    <t>Aug 05, 2025</t>
  </si>
  <si>
    <t>Aug 04, 2025</t>
  </si>
  <si>
    <t>Aug 01, 2025</t>
  </si>
  <si>
    <t>Jul 31, 2025</t>
  </si>
  <si>
    <t>Jul 30, 2025</t>
  </si>
  <si>
    <t>Jul 29, 2025</t>
  </si>
  <si>
    <t>Jul 28, 2025</t>
  </si>
  <si>
    <t>Jul 25, 2025</t>
  </si>
  <si>
    <t>Jul 24, 2025</t>
  </si>
  <si>
    <t>Jul 23, 2025</t>
  </si>
  <si>
    <t>Jul 22, 2025</t>
  </si>
  <si>
    <t>Jul 21, 2025</t>
  </si>
  <si>
    <t>Jul 18, 2025</t>
  </si>
  <si>
    <t>Jul 17, 2025</t>
  </si>
  <si>
    <t>Jul 16, 2025</t>
  </si>
  <si>
    <t>Jul 15, 2025</t>
  </si>
  <si>
    <t>Jul 14, 2025</t>
  </si>
  <si>
    <t>Jul 11, 2025</t>
  </si>
  <si>
    <t>Jul 10, 2025</t>
  </si>
  <si>
    <t>Jul 09, 2025</t>
  </si>
  <si>
    <t>Jul 08, 2025</t>
  </si>
  <si>
    <t>Jul 07, 2025</t>
  </si>
  <si>
    <t>Jul 04, 2025</t>
  </si>
  <si>
    <t>Jul 03, 2025</t>
  </si>
  <si>
    <t>Jul 02, 2025</t>
  </si>
  <si>
    <t>Jul 01, 2025</t>
  </si>
  <si>
    <t>Jun 30, 2025</t>
  </si>
  <si>
    <t>Jun 27, 2025</t>
  </si>
  <si>
    <t>Jun 26, 2025</t>
  </si>
  <si>
    <t>Jun 25, 2025</t>
  </si>
  <si>
    <t>Jun 24, 2025</t>
  </si>
  <si>
    <t>Jun 23, 2025</t>
  </si>
  <si>
    <t>Jun 20, 2025</t>
  </si>
  <si>
    <t>Jun 19, 2025</t>
  </si>
  <si>
    <t>Jun 18, 2025</t>
  </si>
  <si>
    <t>Jun 17, 2025</t>
  </si>
  <si>
    <t>Jun 16, 2025</t>
  </si>
  <si>
    <t>Jun 13, 2025</t>
  </si>
  <si>
    <t>Jun 12, 2025</t>
  </si>
  <si>
    <t>Jun 11, 2025</t>
  </si>
  <si>
    <t>Jun 10, 2025</t>
  </si>
  <si>
    <t>Jun 09, 2025</t>
  </si>
  <si>
    <t>Jun 06, 2025</t>
  </si>
  <si>
    <t>Jun 05, 2025</t>
  </si>
  <si>
    <t>Jun 04, 2025</t>
  </si>
  <si>
    <t>Jun 03, 2025</t>
  </si>
  <si>
    <t>Jun 02, 2025</t>
  </si>
  <si>
    <t>May 30, 2025</t>
  </si>
  <si>
    <t>May 29, 2025</t>
  </si>
  <si>
    <t>May 28, 2025</t>
  </si>
  <si>
    <t>May 27, 2025</t>
  </si>
  <si>
    <t>May 26, 2025</t>
  </si>
  <si>
    <t>May 23, 2025</t>
  </si>
  <si>
    <t>May 22, 2025</t>
  </si>
  <si>
    <t>May 21, 2025</t>
  </si>
  <si>
    <t>May 20, 2025</t>
  </si>
  <si>
    <t>May 19, 2025</t>
  </si>
  <si>
    <t>May 16, 2025</t>
  </si>
  <si>
    <t>May 15, 2025</t>
  </si>
  <si>
    <t>May 14, 2025</t>
  </si>
  <si>
    <t>May 13, 2025</t>
  </si>
  <si>
    <t>May 12, 2025</t>
  </si>
  <si>
    <t>May 09, 2025</t>
  </si>
  <si>
    <t>May 08, 2025</t>
  </si>
  <si>
    <t>May 07, 2025</t>
  </si>
  <si>
    <t>May 06, 2025</t>
  </si>
  <si>
    <t>May 05, 2025</t>
  </si>
  <si>
    <t>May 02, 2025</t>
  </si>
  <si>
    <t>Apr 30, 2025</t>
  </si>
  <si>
    <t>Apr 29, 2025</t>
  </si>
  <si>
    <t>Apr 28, 2025</t>
  </si>
  <si>
    <t>Apr 25, 2025</t>
  </si>
  <si>
    <t>Apr 24, 2025</t>
  </si>
  <si>
    <t>Apr 23, 2025</t>
  </si>
  <si>
    <t>Apr 22, 2025</t>
  </si>
  <si>
    <t>Apr 17, 2025</t>
  </si>
  <si>
    <t>Apr 16, 2025</t>
  </si>
  <si>
    <t>Apr 15, 2025</t>
  </si>
  <si>
    <t>Apr 14, 2025</t>
  </si>
  <si>
    <t>Apr 11, 2025</t>
  </si>
  <si>
    <t>Apr 10, 2025</t>
  </si>
  <si>
    <t>Apr 09, 2025</t>
  </si>
  <si>
    <t>Apr 08, 2025</t>
  </si>
  <si>
    <t>Apr 07, 2025</t>
  </si>
  <si>
    <t>Apr 04, 2025</t>
  </si>
  <si>
    <t>Apr 03, 2025</t>
  </si>
  <si>
    <t>Apr 02, 2025</t>
  </si>
  <si>
    <t>Apr 01, 2025</t>
  </si>
  <si>
    <t>Mar 31, 2025</t>
  </si>
  <si>
    <t>Mar 28, 2025</t>
  </si>
  <si>
    <t>Mar 27, 2025</t>
  </si>
  <si>
    <t>Mar 26, 2025</t>
  </si>
  <si>
    <t>Mar 25, 2025</t>
  </si>
  <si>
    <t>Mar 24, 2025</t>
  </si>
  <si>
    <t>Mar 21, 2025</t>
  </si>
  <si>
    <t>Mar 20, 2025</t>
  </si>
  <si>
    <t>Mar 19, 2025</t>
  </si>
  <si>
    <t>Mar 18, 2025</t>
  </si>
  <si>
    <t>Mar 17, 2025</t>
  </si>
  <si>
    <t>Mar 14, 2025</t>
  </si>
  <si>
    <t>Mar 13, 2025</t>
  </si>
  <si>
    <t>Mar 12, 2025</t>
  </si>
  <si>
    <t>Mar 11, 2025</t>
  </si>
  <si>
    <t>Mar 10, 2025</t>
  </si>
  <si>
    <t>Mar 07, 2025</t>
  </si>
  <si>
    <t>Mar 06, 2025</t>
  </si>
  <si>
    <t>Mar 05, 2025</t>
  </si>
  <si>
    <t>Mar 04, 2025</t>
  </si>
  <si>
    <t>Mar 03, 2025</t>
  </si>
  <si>
    <t>Feb 28, 2025</t>
  </si>
  <si>
    <t>Feb 27, 2025</t>
  </si>
  <si>
    <t>Feb 26, 2025</t>
  </si>
  <si>
    <t>Feb 25, 2025</t>
  </si>
  <si>
    <t>Feb 24, 2025</t>
  </si>
  <si>
    <t>Feb 21, 2025</t>
  </si>
  <si>
    <t>Feb 20, 2025</t>
  </si>
  <si>
    <t>Feb 19, 2025</t>
  </si>
  <si>
    <t>Feb 18, 2025</t>
  </si>
  <si>
    <t>Feb 17, 2025</t>
  </si>
  <si>
    <t>Feb 14, 2025</t>
  </si>
  <si>
    <t>Feb 13, 2025</t>
  </si>
  <si>
    <t>Feb 12, 2025</t>
  </si>
  <si>
    <t>Feb 11, 2025</t>
  </si>
  <si>
    <t>Feb 10, 2025</t>
  </si>
  <si>
    <t>Feb 07, 2025</t>
  </si>
  <si>
    <t>Feb 06, 2025</t>
  </si>
  <si>
    <t>Feb 05, 2025</t>
  </si>
  <si>
    <t>Feb 04, 2025</t>
  </si>
  <si>
    <t>Feb 03, 2025</t>
  </si>
  <si>
    <t>Jan 31, 2025</t>
  </si>
  <si>
    <t>Jan 30, 2025</t>
  </si>
  <si>
    <t>Jan 29, 2025</t>
  </si>
  <si>
    <t>Jan 28, 2025</t>
  </si>
  <si>
    <t>Jan 27, 2025</t>
  </si>
  <si>
    <t>Jan 24, 2025</t>
  </si>
  <si>
    <t>Jan 23, 2025</t>
  </si>
  <si>
    <t>Jan 22, 2025</t>
  </si>
  <si>
    <t>Jan 21, 2025</t>
  </si>
  <si>
    <t>Jan 20, 2025</t>
  </si>
  <si>
    <t>Jan 17, 2025</t>
  </si>
  <si>
    <t>Jan 16, 2025</t>
  </si>
  <si>
    <t>Jan 15, 2025</t>
  </si>
  <si>
    <t>Jan 14, 2025</t>
  </si>
  <si>
    <t>Jan 13, 2025</t>
  </si>
  <si>
    <t>Jan 10, 2025</t>
  </si>
  <si>
    <t>Jan 09, 2025</t>
  </si>
  <si>
    <t>Jan 08, 2025</t>
  </si>
  <si>
    <t>Jan 07, 2025</t>
  </si>
  <si>
    <t>Jan 06, 2025</t>
  </si>
  <si>
    <t>Jan 03, 2025</t>
  </si>
  <si>
    <t>Jan 02, 2025</t>
  </si>
  <si>
    <t>Dec 30, 2024</t>
  </si>
  <si>
    <t>Dec 27, 2024</t>
  </si>
  <si>
    <t>Dec 23, 2024</t>
  </si>
  <si>
    <t>Dec 20, 2024</t>
  </si>
  <si>
    <t>Dec 19, 2024</t>
  </si>
  <si>
    <t>Dec 18, 2024</t>
  </si>
  <si>
    <t>Dec 17, 2024</t>
  </si>
  <si>
    <t>Dec 16, 2024</t>
  </si>
  <si>
    <t>Dec 13, 2024</t>
  </si>
  <si>
    <t>Dec 12, 2024</t>
  </si>
  <si>
    <t>Dec 11, 2024</t>
  </si>
  <si>
    <t>Dec 10, 2024</t>
  </si>
  <si>
    <t>Dec 09, 2024</t>
  </si>
  <si>
    <t>Dec 06, 2024</t>
  </si>
  <si>
    <t>Dec 05, 2024</t>
  </si>
  <si>
    <t>Dec 04, 2024</t>
  </si>
  <si>
    <t>Dec 03, 2024</t>
  </si>
  <si>
    <t>Dec 02, 2024</t>
  </si>
  <si>
    <t>Nov 29, 2024</t>
  </si>
  <si>
    <t>Nov 28, 2024</t>
  </si>
  <si>
    <t>Ferragamo Price (€)</t>
  </si>
  <si>
    <t>FTSE MIB Index Price</t>
  </si>
  <si>
    <t>Oct/Nov 2023</t>
  </si>
  <si>
    <t>Dec 20, 2016</t>
  </si>
  <si>
    <t>Jan 03, 2013</t>
  </si>
  <si>
    <t>Imaginex Holdings Limited (Increased Stake)</t>
  </si>
  <si>
    <t>€4.435 million EUR</t>
  </si>
  <si>
    <t>€0.415 million EUR</t>
  </si>
  <si>
    <t>Ferragamo Moda Shanghai, Ferragamo Retail Macau, &amp; Ferrimag (Remaining Minority Stakes)</t>
  </si>
  <si>
    <t>€39.7 million EUR</t>
  </si>
  <si>
    <t>Confirmed (as a supplement): The final payment for the remaining  (stake ) in the four joint ventures in South Korea and Southeast Asia was based on the Net Depreciated Asset Value. The final payment, referenced in the 2013 report as a supplement to the initial payment, was €0.415 million (US$531,600). The overall acquisition price framework was much larger, but the final cash paid for the remaining 20% under the put/call was asset-based and minimal, as the control (80% stake) was already secured.</t>
  </si>
  <si>
    <t>The payment for increasing the stake in the Greater China distribution companies (Ferragamo Moda (Shanghai) Ltd. and Ferragamo Retail Macau Ltd.) from 50% to 75% was €4.435 million. This set the stage for the full consolidation in 2023.</t>
  </si>
  <si>
    <t>erragamo acquired the minority interests held by Imaginex in the three JVs, becoming sole shareholder — to consolidate and relaunch distribution and direct retail control in Greater China.</t>
  </si>
  <si>
    <t>Trinity Luxury Brands Holdings</t>
  </si>
  <si>
    <t xml:space="preserve"> €44.55 million EUR</t>
  </si>
  <si>
    <t>ROIC 2025</t>
  </si>
  <si>
    <t>HOLD/NEUTRAL</t>
  </si>
  <si>
    <t>Target Price</t>
  </si>
  <si>
    <t>Investment Summary &amp; Recommendation</t>
  </si>
  <si>
    <t>Current Price</t>
  </si>
  <si>
    <t>Valuation, Capital Structure &amp; Return Analysis</t>
  </si>
  <si>
    <t>Appendix</t>
  </si>
  <si>
    <t>Stock Summary</t>
  </si>
  <si>
    <t xml:space="preserve">52 week Range (€/$): </t>
  </si>
  <si>
    <t>Market Cap (bn $):</t>
  </si>
  <si>
    <t>Avg. 3mnth</t>
  </si>
  <si>
    <t>Maturity Bucket</t>
  </si>
  <si>
    <t>Carry Amount (€)</t>
  </si>
  <si>
    <t>Avg Rate</t>
  </si>
  <si>
    <t>Rating</t>
  </si>
  <si>
    <t>Recommendation</t>
  </si>
  <si>
    <t>Intrinsic Value vs Market Price</t>
  </si>
  <si>
    <t>Leverage, Coverage, &amp; Credit Quality</t>
  </si>
  <si>
    <t xml:space="preserve">Valuation &amp; Market Metrics </t>
  </si>
  <si>
    <t xml:space="preserve">Debt Metrics </t>
  </si>
  <si>
    <t>(€m)</t>
  </si>
  <si>
    <t>PEG</t>
  </si>
  <si>
    <t>FCF vs Debt</t>
  </si>
  <si>
    <t>Recent Earnings</t>
  </si>
  <si>
    <t>Historical Earnings - Beat / Miss</t>
  </si>
  <si>
    <t>Surprise %</t>
  </si>
  <si>
    <t>Liquidity Ratios</t>
  </si>
  <si>
    <t xml:space="preserve">Key Risk Factors </t>
  </si>
  <si>
    <t>OCF to CL</t>
  </si>
  <si>
    <t>Solvency Factors</t>
  </si>
  <si>
    <t>LT Debt/Total Equity</t>
  </si>
  <si>
    <t>Historical Growth, M&amp;A, Segment Drivers</t>
  </si>
  <si>
    <t xml:space="preserve">Appendix </t>
  </si>
  <si>
    <t>Historical Performance (2020-2024)</t>
  </si>
  <si>
    <t>Income Statement</t>
  </si>
  <si>
    <t>€m</t>
  </si>
  <si>
    <t>Revenue</t>
  </si>
  <si>
    <t>COGS</t>
  </si>
  <si>
    <t>EBIT</t>
  </si>
  <si>
    <t>EBIT Margin</t>
  </si>
  <si>
    <t xml:space="preserve">Operating Expenses </t>
  </si>
  <si>
    <t>FCF</t>
  </si>
  <si>
    <t>D&amp;A</t>
  </si>
  <si>
    <t>Interest expense</t>
  </si>
  <si>
    <t xml:space="preserve">M&amp;A Activity </t>
  </si>
  <si>
    <t>Income tax expense</t>
  </si>
  <si>
    <t>Balance Sheet</t>
  </si>
  <si>
    <t>Brand / Asset</t>
  </si>
  <si>
    <t>Category</t>
  </si>
  <si>
    <t>Type</t>
  </si>
  <si>
    <t>Valuation</t>
  </si>
  <si>
    <t>Rationale</t>
  </si>
  <si>
    <t>Assets</t>
  </si>
  <si>
    <t>Undisclosed</t>
  </si>
  <si>
    <t>Liabilities:</t>
  </si>
  <si>
    <t>Revenue by Product Line (2020-2024)</t>
  </si>
  <si>
    <t>Shareholders Equity:</t>
  </si>
  <si>
    <t>Forecasts, Segment Outlook, Cost Structure &amp; Drivers</t>
  </si>
  <si>
    <t>Cash Flow Statement</t>
  </si>
  <si>
    <t>CF from Operating</t>
  </si>
  <si>
    <t>CF from Investing</t>
  </si>
  <si>
    <t>CF from Financing</t>
  </si>
  <si>
    <t>Net Change in Cash</t>
  </si>
  <si>
    <t>Key Ratio Table</t>
  </si>
  <si>
    <t>Growth</t>
  </si>
  <si>
    <t>Return on Assets</t>
  </si>
  <si>
    <t>Return on Equity</t>
  </si>
  <si>
    <t>Operating Performance</t>
  </si>
  <si>
    <t>Gross Profit</t>
  </si>
  <si>
    <t xml:space="preserve">Liquidity </t>
  </si>
  <si>
    <t>Solvency</t>
  </si>
  <si>
    <t>1YR</t>
  </si>
  <si>
    <t>2YR</t>
  </si>
  <si>
    <t>3YR</t>
  </si>
  <si>
    <t>4YR</t>
  </si>
  <si>
    <t>5YR</t>
  </si>
  <si>
    <t xml:space="preserve"> ROIC&gt;WACC</t>
  </si>
  <si>
    <t xml:space="preserve">	 839.5k</t>
  </si>
  <si>
    <t>Key valuation metrics indicate the stock trades at a discount on earnings but this is justified by the current capital structure. The P/E multiple declines toward 17.8x on FY26 earnings, still below the sector average in the high teens/low twenties. FCF is currently negative due to turnaround investments.</t>
  </si>
  <si>
    <t>Ferragamo trades at a P/E discount to its direct luxury peers (21.7x vs. peer average 27.7x), but in line with peers like Prada. The discount reflects the ongoing brand turnaround risk.</t>
  </si>
  <si>
    <t>€265M</t>
  </si>
  <si>
    <t>N/A</t>
  </si>
  <si>
    <t>B-1</t>
  </si>
  <si>
    <t>New Creative Direction</t>
  </si>
  <si>
    <t>Product/Image</t>
  </si>
  <si>
    <t>FY23-FY25</t>
  </si>
  <si>
    <t>Internal Shift</t>
  </si>
  <si>
    <t>DTC Acceleration</t>
  </si>
  <si>
    <t>Distribution</t>
  </si>
  <si>
    <t>Ongoing</t>
  </si>
  <si>
    <t>Greater China JVs</t>
  </si>
  <si>
    <t>Minority Stake Buyout</t>
  </si>
  <si>
    <t>brand elevation</t>
  </si>
  <si>
    <t>Direct-to-Consumer</t>
  </si>
  <si>
    <t>Increased control operations</t>
  </si>
  <si>
    <t>Footwear</t>
  </si>
  <si>
    <t>Leather Goods</t>
  </si>
  <si>
    <t>Apparel</t>
  </si>
  <si>
    <t>Other Products (Silk, etc.)</t>
  </si>
  <si>
    <t>Short-Term (≤ FY26)</t>
  </si>
  <si>
    <t>Medium-Term (FY27-29)</t>
  </si>
  <si>
    <t>Long-Term (FY30-34)</t>
  </si>
  <si>
    <t>Very Long-Term (FY35+)</t>
  </si>
  <si>
    <t>Total Economic Obligations (€m)</t>
  </si>
  <si>
    <t>Total Economic Obligations</t>
  </si>
  <si>
    <t>Traditional Net Debt</t>
  </si>
  <si>
    <t>Economic Net Debt / EBITDA</t>
  </si>
  <si>
    <t>7.6x</t>
  </si>
  <si>
    <t>6.3x</t>
  </si>
  <si>
    <t>5.4x</t>
  </si>
  <si>
    <t>EBITDAR / Economic Interest</t>
  </si>
  <si>
    <t>3.5x</t>
  </si>
  <si>
    <t>5.5x</t>
  </si>
  <si>
    <t>Interest Expense (Traditional)</t>
  </si>
  <si>
    <t>Solvency is outstanding (Financial Debt/Assets &lt; 5.5%) due to minimal traditional debt and high equity funding. The strong FCF is projected to increase coverage of all total economic liabilities (including leases) to 9.5% by 2026E, reinforcing long-term resilience.</t>
  </si>
  <si>
    <t xml:space="preserve">FTSE MIB Index </t>
  </si>
  <si>
    <t xml:space="preserve"> FERRAGAMO S.P.A</t>
  </si>
  <si>
    <t>Stock Overview</t>
  </si>
  <si>
    <t xml:space="preserve">Valuation &amp; Relative </t>
  </si>
  <si>
    <t>Revenue Forecast &amp; Growth Assumptions (2024 - 2030)</t>
  </si>
  <si>
    <t>Profitability Ratios (2024–2026)</t>
  </si>
  <si>
    <t>Cash Flow vs Debt stability</t>
  </si>
  <si>
    <t xml:space="preserve">Liquidity &amp; Solvency </t>
  </si>
  <si>
    <t>LEGAL DISCLAIMER</t>
  </si>
  <si>
    <t>SALVATORE FERRAGAMO S.P.A (SFER:IM)</t>
  </si>
  <si>
    <t>CV</t>
  </si>
  <si>
    <t>Squared deviation of the average FTSE return</t>
  </si>
  <si>
    <t>Ṅ</t>
  </si>
  <si>
    <t>How Ferragamo does with Peers</t>
  </si>
  <si>
    <t>The ratios are very volatile in the short-term but point to the change in the ratios between the restructuring loss (2024A) to the profitable growth (2026E), as quite a high improvement in the efficiency of the capital base.</t>
  </si>
  <si>
    <t>Capital Structure, Debt Maturity</t>
  </si>
  <si>
    <t>This is not large bond issues, but gross debt is mostly comprised of bank loans and revolving credit facilities (RCFs) being used to provide operational liquidity. Net cash position gives much financial flexibility to finance the ambitious Capex program EUR70m- EUR80m /year and possible strategic brand investments without financing.</t>
  </si>
  <si>
    <t>Ferragamo is exposed to the least refinancing risk as it has used traditional financial debt of just EUR115m and the cash resources can easily finance it. Nevertheless, there is a total of EUR765m of economic obligation (including IFRS 16 Lease Liabilities) that forms a huge base of fixed costs of the company and is anchored on its retail network.</t>
  </si>
  <si>
    <t>The high cash balance and little traditional debt of Ferragamo suggest a very high credit rating A- or Baa1. Any external credit analysis would center on the trend of the Economic Net Debt / EBITDA. The forecast drop to 6.5x and below by 2026E is a good indication of a solid commitment.</t>
  </si>
  <si>
    <t>It is a key metric that reveals the achievement of the successful turnaround strategy implementation. Economic coverage ( EBITDAR / Economic Interest ) is under control and is becoming better (5.5x) compared with 3.5x owing to controlled costs and rising operational cash flow.</t>
  </si>
  <si>
    <t>Ferragamo is Net Cash positive meaning that FCF can easily be used to grow the cash pile, rather than to settle debt since it is projected to be EUR120m by the FY26E. Assuming FCF alone can repay the company for 100% of its minimum traditional gross debt (EUR115m) in less than 1.5 years. This will show high balance sheet strength.</t>
  </si>
  <si>
    <t>The liquidity is very high (Current Ratio is more than 2.5x, Quick Ratio is more than 1.5x) because of the high cash balance and effective working capital position, which guarantee a high level of coverage of the short-term needs.</t>
  </si>
  <si>
    <t xml:space="preserve">Despite the company reporting an operating loss (negative EBIT and Net Income) in 2024A, FCF increased to €99.6 million. This shows that the business still generates cash, with non-cash items like depreciation and inventory adjustments offsetting the reported losses. </t>
  </si>
  <si>
    <t>Salvatore Ferragamo's growth mainly relies on an organic turnaround led by new management, rather than large-scale M&amp;A.</t>
  </si>
  <si>
    <t>Ferragamo's​‍​‌‍​‍‌​‍​‌‍​‍‌ product category that includesFootwear and Leather Goods remain the absolute core ofFerragamo, with the duo accounting for 86.6% of the total revenue in 2024A. Their combined percentage contribution has been slightly increased, which indicates a gradual strategic refocus towards these high-margin categories even
by the overall revenue decline. The overall strategic focus is
on modernising these two core segments, particularly
Footwear, which should be the main driver of the
turnaround macro demand is stabilising. The high gross
margin (around 71.5% in FY24) is a very good
basis for profit recovery once the sales volume will be ​‍​‌‍​‍‌​‍​‌‍​‍‌back.</t>
  </si>
  <si>
    <r>
      <rPr>
        <b/>
        <sz val="8.6999999999999993"/>
        <rFont val="Helvetica Neue"/>
      </rPr>
      <t>Comprehensive Legal Disclaimer &amp; Limitation of Liability</t>
    </r>
    <r>
      <rPr>
        <sz val="8.6999999999999993"/>
        <rFont val="Helvetica Neue"/>
      </rPr>
      <t xml:space="preserve">
</t>
    </r>
    <r>
      <rPr>
        <b/>
        <sz val="8.6999999999999993"/>
        <rFont val="Helvetica Neue"/>
      </rPr>
      <t xml:space="preserve">READ CAREFULLY. THIS IS NOT INVESTMENT ADVICE.
I. EXPLICIT DISCLAIMER OF ADVICE AND REPRESENTATION
</t>
    </r>
    <r>
      <rPr>
        <sz val="8.6999999999999993"/>
        <rFont val="Helvetica Neue"/>
      </rPr>
      <t xml:space="preserve">
This financial valuation model, together with all content, analyses, estimates, forecasts, and the Target Price derived (collectively, the "Model"), is a </t>
    </r>
    <r>
      <rPr>
        <b/>
        <sz val="8.6999999999999993"/>
        <rFont val="Helvetica Neue"/>
      </rPr>
      <t xml:space="preserve">SOLELY EDUCATIONAL AND ILLUSTRATIVE EXAMPLE.
</t>
    </r>
    <r>
      <rPr>
        <sz val="8.6999999999999993"/>
        <rFont val="Helvetica Neue"/>
      </rPr>
      <t xml:space="preserve">
</t>
    </r>
    <r>
      <rPr>
        <b/>
        <sz val="8.6999999999999993"/>
        <rFont val="Helvetica Neue"/>
      </rPr>
      <t>THE MODEL IS NOT A FINANCIAL ADVICE, AND SHOULD NOT BE INTERPRETED AS  JUSTICE, TAXATION, OR LEGAL TREATMENT</t>
    </r>
    <r>
      <rPr>
        <sz val="8.6999999999999993"/>
        <rFont val="Helvetica Neue"/>
      </rPr>
      <t xml:space="preserve">. Additionally, it does not promote any transactions or offer the purchase or sale of any security, including the shares of </t>
    </r>
    <r>
      <rPr>
        <b/>
        <sz val="8.6999999999999993"/>
        <rFont val="Helvetica Neue"/>
      </rPr>
      <t>Salvatore Ferragamo S.p.A. (SFER:IM)</t>
    </r>
    <r>
      <rPr>
        <sz val="8.6999999999999993"/>
        <rFont val="Helvetica Neue"/>
      </rPr>
      <t xml:space="preserve"> or any other entity, to any person or entity. The creator of this Model (the "Creator") is not a registered financial advisor or broker, dealer and has not assessed the suitability of any investment for any specific individual or entity.
</t>
    </r>
    <r>
      <rPr>
        <b/>
        <sz val="8.6999999999999993"/>
        <rFont val="Helvetica Neue"/>
      </rPr>
      <t>II. ASSUMPTIONS, ESTIMATES, AND FORWARD, LOOKING STATEMENTS</t>
    </r>
    <r>
      <rPr>
        <sz val="8.6999999999999993"/>
        <rFont val="Helvetica Neue"/>
      </rPr>
      <t xml:space="preserve">
</t>
    </r>
    <r>
      <rPr>
        <b/>
        <sz val="8.6999999999999993"/>
        <rFont val="Helvetica Neue"/>
      </rPr>
      <t>UNVERIFIED INPUTS:</t>
    </r>
    <r>
      <rPr>
        <sz val="8.6999999999999993"/>
        <rFont val="Helvetica Neue"/>
      </rPr>
      <t xml:space="preserve"> The Model is constructed solely on the basis of financial statements, historical prices, and market data that have been either manually entered or obtained from open sources (collectively "Source Data"). The Creator has </t>
    </r>
    <r>
      <rPr>
        <b/>
        <sz val="8.6999999999999993"/>
        <rFont val="Helvetica Neue"/>
      </rPr>
      <t xml:space="preserve">NOT </t>
    </r>
    <r>
      <rPr>
        <sz val="8.6999999999999993"/>
        <rFont val="Helvetica Neue"/>
      </rPr>
      <t>verified Source Data independently in terms of exactness, wholesomeness, and integrity. Any inaccuracies, gaps, or distortions in the Source Data will be attributable to the original data providers or the person who supplied the inputs to the Model.
S</t>
    </r>
    <r>
      <rPr>
        <b/>
        <sz val="8.6999999999999993"/>
        <rFont val="Helvetica Neue"/>
      </rPr>
      <t xml:space="preserve">PECULATIVE NATURE: </t>
    </r>
    <r>
      <rPr>
        <sz val="8.6999999999999993"/>
        <rFont val="Helvetica Neue"/>
      </rPr>
      <t xml:space="preserve">All forecasts, projections, and estimates concerning future performance, including revenues, cash flows, and terminal value, are inherently speculative. They are founded on numerous subjective assumptions, which may turn out to be wrong.
</t>
    </r>
    <r>
      <rPr>
        <b/>
        <sz val="8.6999999999999993"/>
        <rFont val="Helvetica Neue"/>
      </rPr>
      <t>III. WAIVER OF LIABILITY AND INDEMNIFICATION</t>
    </r>
    <r>
      <rPr>
        <sz val="8.6999999999999993"/>
        <rFont val="Helvetica Neue"/>
      </rPr>
      <t xml:space="preserve">
</t>
    </r>
    <r>
      <rPr>
        <b/>
        <sz val="8.6999999999999993"/>
        <rFont val="Helvetica Neue"/>
      </rPr>
      <t>THE USER, THROUGH THE USE OF THIS MODEL, EXPRESSLY WAIVES THE RIGHT TO BRING A CLAIM OF ANY KIND, INCLUDING BUT NOT LIMITED TO, A DEMAND, AN ACTION, OR A CAUSE OF ACTION, AGAINST THE CREATOR ARISING FROM THE USE OR RELIANCE ON THIS MODEL.</t>
    </r>
    <r>
      <rPr>
        <sz val="8.6999999999999993"/>
        <rFont val="Helvetica Neue"/>
      </rPr>
      <t xml:space="preserve">
If in any instance, the Creator is held responsible, the liability will be limited to an amount equal to the value of the services rendered. Under no circumstances will the Creator be responsible for any unanticipated, indirect, resulting, special, punitive, or consequential damages inclusive, but limited to the loss of profits, trading, or investment losses of any kind, that may arise due to or be related to the use or reliance on this Model, its results, or the information contained herein, even if the Creator has been advised of the potentiality of such damages in advance.
The User agrees that investment decisions always involve a risk of loss and that the User alone bears the full risk of such loss.
</t>
    </r>
    <r>
      <rPr>
        <b/>
        <sz val="8.6999999999999993"/>
        <rFont val="Helvetica Neue"/>
      </rPr>
      <t xml:space="preserve">IV. NO DUTY TO UPDATE
</t>
    </r>
    <r>
      <rPr>
        <sz val="8.6999999999999993"/>
        <rFont val="Helvetica Neue"/>
      </rPr>
      <t xml:space="preserve">
The data and views presented in this Model are only applicable to the time of the analysis. The Creator will not update, change, or adjust this Model, its assumptions, or its conclusions to reflect new data, subsequent events, market changes, or mistakes discovered later.
</t>
    </r>
    <r>
      <rPr>
        <b/>
        <sz val="8.6999999999999993"/>
        <rFont val="Helvetica Neue"/>
      </rPr>
      <t>IT IS HIGHLY RECOMMENDED THAT POTENTIAL INVESTORS CONSULT A PROFESSIONAL INVESTMENT ADVISOR PRIOR TO MAKING ANY FINANCIAL DECISIONS.</t>
    </r>
  </si>
  <si>
    <t>Current Market Price</t>
  </si>
  <si>
    <t>Gross Margin (%)</t>
  </si>
  <si>
    <t>EBITDA Margin (%)</t>
  </si>
  <si>
    <t>8.1x</t>
  </si>
  <si>
    <t>21.7x</t>
  </si>
  <si>
    <t>EBITDA</t>
  </si>
  <si>
    <t>Net Margin (%)</t>
  </si>
  <si>
    <t>EPS (EUR)</t>
  </si>
  <si>
    <t xml:space="preserve">  BALANCE SHEET HIGHLIGHTS (EUR 000s)</t>
  </si>
  <si>
    <t>Total Assets</t>
  </si>
  <si>
    <t>Net PPE</t>
  </si>
  <si>
    <t>Gross Financial Debt</t>
  </si>
  <si>
    <t>Net Debt</t>
  </si>
  <si>
    <t>CF from Operations</t>
  </si>
  <si>
    <t>Capex</t>
  </si>
  <si>
    <t>FCFF</t>
  </si>
  <si>
    <t>FCFE</t>
  </si>
  <si>
    <t>FCFF Yield (%)</t>
  </si>
  <si>
    <t>Return on Assets (ROA)</t>
  </si>
  <si>
    <t>Return on Equity (ROE)</t>
  </si>
  <si>
    <t>Return on Invested Capital</t>
  </si>
  <si>
    <t>WACC</t>
  </si>
  <si>
    <t>Economic Spread (ROIC-WACC)</t>
  </si>
  <si>
    <t>SALVATORE FERRAGAMO S.P.A. (SFER:IM)  |  Executive Summary  |  One-Page Model Output</t>
  </si>
  <si>
    <t xml:space="preserve">  INCOME STATEMENT (EUR 000s)</t>
  </si>
  <si>
    <t>Growth (%)</t>
  </si>
  <si>
    <t>Cash</t>
  </si>
  <si>
    <t>Net D/Equity (x)</t>
  </si>
  <si>
    <t xml:space="preserve">  CASH FLOW &amp; FCF (EUR 000s)</t>
  </si>
  <si>
    <t xml:space="preserve">  RETURN RATIOS (%)</t>
  </si>
  <si>
    <t>ROA</t>
  </si>
  <si>
    <t>ROE</t>
  </si>
  <si>
    <t>Economic Spread</t>
  </si>
  <si>
    <t xml:space="preserve">  VALUATION SUMMARY (EUR PER SHARE)</t>
  </si>
  <si>
    <t>Bear</t>
  </si>
  <si>
    <t>Base</t>
  </si>
  <si>
    <t>Bull</t>
  </si>
  <si>
    <t>Wt.</t>
  </si>
  <si>
    <t>Wtd.</t>
  </si>
  <si>
    <t>FCF-Based (FCFF)</t>
  </si>
  <si>
    <t>EV/EBITDA (8.1x implied)</t>
  </si>
  <si>
    <t>Blended Intrinsic Value</t>
  </si>
  <si>
    <t>Implied Upside/(Downside)</t>
  </si>
  <si>
    <t xml:space="preserve">  COMPARABLE COMPANY MULTIPLES</t>
  </si>
  <si>
    <t>Company</t>
  </si>
  <si>
    <t>Fwd P/E</t>
  </si>
  <si>
    <t>P/B</t>
  </si>
  <si>
    <t>FCF Yield</t>
  </si>
  <si>
    <t>Div Yld</t>
  </si>
  <si>
    <t>Salvatore Ferragamo (SFER)</t>
  </si>
  <si>
    <t>2.15x</t>
  </si>
  <si>
    <t>LVMH</t>
  </si>
  <si>
    <t>11.2x</t>
  </si>
  <si>
    <t>18.5x</t>
  </si>
  <si>
    <t>2.90x</t>
  </si>
  <si>
    <t>9.6x</t>
  </si>
  <si>
    <t>22.4x</t>
  </si>
  <si>
    <t>2.10x</t>
  </si>
  <si>
    <t>Burberry</t>
  </si>
  <si>
    <t>7.8x</t>
  </si>
  <si>
    <t>19.1x</t>
  </si>
  <si>
    <t>1.75x</t>
  </si>
  <si>
    <t>Moncler</t>
  </si>
  <si>
    <t>13.4x</t>
  </si>
  <si>
    <t>24.3x</t>
  </si>
  <si>
    <t>4.50x</t>
  </si>
  <si>
    <t>Peer Average</t>
  </si>
  <si>
    <t>9.8x</t>
  </si>
  <si>
    <t>21.0x</t>
  </si>
  <si>
    <t>2.51x</t>
  </si>
  <si>
    <t xml:space="preserve">  INVESTMENT CONSIDERATIONS</t>
  </si>
  <si>
    <t>BULL CASE CATALYSTS</t>
  </si>
  <si>
    <t>BEAR CASE RISKS</t>
  </si>
  <si>
    <t xml:space="preserve">  WACC COMPONENTS</t>
  </si>
  <si>
    <t>Risk-Free Rate (Rf, 10Y BTP)</t>
  </si>
  <si>
    <t>Beta (levered, 5Y monthly)</t>
  </si>
  <si>
    <t>0.82x</t>
  </si>
  <si>
    <t>Cost of Equity (CAPM)</t>
  </si>
  <si>
    <t>Cost of Debt (pre-tax)</t>
  </si>
  <si>
    <t>After-tax Cost of Debt</t>
  </si>
  <si>
    <t>Weight of Equity</t>
  </si>
  <si>
    <t>Weight of Debt</t>
  </si>
  <si>
    <t>Terminal Growth Rate</t>
  </si>
  <si>
    <t>P/E-Based (8.7x Model FWD / 21.7x Consensus NTM)</t>
  </si>
  <si>
    <t>MODEL AUDIT COMPLETED (Senior IB Review) | Key fixes applied: (1) EBITDA 2024A corrected 18,939→215,218 [was missing D&amp;A]; (2) ROIC 2024A corrected 5.38%→-5.2% [negative EBIT cannot yield positive ROIC]; (3) WACC corrected 6.52%→6.62% [effective tax rate 15.5% vs statutory 21%]; (4) Economic Spread corrected -1.14%→-11.7%; (5) EV/EBITDA &amp; P/E formulas fixed on Output Sheet [were dividing by wrong units]; (6) P/E discrepancy flagged: model implies 8.7x vs comp-based 21.7x; (7) IFRS 16 lease liabilities flagged as 'financial debt' [zero traditional debt]; (8) CAPEX drop 33% YoY flagged as unsupported by strategy; (9) FCFF corrected; (10) Peer set inconsistency flagged [Exec Summary vs COMP Sheet]. | Prepared for educational purposes. Not investment advice.</t>
  </si>
  <si>
    <t>Sheet</t>
  </si>
  <si>
    <t>Status</t>
  </si>
  <si>
    <t>EXEC SUMMARY</t>
  </si>
  <si>
    <t>FIXED</t>
  </si>
  <si>
    <t>OUTPUT SHEET</t>
  </si>
  <si>
    <t>2022A</t>
  </si>
  <si>
    <t>2023A</t>
  </si>
  <si>
    <t>IFRS 16 LEASE DEPRECIATION (AL-19 FIX) — Added to total D&amp;A</t>
  </si>
  <si>
    <t>Actual 2024A IFRS 16 lease D&amp;A = Total D&amp;A (264,219) − Capex-schedule D&amp;A (31,354 reported in CFO) = ~232,865. Forecast: assume lease portfolio declines ~2%/yr as leases expire and are not fully renewed (brand relaunch rationalising store network).</t>
  </si>
  <si>
    <t>IFRS 16 Lease D&amp;A (in IS D&amp;A)</t>
  </si>
  <si>
    <t>Assumption: 2024A lease D&amp;A × (1 − 0.02)^n. Lease pool declines as store rationalisation continues.</t>
  </si>
  <si>
    <t>S-01</t>
  </si>
  <si>
    <t>Revenue, EBIT, Net Income, Balance Sheet (2020–2024A)</t>
  </si>
  <si>
    <t>FY2020–FY2024</t>
  </si>
  <si>
    <t>S-02</t>
  </si>
  <si>
    <t>S-03</t>
  </si>
  <si>
    <t>FY2024</t>
  </si>
  <si>
    <t>Ferragamo Annual Report 2024 / Borsa Italiana</t>
  </si>
  <si>
    <t>S-04</t>
  </si>
  <si>
    <t>Risk-Free Rate (Rf) — Italy 10Y BTP</t>
  </si>
  <si>
    <t>https://tradingview.com/symbols/TVC:IT10Y  |  https://www.bancaditalia.it</t>
  </si>
  <si>
    <t>S-05</t>
  </si>
  <si>
    <t>Equity Risk Premium (ERP) — Italy</t>
  </si>
  <si>
    <t>Jan 2025 est.</t>
  </si>
  <si>
    <t>https://pages.stern.nyu.edu/~adamodar/New_Home_Page/datafile/implprem.html</t>
  </si>
  <si>
    <t>S-06</t>
  </si>
  <si>
    <t>S-07</t>
  </si>
  <si>
    <t>S-08</t>
  </si>
  <si>
    <t>S-09</t>
  </si>
  <si>
    <t>S-12</t>
  </si>
  <si>
    <t>Bloomberg Terminal / FactSet / Yahoo Finance</t>
  </si>
  <si>
    <t>S-13</t>
  </si>
  <si>
    <t>Long-run</t>
  </si>
  <si>
    <t>S-14</t>
  </si>
  <si>
    <t>S-15</t>
  </si>
  <si>
    <t>Cell</t>
  </si>
  <si>
    <t>Line Item</t>
  </si>
  <si>
    <t>Verdict</t>
  </si>
  <si>
    <t>SG&amp;A rationalization under brand relaunch: assume -0.7pp improvement per year, stabilizing at 23.0% of revenues by Year +1. FY2022–2024 avg ~23.7%.</t>
  </si>
  <si>
    <t>Distribution/retail OpEx: held at 11.9% of revenues, reflecting DTC channel cost structure. FY2022–2024 avg ~13.4%, but 2024A elevated by transformation costs.</t>
  </si>
  <si>
    <t>SG&amp;A expense: 4.4% of revenues, slightly below FY2022–2024 avg of ~4.4%. Held flat as marketing investment maintains brand relaunch spend.</t>
  </si>
  <si>
    <t>Other operating expenses: 8.0% of revenues, below FY2023 peak of 9.8%, in line with FY2022 (7.4%). Reflects normalization post-restructuring charge cycle.</t>
  </si>
  <si>
    <t>Other operating expenses (2): 2.4% of revenues, consistent with FY2022–2024 avg. Represents misc. admin and insurance-type expenses.</t>
  </si>
  <si>
    <t>Income from equity investees: zero — no disclosed equity method investments. Consistent with FY2022–2024 reported nil.</t>
  </si>
  <si>
    <t>Non-recurring operating items: 2.0% of revenues. Ferragamo has historically reported modest non-recurring gains (FY2022: 3.9%, FY2023: 1.8%, FY2024: 2.3%); 2.0% is a conservative steady-state.</t>
  </si>
  <si>
    <t>Other income/expense: zero — no material other income or losses forecast. Historically nil for Ferragamo.</t>
  </si>
  <si>
    <t>Discontinued operations: zero — no planned divestitures disclosed. Consistent with FY2022–2024 reported nil.</t>
  </si>
  <si>
    <t>Cash grows at 3% p.a. — in line with long-run revenue growth and management's stated minimum liquidity buffer of ~€240M. Based on FY2024A cash of €238M.</t>
  </si>
  <si>
    <t>Accounts receivable: 2% annual growth, reflecting modest revenue expansion and stable DSO (~34 days). FY2024A A/R: €84.6M.</t>
  </si>
  <si>
    <t>Inventories: 2% annual growth, conservative relative to historical build-up. Days inventory ~375 held flat; Ferragamo is managing inventory discipline during brand repositioning.</t>
  </si>
  <si>
    <t>Prepaid expenses: 2.4% of revenues in Year +2 onward (Year +1 uses historical ratio of 2.35%). Consistent with FY2024A level of €46M (2.6% of revenues).</t>
  </si>
  <si>
    <t>Other current assets (1): grow at historical avg rate (1.73%) through Year +3; step-down to 0.3% thereafter as tax receivables normalize post-restructuring.</t>
  </si>
  <si>
    <t>Other current assets (2): 1.7% of revenues. Represents financial instruments and derivatives at fair value; assumed stable relative to revenue base.</t>
  </si>
  <si>
    <t>Other current assets (3): 1.9% of revenues. Tax assets and other short-term items; held near FY2024A actual (0.6% of revenues but growing from low base).</t>
  </si>
  <si>
    <t>Long-term investments: 2% annual growth, reflecting stable financial asset portfolio. FY2024A: €32.4M.</t>
  </si>
  <si>
    <t>Equity and cost investments: 2% annual growth. Represents minority stakes in distribution JVs. Stable as no new JV activity disclosed.</t>
  </si>
  <si>
    <t>Deferred tax assets: 2% annual growth, tracking deferred losses from brand transformation. FY2024A: €145M (up from €109M in FY2022).</t>
  </si>
  <si>
    <t>Other assets (noncurrent): 2% annual growth. Primarily right-of-use assets, deposits and other long-term items. FY2024A: €535M (includes IFRS 16 ROU assets).</t>
  </si>
  <si>
    <t>Other intangible assets: 1.5% annual growth, below historical avg amortization rate. Represents trademarks and customer relationships with finite useful lives.</t>
  </si>
  <si>
    <t>Goodwill: zero growth assumed through Year +5; no acquisitions planned per public disclosures. Any future M&amp;A would revise this assumption upward. Continues at LT growth rate in Year +6.</t>
  </si>
  <si>
    <t>Provisions for risks and charges: 2% annual growth. Normalized from the FY2022 spike (€174M) to FY2024A level (€22.5M), growing modestly with operations.</t>
  </si>
  <si>
    <t>Employee benefit liabilities: 2% annual growth. Pension and post-employment obligations; modestly increasing with headcount stabilization during brand relaunch.</t>
  </si>
  <si>
    <t>Other non-current liabilities: 2% annual growth. Normalized from FY2022 (€29.3M) to FY2024A (€14.7M) level; represents deferred income and misc obligations.</t>
  </si>
  <si>
    <t>Deferred tax liabilities: zero — Ferragamo has had no significant deferred tax liability balance in FY2022–2024. Consistent with net DTA position.</t>
  </si>
  <si>
    <t>Other current liabilities (1): 2% annual growth. Includes accrued expenses and short-term provisions; grew rapidly in FY2023 (trade creditors); normalized at FY2024A level (€124M).</t>
  </si>
  <si>
    <t>Other current liabilities (2): 2% annual growth. Tax payables and other current obligations; stable relative to operations.</t>
  </si>
  <si>
    <t>Other current liabilities (3): 2% annual growth. Primarily IFRS 16 current lease liabilities (€311M in FY2024A); growing with remaining lease portfolio.</t>
  </si>
  <si>
    <t>Long-term accrued liabilities: 2% annual growth. Small and stable item; normalized from FY2022 spike (€469M) to FY2024A (€3.4M) level.</t>
  </si>
  <si>
    <t>Deferred tax liabilities (noncurrent): 2% annual growth. Modest balance of €5.7M in FY2024A; growing with timing differences on accelerated depreciation.</t>
  </si>
  <si>
    <t>Other noncurrent liabilities (1): 2% annual growth. Similar item class to non-current provisions; small and stable relative to total liabilities.</t>
  </si>
  <si>
    <t>Other noncurrent liabilities (2): 2% annual growth. Includes deferred revenue and earn-out type obligations; tracks FY2024A level (€22.5M).</t>
  </si>
  <si>
    <t>Preferred stock: zero — Ferragamo has no preferred shares outstanding. Common Italian company capital structure.</t>
  </si>
  <si>
    <t>Common stock + APIC: zero growth through Year +5 — no new equity issuances planned. FY2022–2024: stable at €16,879K (par value €0.10/share x 168.79M shares).</t>
  </si>
  <si>
    <t>Original Value / Issue</t>
  </si>
  <si>
    <t>Expected Logic / Correct Value</t>
  </si>
  <si>
    <t>Self-Question / Check</t>
  </si>
  <si>
    <t>Fix Applied</t>
  </si>
  <si>
    <t>Source</t>
  </si>
  <si>
    <t>E5</t>
  </si>
  <si>
    <t>EBITDA 2024A</t>
  </si>
  <si>
    <t>215,218 — prior figure omitted D&amp;A (264,219) from EBIT (-49,001). EBITDA = EBIT + D&amp;A.</t>
  </si>
  <si>
    <t>Was EBITDA computed as Revenue × margin or EBIT + D&amp;A?</t>
  </si>
  <si>
    <t>ERROR</t>
  </si>
  <si>
    <t>Corrected: EBITDA = -49,001 + 264,219 = 215,218. Formula updated in EXEC SUMMARY.</t>
  </si>
  <si>
    <t>Forecasts sheet row 30 (D&amp;A); FSAP Income Statement</t>
  </si>
  <si>
    <t>E28</t>
  </si>
  <si>
    <t>ROIC 2024A</t>
  </si>
  <si>
    <t>-5.16% — ROIC cannot be positive when EBIT is negative (-49,001). Prior figure used incorrect NOPAT.</t>
  </si>
  <si>
    <t>Is NOPAT = EBIT×(1-t) positive when EBIT is negative?</t>
  </si>
  <si>
    <t>Corrected: ROIC = EBIT×(1-t) / Avg. Invested Capital = -49,001×0.845 / 800,000 ≈ -5.16%.</t>
  </si>
  <si>
    <t>Forecasts sheet; Company 2024A Annual Report</t>
  </si>
  <si>
    <t>F38</t>
  </si>
  <si>
    <t>6.62% — used effective tax rate 15.5% (not statutory 21%). After-tax cost of debt = 6.0%×(1-0.155) = 5.07%.</t>
  </si>
  <si>
    <t>Which tax rate applies for WACC: statutory or effective?</t>
  </si>
  <si>
    <t>Corrected: WACC = 7.27%×0.703 + 5.07%×0.297 = 6.62%. Updated in Valuation sheet.</t>
  </si>
  <si>
    <t>Valuation sheet; FSAP WACC parameters</t>
  </si>
  <si>
    <t>F39</t>
  </si>
  <si>
    <t>-11.68% — computed as corrected ROIC (-5.16%) minus WACC (6.62%) = -11.78%.</t>
  </si>
  <si>
    <t>Was economic spread computed using corrected ROIC and WACC?</t>
  </si>
  <si>
    <t>Corrected: Spread = -5.16% - 6.62% = -11.78%. ROIC &lt; WACC confirms value destruction.</t>
  </si>
  <si>
    <t>Derived from corrected ROIC and WACC above</t>
  </si>
  <si>
    <t>D12/D13</t>
  </si>
  <si>
    <t>P/E and EV/EBITDA 2024A</t>
  </si>
  <si>
    <t>Formulas dividing by wrong unit (000s vs €)</t>
  </si>
  <si>
    <t>P/E: Market Cap / Net Income; EV/EBITDA: EV / EBITDA. Units must be consistent (all EUR 000s).</t>
  </si>
  <si>
    <t>Are market cap and earnings in the same denomination?</t>
  </si>
  <si>
    <t>Noted on Output Sheet. 2024A P/E is negative (-20.3x) due to net loss; EV/EBITDA 2024A = 7.8x using corrected EBITDA.</t>
  </si>
  <si>
    <t>EXEC SUMMARY comp table; Output Sheet formulas</t>
  </si>
  <si>
    <t>FLAGGED</t>
  </si>
  <si>
    <t>Comp Table</t>
  </si>
  <si>
    <t>Peer Set Inconsistency</t>
  </si>
  <si>
    <t>COMP Sheet shows different peer set vs EXEC SUMMARY table</t>
  </si>
  <si>
    <t>Peers on EXEC SUMMARY (LVMH, Kering, Burberry, Moncler) partially differ from COMP Sheet. Both should show identical multiples.</t>
  </si>
  <si>
    <t>Are COMP Sheet and EXEC SUMMARY sourced from same data?</t>
  </si>
  <si>
    <t>WARNING</t>
  </si>
  <si>
    <t>Flagged for analyst review. EXEC SUMMARY peer table uses manually entered consensus multiples; COMP Sheet may reflect different data vintage.</t>
  </si>
  <si>
    <t>COMP Sheet; EXEC SUMMARY section</t>
  </si>
  <si>
    <t>FLAGGED — ANALYST TO RECONCILE</t>
  </si>
  <si>
    <t>Forecast Development</t>
  </si>
  <si>
    <t>E103/Row~103</t>
  </si>
  <si>
    <t>IFRS 16 Lease D&amp;A — Historical Actuals</t>
  </si>
  <si>
    <t>2022A and 2023A show zero for IFRS 16 lease D&amp;A</t>
  </si>
  <si>
    <t>IFRS 16 adopted by Ferragamo from FY2019. FY2022 and FY2023 should contain non-zero lease depreciation. Only FY2024A value of 232,865 entered.</t>
  </si>
  <si>
    <t>Was IFRS 16 in effect in FY2022 and FY2023?</t>
  </si>
  <si>
    <t>Flagged: historical IFRS 16 D&amp;A values for FY2022 (est. ~220,000) and FY2023 (est. ~232,000) not populated. Analyst to confirm from Annual Reports pages 120-125.</t>
  </si>
  <si>
    <t>Ferragamo 2023 Annual Report — Notes to Financial Statements</t>
  </si>
  <si>
    <t>NEEDS DATA — ANALYST TO COMPLETE</t>
  </si>
  <si>
    <t>Depreciation table</t>
  </si>
  <si>
    <t>Implied Useful Life of PP&amp;E</t>
  </si>
  <si>
    <t>1.55 years (shown in historical computation)</t>
  </si>
  <si>
    <t>10 years assumed in Useful Life Forecast. Historical implied life of ~1.55 years is nonsensical — caused by IFRS 16 D&amp;A in denominator without corresponding PP&amp;E in numerator.</t>
  </si>
  <si>
    <t>Does the depreciation base (PP&amp;E at cost) include IFRS 16 right-of-use assets?</t>
  </si>
  <si>
    <t>DATA ISSUE</t>
  </si>
  <si>
    <t>Useful Life for forecast set to 10 years (analyst override). Historical ratio is misleading — IFRS 16 D&amp;A inflated denominator. Recommend disclosing note.</t>
  </si>
  <si>
    <t>Forecast Development depreciation schedule; IFRS 16 note</t>
  </si>
  <si>
    <t>OVERRIDE APPLIED — 10 YR LIFE USED</t>
  </si>
  <si>
    <t>E30</t>
  </si>
  <si>
    <t>D&amp;A Forecast — IFRS 16 Fix</t>
  </si>
  <si>
    <t>Prior formula only included capex-schedule D&amp;A (~43,793 in Y+1)</t>
  </si>
  <si>
    <t>Corrected formula includes BOTH capex-schedule D&amp;A (95% of Forecast Dev E80) AND IFRS 16 lease D&amp;A (Forecast Dev E85). Year +1 D&amp;A = 43,792 + 228,208 = 271,999.</t>
  </si>
  <si>
    <t>Was IFRS 16 lease depreciation included in the D&amp;A line?</t>
  </si>
  <si>
    <t>Fixed: =-(Forecast Dev E80×0.95 + Forecast Dev E85). Applied to all forecast years E30:I30.</t>
  </si>
  <si>
    <t>Forecast Development row 85 (IFRS 16 D&amp;A); IS row 30</t>
  </si>
  <si>
    <t>All models</t>
  </si>
  <si>
    <t>Negative Per-Share Values (-€2.46)</t>
  </si>
  <si>
    <t>All FSAP valuation models return -€2.46/share</t>
  </si>
  <si>
    <t>Negative equity value is mathematically correct given deeply negative net income forecasts in Years +1 to +5. The FSAP model mechanically discounts negative cash flows.</t>
  </si>
  <si>
    <t>Is negative valuation a model error or a legitimate forecast outcome?</t>
  </si>
  <si>
    <t>MODEL OUTCOME</t>
  </si>
  <si>
    <t>Confirmed legitimate model output — not an error. The blended target price of €7.02 on EXEC SUMMARY uses an analyst overlay (FCF-based, P/E-based, EV/EBITDA-based) that adjusts for the transition period and normalised earnings. Both outputs disclosed.</t>
  </si>
  <si>
    <t>EXEC SUMMARY blended valuation; FSAP Valuation sheet</t>
  </si>
  <si>
    <t>DISCLOSED — ANALYST OVERLAY APPLIED</t>
  </si>
  <si>
    <t>Row 2</t>
  </si>
  <si>
    <t>EUR 7.02</t>
  </si>
  <si>
    <t>Blended valuation: 50% FCFF (€7.02×0.5=€3.51) + 25% P/E (€9.75×0.25=€2.44) + 25% EV/EBITDA (€8.40×0.25=€2.10) = €8.05. Note: Rating header shows €7.02 but blended formula gives €8.05.</t>
  </si>
  <si>
    <t>Does the target price on the header match the blended formula output?</t>
  </si>
  <si>
    <t>DISCREPANCY</t>
  </si>
  <si>
    <t>Flagged: header says €7.02 but blended calculation = €8.05. Recommend updating header to €8.05 or documenting the difference.</t>
  </si>
  <si>
    <t>EXEC SUMMARY valuation table row</t>
  </si>
  <si>
    <t>FLAGGED — ANALYST TO CONFIRM TARGET PRICE</t>
  </si>
  <si>
    <t>E83/F83...</t>
  </si>
  <si>
    <t>Depreciation — Portion in COGS vs. IS</t>
  </si>
  <si>
    <t>Depreciation split: 95% to IS D&amp;A line; 5% to COGS</t>
  </si>
  <si>
    <t>Standard FSAP split. Ferragamo reports some manufacturing D&amp;A within cost of production. The 5%/95% split is an estimate; analyst should verify against segment note.</t>
  </si>
  <si>
    <t>Is the 5% COGS / 95% IS D&amp;A split supportable from the annual report?</t>
  </si>
  <si>
    <t>ASSUMPTION</t>
  </si>
  <si>
    <t>Noted as assumption. Source: FSAP default methodology. Recommend verifying against Ferragamo 2024AR manufacturing cost disclosure.</t>
  </si>
  <si>
    <t>Forecast Development rows 82-83; FSAP methodology</t>
  </si>
  <si>
    <t>ASSUMPTION — VERIFY FROM AR</t>
  </si>
  <si>
    <t>FERRAGAMO VALUATION MODEL — DATA INTEGRITY CHECKS</t>
  </si>
  <si>
    <t>Prepared by: ARYAN Shrenick Kothari</t>
  </si>
  <si>
    <t>Company: Salvatore Ferragamo S.p.A.</t>
  </si>
  <si>
    <t>Date: November 2025</t>
  </si>
  <si>
    <t>CHECK</t>
  </si>
  <si>
    <t>DESCRIPTION</t>
  </si>
  <si>
    <t>PASS/FAIL</t>
  </si>
  <si>
    <t>TOLERANCE</t>
  </si>
  <si>
    <t>NOTE</t>
  </si>
  <si>
    <t>BS-1</t>
  </si>
  <si>
    <t>Balance Sheet: Assets = Liabilities + Equity (EUR 000s)</t>
  </si>
  <si>
    <t>&lt; 1 (rounding)</t>
  </si>
  <si>
    <t>CF-1</t>
  </si>
  <si>
    <t>Cash Flow: Net Change in Cash = Change in Cash Balance</t>
  </si>
  <si>
    <t>&lt; 0.001</t>
  </si>
  <si>
    <t>IS-1</t>
  </si>
  <si>
    <t>Net Income: IS Net Income = Cash Flow Net Income</t>
  </si>
  <si>
    <t>VAL-1</t>
  </si>
  <si>
    <t>Valuation: All 3 equity models within 2% of each other</t>
  </si>
  <si>
    <t>WACC-1</t>
  </si>
  <si>
    <t>WACC: LT Growth Rate &lt; WACC (Gordon Growth Model stability condition)</t>
  </si>
  <si>
    <t>WACC &gt; g</t>
  </si>
  <si>
    <t>A = L + E check (FSAP check row 239 in Forecasts)</t>
  </si>
  <si>
    <t>Net change in cash ties to balance sheet movement (row 310)</t>
  </si>
  <si>
    <t>Net income per IS (row 77) = Net income per CFS (row 273)</t>
  </si>
  <si>
    <t>&lt; 0.10 per share</t>
  </si>
  <si>
    <t>Dividend, FCF, and Residual Income per-share values should converge</t>
  </si>
  <si>
    <t>WACC must exceed LT growth rate for Gordon Growth stability</t>
  </si>
  <si>
    <t>N/A (CFS starts 2023)</t>
  </si>
  <si>
    <t>8.71 - 4.35</t>
  </si>
  <si>
    <t>Revenue (Actual)</t>
  </si>
  <si>
    <t>Revenue (Est.)</t>
  </si>
  <si>
    <t>~€520M</t>
  </si>
  <si>
    <t>-8.8% MISS</t>
  </si>
  <si>
    <t>€291M</t>
  </si>
  <si>
    <t>~€300M</t>
  </si>
  <si>
    <t>-3.0% MISS</t>
  </si>
  <si>
    <t>~€270M</t>
  </si>
  <si>
    <t>-1.9% MISS</t>
  </si>
  <si>
    <t>Financial Risk: Traditional net debt is minimal (net cash +€119M H1 2025), but economic obligations including IFRS 16 leases total ~€765M creating a heavy fixed-cost base. Economic Net Debt/EBITDA is elevated at ~7.6x 2025E given depressed EBITDA.
Execution Risk: H1 2025 confirmed execution risk is real — revenues -9.4% vs flat consensus. €41M impairment charge taken H1 2025. Brand reset will take multiple years.
China &amp; Asia Pacific: Asia Pacific sales -18.5% in H1 2025 (-16.3% constant FX). Wholesale essentially in freefall. Recovery timing highly uncertain.
Analyst Downside: Morgan Stanley PT €5.50 Underweight; JPMorgan PT €4.60. Bear case implies -32% to -33% from €6.82.</t>
  </si>
  <si>
    <t>FY2025E*</t>
  </si>
  <si>
    <t>FY2026E</t>
  </si>
  <si>
    <t>FY2027E</t>
  </si>
  <si>
    <t>FY2028E</t>
  </si>
  <si>
    <t>FY2029E</t>
  </si>
  <si>
    <t>FY2030E</t>
  </si>
  <si>
    <t>REVISED POST H1 2025: FY2025E revenue cut to ~€950M (H1 2025A = €474M, -9.4% YoY). Gross margin holds ~71.5%. EBIT ~-€80M (H1 EBIT -€44M incl. €41M impairment). Net loss FY2025E ~-€95M vs FSAP model -€39M. Recovery to EBIT breakeven pushed to FY2027E. Net income turns +ve only FY2030E. Source: Ferragamo H1 2025 Press Release Jul 31 2025.</t>
  </si>
  <si>
    <t>Rating: HOLD / NEUTRAL   |   Current Price: EUR 6.82   |   Target Price: EUR 8.05 (Blended)   |   Implied Upside: +18.0%   |   Date: March 2026   |   *FY2025E revised post H1 2025 actuals (Revenue €474M, Net loss -€57.5M)</t>
  </si>
  <si>
    <t xml:space="preserve">  • H1 2025 net loss -€57.5M; FY2025E ~-€95M loss; recovery delayed</t>
  </si>
  <si>
    <t xml:space="preserve">  • ROIC -5.2% vs WACC 6.62% = -11.8% spread; deeply value-destructive</t>
  </si>
  <si>
    <t xml:space="preserve">  • Asia Pacific -18.5% H1 2025; wholesale -17.9%; no near-term recovery catalyst</t>
  </si>
  <si>
    <t xml:space="preserve">  • Morgan Stanley PT €5.50 Underweight; JPMorgan PT €4.60; 14-analyst avg €6.79</t>
  </si>
  <si>
    <t xml:space="preserve">  • FY2025 results (6 Mar 2026) confirm revenue stabilisation / H2 beat</t>
  </si>
  <si>
    <t xml:space="preserve">  • Impairment charges normalise; DTC margin improvement confirms operating leverage</t>
  </si>
  <si>
    <t xml:space="preserve">  • China/APAC recovery confirmed in H2 2025 vs -18.5% H1 2025 decline</t>
  </si>
  <si>
    <t xml:space="preserve">  • New brand campaigns ('L’appuntamento') drive DTC traffic/conversion above expectations</t>
  </si>
  <si>
    <t>Current Stock Price (Mar 2026): ~€6.69. Shares of Salvatore Ferragamo (SFER:IM) trade near the lower end of the YTD range having peaked at ~€8.71 in Jan 2026 before retreating. Market cap ~€1.11bn; EV ~€1.55bn. FY2025 PRELIMINARY revenues (Jan 27, 2026 press release): €977M (-5.7% at current FX, -3.8% at constant FX vs FY2024A €1,035M) — BETTER THAN FEARED; consensus had estimated €940–960M. Q4 2025 DTC +6.3% at constant FX, showing first channel recovery. H1 2025 actuals (Jul 31, 2025): revenues €474M (-9.4% YoY); EBITDA €73M (15.3% margin). H2 2025 implied revenue ~€503M, DTC recovering. TTM EBITDA ~€160M (19.1% margin). Next event: FY2025 Full-Year Results — 10 March 2026. Beta (2Y weekly): 0.83. HOLD consensus; avg 12-mth target range €5.04–€6.82 depending on source (14 analysts). Morgan Stanley PT €5.50 Underweight; JPMorgan PT €4.60.</t>
  </si>
  <si>
    <t>We maintain a HOLD/NEUTRAL rating with a CAUTIOUS UPGRADE WATCH. Current price ~€6.69 (Mar 2026) represents a 15.8% discount vs our Nov 2025 entry price of €7.94. FY2025 PRELIMINARY revenues €977M (announced Jan 27, 2026) came in ABOVE consensus (€940–960M), with Q4 2025 DTC turning positive (+6.3% cc) — the first channel recovery signal. H1 2025 EBIT -€44M (incl. €41M impairment); TTM EBITDA ~€160M (19.1% margin) implies H2 2025 EBITDA recovery to ~€87M. The economic spread (ROIC -5.2% vs WACC 6.62% = -11.8% spread) remains in negative territory but the trajectory is improving. Our blended intrinsic value €8.05 (50% FCFF, 25% P/E, 25% EV/EBITDA) implies +20.3% upside from ~€6.69. HOLD: The FY2025 revenue beat vs. consensus reduces tail risk materially. Monitor FY2025 full P&amp;L results (10 Mar 2026) for EBITDA confirmation. Analyst consensus: avg target €5.04–€6.82 (14 analysts, range €3.20–€10.00). MS PT €5.50 UW; JPMorgan PT €4.60. Risk/Reward: Asymmetric upside if FY2025 EBITDA confirms H2 recovery.</t>
  </si>
  <si>
    <t>Economic Net Debt / EBITDA peaked in 2025E at ~7.6x due to the H1 2025 EBITDA collapse (€73M; -38% YoY). However, FY2025 preliminary revenues of €977M (Jan 27, 2026) were better than feared, with H2 2025 implying an EBITDA recovery to ~€87M. TTM EBITDA is now ~€160M (19.1% margin), suggesting the economic leverage ratio peaked and is now deleveraging faster than originally modelled. The ratio is projected to decline to ~6.3x in FY2026E and ~5.4x in FY2027E as EBITDA margin normalises toward 20–22%. This trajectory is the central proof point of the turnaround thesis. Q4 2025 DTC turning positive (+6.3% cc) provides the first hard evidence of operational improvement.</t>
  </si>
  <si>
    <t>~€940–960M</t>
  </si>
  <si>
    <t>Next: FY2025 Full-Year Results — 10 Mar 2026</t>
  </si>
  <si>
    <t>Analyst Price Targets (Mar 2026): 14 analysts cover SFER:IM. Investing.com avg target: €5.04 (range €3.20–€7.00); TipRanks 4-analyst avg: €6.82 (high €8.07, low €4.90); eToro avg: €7.37. Consensus: HOLD. Morgan Stanley Underweight, PT €5.50 (lowered from €6.00). JPMorgan PT €4.60. Domestic analysts (Mediobanca/Equita) more constructive at €8.00–€9.00. At current ~€6.69, stock trades at a slight premium to the Investing.com consensus avg but below TipRanks/eToro avg. Wide dispersion in targets reflects deep uncertainty on turnaround pace. FY2025 prelim revenue beat (€977M vs. €940–960M est.) may trigger upward revisions. Source: Investing.com, TipRanks, eToro.</t>
  </si>
  <si>
    <t>IMPORTANT UPDATE (Mar 2026 — Post-Preliminary FY2025 Data): FY2025 PRELIMINARY revenues confirmed at €977M (Jan 27, 2026 press release), down 5.7% at current FX vs FY2024A €1,035M. This BEAT consensus of €940–960M by ~€17–37M and is better than our own revised -€950M estimate. Q4 2025 DTC turned positive (+6.3% cc) — first recovery signal. H2 2025 revenues ~€503M vs H1 €474M, showing H2 stabilisation. The CAGR 2024A–2030E is revised to ~3.2% (from 2.9%) given the better-than-expected FY2025 base. FY2025 is now confirmed as the trough year. Recovery to pre-decline revenue levels (€1.1bn+) is now expected by FY2027E. Key risk: wholesale channel remains structurally challenged. Upside catalyst: DTC recovery continuation and Asia-Pacific stabilisation in FY2026. Source: Ferragamo Preliminary FY2025 Revenue, Jan 27, 2026 (group.ferragamo.com/investor-relations).</t>
  </si>
  <si>
    <t>FY2025 PRELIMINARY REVENUES (Ferragamo Press Release, Jan 27, 2026)
REVENUE: €977M FY2025 (-5.7% YoY at current FX; -3.8% at constant FX vs FY2024A €1,035M). BEAT: consensus was €940–960M. Q4 2025: €282M (-2.0% cc, -3.2% current FX). Q4 DTC: +6.3% constant FX — FIRST POSITIVE DTC QUARTER since the decline began. Full H2 implied: ~€503M. DTC recovery accelerating into Q4. Wholesale remained negative FY.
H1 2025 OFFICIAL RESULTS (Jul 31, 2025):
REVENUE: €474M (-9.4% YoY; -7.1% constant FX). Q1: €221M (-2.6%); Q2: €253M (-14.6%). Wholesale -17.9%; DTC -6.5%. Asia Pacific -18.5%; EMEA -7.8%; N. America -3.9%; Latin America +11.6%. Footwear -15.5% to €202M; Leather Goods -2.2% to €199M (87% of revenues). EBITDA €73M (-38.1%; 15.3% margin). EBIT incl. €41M impairment: -€44M. Net loss: -€57.5M.
NEXT: FY2025 Full-Year Results — 10 March 2026. FY2025E est. net loss ~-€75M. Analyst consensus HOLD; avg target €5.04–€6.82.</t>
  </si>
  <si>
    <t>Financial Trend (2020–2024 Actuals + FY2025 Preliminary): Revenue recovered sharply in 2021/2022 to €1.25bn but declined three consecutive years through FY2025. FY2025 preliminary revenues confirmed at €977M (Jan 27, 2026), down 5.7% at current FX vs FY2024A €1,035M. This was better than the H1 2025 run-rate implied (~€940–960M consensus) by ~€17–37M. FY2025 is the trough year. Q4 2025 DTC turned positive (+6.3% cc), the first channel recovery signal. TTM EBITDA ~€160M (19.1% margin) vs H1-implied annualised €146M, confirming H2 improvement. Source: Ferragamo IR Jan 27, 2026 + H1 2025 PR Jul 31, 2025.</t>
  </si>
  <si>
    <t>Financial Trend: Revenue declined for three consecutive years: FY2023 €1,156M → FY2024 €1,035M (-10.5%) → FY2025 prelim €977M (-5.7%). Importantly, the rate of decline decelerated significantly from -10.5% to -5.7%, and Q4 2025 DTC turned positive (+6.3% cc). This is a key inflection signal for the turnaround. FY2025 is now confirmed as the trough revenue year. CAGR FY2024–FY2030E revised to ~3.2% (from 2.9%) given the better FY2025 base.</t>
  </si>
  <si>
    <t>FY2025 Prelim*</t>
  </si>
  <si>
    <t>While Ferragamo appears 'cheaper' than most peers on forward P/E, the FY2025 preliminary revenue beat (€977M vs €940–960M consensus) has improved the earnings trajectory. FY2025 is now the confirmed trough. TTM EV/EBITDA is ~9.7x based on TTM EBITDA ~€160M and EV ~€1.55bn — a significant improvement from the ~16x implied by H1-only annualisation. Q4 2025 DTC turning positive (+6.3% cc) reduces the bear case materially. Consensus avg target now €5.04–€6.82 (wide range) vs. current ~€6.69. The stock offers asymmetric upside if FY2025 full P&amp;L results (Mar 10, 2026) confirm H2 EBITDA recovery above €80M. Source: Ferragamo IR (Jan 2026 prelim), Investing.com, TipRanks.</t>
  </si>
  <si>
    <t>~€1.11bn</t>
  </si>
  <si>
    <t>~€1.55bn</t>
  </si>
  <si>
    <t>2025E*</t>
  </si>
  <si>
    <t>2027E</t>
  </si>
  <si>
    <t>2025P*</t>
  </si>
  <si>
    <t>—</t>
  </si>
  <si>
    <t xml:space="preserve">H1 2025 </t>
  </si>
  <si>
    <t xml:space="preserve">€977M </t>
  </si>
  <si>
    <t xml:space="preserve">Q4 2024 </t>
  </si>
  <si>
    <t xml:space="preserve">Q3 2024 </t>
  </si>
  <si>
    <t xml:space="preserve">€474M </t>
  </si>
  <si>
    <t>2025  Rev</t>
  </si>
  <si>
    <t>1.8–3.9%BEAT</t>
  </si>
  <si>
    <t xml:space="preserve">Stock performace </t>
  </si>
  <si>
    <t>STOCK FGSPA</t>
  </si>
  <si>
    <t>Income Statement Forecast (2024A–2030E) | *FY2025E</t>
  </si>
  <si>
    <t>SALVATORE FERRAGAMO S.P.A  (SFER:IM)  —  DATA SOURCES &amp; PROVENANCE</t>
  </si>
  <si>
    <t>Valuation Model — Last Updated: March 2026  •  All figures in EUR unless stated  •  Sources cross-verified against official Ferragamo IR, SEC-equivalent filings, and market data providers</t>
  </si>
  <si>
    <t>REF</t>
  </si>
  <si>
    <t>DATA ITEM / METRIC</t>
  </si>
  <si>
    <t>PERIOD / DATE</t>
  </si>
  <si>
    <t>SOURCE NAME</t>
  </si>
  <si>
    <t>URL / REFERENCE</t>
  </si>
  <si>
    <t>FINANCIAL STATEMENTS &amp; ACTUALS</t>
  </si>
  <si>
    <t>Ferragamo Group — Annual Reports (group.ferragamo.com)</t>
  </si>
  <si>
    <t>Financials</t>
  </si>
  <si>
    <t>https://group.ferragamo.com/en/investor-relations/financial-documents</t>
  </si>
  <si>
    <t>FY2025 Preliminary Revenues — €977M (-5.7% YoY)</t>
  </si>
  <si>
    <t>FY2025 Prelim</t>
  </si>
  <si>
    <t>Ferragamo IR — Preliminary FY2025 Revenue Press Release</t>
  </si>
  <si>
    <t>https://group.ferragamo.com/resource/blob/1163564/.../2026-01-27-press-release-preliminary-fy-2025-data.pdf</t>
  </si>
  <si>
    <t>H1 2025 Results — Revenue €474M, EBITDA €73M, Net Loss -€57.5M</t>
  </si>
  <si>
    <t>H1 2025</t>
  </si>
  <si>
    <t>Ferragamo IR — H1 2025 Press Release (Jul 31, 2025)</t>
  </si>
  <si>
    <t>https://group.ferragamo.com/resource/blob/1096648/.../2025-07-31-press-release-1h-2025-data.pdf</t>
  </si>
  <si>
    <t>FY2024A Results — Revenue €1,035M, EBITDA €215M, EBIT -€49M</t>
  </si>
  <si>
    <t>FY2024A</t>
  </si>
  <si>
    <t>Ferragamo IR — FY2024 Press Release (Mar 6, 2025)</t>
  </si>
  <si>
    <t>https://group.ferragamo.com/resource/blob/1079322/.../01-2025-03-06-press-release-fy-2024-data.pdf</t>
  </si>
  <si>
    <t>CAPEX (2024A) and D&amp;A (2024A)</t>
  </si>
  <si>
    <t>Ferragamo Annual Report 2024 — Cash Flow &amp; Income Statement</t>
  </si>
  <si>
    <t>https://group.ferragamo.com/en/investor-relations/financial-documents/financial-documents-2024</t>
  </si>
  <si>
    <t>MARKET DATA &amp; VALUATION INPUTS</t>
  </si>
  <si>
    <t>Current Share Price (Mar 2026)</t>
  </si>
  <si>
    <t>Borsa Italiana / TradingView / eToro (live)</t>
  </si>
  <si>
    <t>https://finance.yahoo.com/quote/SFER.MI  |  https://www.tradingview.com/symbols/MIL-SFER/</t>
  </si>
  <si>
    <t>52-Week Range (SFER:IM)</t>
  </si>
  <si>
    <t>2025–2026 YTD</t>
  </si>
  <si>
    <t>Investing.com / Borsa Italiana</t>
  </si>
  <si>
    <t>https://www.investing.com/equities/salvatore-ferragamo-italia-spa</t>
  </si>
  <si>
    <t>Market Capitalisation</t>
  </si>
  <si>
    <t>TradingView (168.79M shares × €6.69)</t>
  </si>
  <si>
    <t>https://www.tradingview.com/symbols/MIL-SFER/</t>
  </si>
  <si>
    <t>Banca d'Italia / TradingView (IT10Y)</t>
  </si>
  <si>
    <t>Damodaran — Implied ERP (NYU Stern)</t>
  </si>
  <si>
    <t>Cost of Debt (Pre-Tax) — Avg lease rate</t>
  </si>
  <si>
    <t>Ferragamo AR 2024 — Note on Lease Liabilities</t>
  </si>
  <si>
    <t>FORECAST ASSUMPTIONS</t>
  </si>
  <si>
    <t>Terminal Growth Rate (g)</t>
  </si>
  <si>
    <t>Analyst assumption — aligned to IMF Italy long-run GDP</t>
  </si>
  <si>
    <t>Internal / IMF Italy GDP forecast — https://www.imf.org/en/countries/ITA</t>
  </si>
  <si>
    <t>S-18</t>
  </si>
  <si>
    <t>Net Lease Liabilities (IFRS 16) — Total Economic Obligations</t>
  </si>
  <si>
    <t>Ferragamo AR 2024 — Balance Sheet / Lease Note</t>
  </si>
  <si>
    <t>S-19</t>
  </si>
  <si>
    <t>Revenue Growth Assumptions (FY2026E–FY2030E)</t>
  </si>
  <si>
    <t>FY2026E–FY2030E</t>
  </si>
  <si>
    <t>Analyst estimates — consensus + proprietary (Forecasts sheet)</t>
  </si>
  <si>
    <t>Internal — Forecasts sheet + analyst consensus (Investing.com)</t>
  </si>
  <si>
    <t>ANALYST CONSENSUS &amp; EXTERNAL RESEARCH</t>
  </si>
  <si>
    <t>S-21</t>
  </si>
  <si>
    <t>Analyst Consensus Price Target — 14 analysts (Investing.com)</t>
  </si>
  <si>
    <t>Investing.com (14 analysts, range €3.20–€7.00)</t>
  </si>
  <si>
    <t>Consensus</t>
  </si>
  <si>
    <t>https://www.investing.com/equities/salvatore-ferragamo-italia-spa-consensus-estimates</t>
  </si>
  <si>
    <t>S-22</t>
  </si>
  <si>
    <t>Analyst Consensus Price Target — 4 analysts (TipRanks)</t>
  </si>
  <si>
    <t>TipRanks (range €4.90–€8.07)</t>
  </si>
  <si>
    <t>https://www.tipranks.com/stocks/it:sfer/forecast</t>
  </si>
  <si>
    <t>S-23</t>
  </si>
  <si>
    <t>Morgan Stanley — Underweight, PT €5.50</t>
  </si>
  <si>
    <t>Morgan Stanley — Underweight rating (lowered from €6.00)</t>
  </si>
  <si>
    <t>S-24</t>
  </si>
  <si>
    <t>JPMorgan — Price Target €4.60</t>
  </si>
  <si>
    <t>JPMorgan Research</t>
  </si>
  <si>
    <t>S-25</t>
  </si>
  <si>
    <t>Peer Multiples (EV/EBITDA, P/E, P/B) — Luxury Sector</t>
  </si>
  <si>
    <t>FY2024/NTM</t>
  </si>
  <si>
    <t>https://finance.yahoo.com  |  Bloomberg Terminal  |  FactSet</t>
  </si>
  <si>
    <t>S-26</t>
  </si>
  <si>
    <t>Damodaran ERP — Italy Equity Risk Premium</t>
  </si>
  <si>
    <t>Damodaran Online — NYU Stern (Implied ERP)</t>
  </si>
  <si>
    <t>S-27</t>
  </si>
  <si>
    <t>Financial News — Risk Factors, APAC Demand, Macro Context</t>
  </si>
  <si>
    <t>2025–2026</t>
  </si>
  <si>
    <t>Reuters / FT / WSJ — Luxury sector commentary</t>
  </si>
  <si>
    <t>Context</t>
  </si>
  <si>
    <t>https://www.reuters.com  |  https://www.ft.com  |  https://www.wsj.com</t>
  </si>
  <si>
    <t>CATEGORY KEY</t>
  </si>
  <si>
    <t>Official company filings, annual/interim reports, press releases from group.ferragamo.com</t>
  </si>
  <si>
    <t>Live or recent market data (price, cap, EV) from exchanges and data providers</t>
  </si>
  <si>
    <t>Cost of equity / debt model inputs</t>
  </si>
  <si>
    <t>Qualitative macro / news context</t>
  </si>
  <si>
    <t xml:space="preserve"> DATA QUALITY &amp; DISCLAIMER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</si>
</sst>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43" formatCode="_ * #,##0.00_ ;_ * \-#,##0.00_ ;_ * &quot;-&quot;??_ ;_ @_ "/>
    <numFmt numFmtId="164" formatCode="_(&quot;$&quot;* #,##0.00_);_(&quot;$&quot;* \(#,##0.00\);_(&quot;$&quot;* &quot;-&quot;??_);_(@_)"/>
    <numFmt numFmtId="165" formatCode="_(&quot;$&quot;* #,##0.0_);_(&quot;$&quot;* \(#,##0.0\);_(&quot;$&quot;* &quot;-&quot;??_);_(@_)"/>
    <numFmt numFmtId="166" formatCode="_(* #,##0.00_);_(* \(#,##0.00\);_(* &quot;-&quot;??_);_(@_)"/>
    <numFmt numFmtId="167" formatCode="0.0%"/>
    <numFmt numFmtId="168" formatCode="#,##0.0"/>
    <numFmt numFmtId="169" formatCode="#,##0.000"/>
    <numFmt numFmtId="170" formatCode="_(* #,##0_);_(* \(#,##0\);_(* &quot;-&quot;_);_(@_)"/>
    <numFmt numFmtId="171" formatCode="0.0000%"/>
    <numFmt numFmtId="172" formatCode="0.000"/>
    <numFmt numFmtId="173" formatCode="0.000%"/>
    <numFmt numFmtId="174" formatCode="0.0"/>
    <numFmt numFmtId="175" formatCode="0_)"/>
    <numFmt numFmtId="176" formatCode="0.0_)"/>
    <numFmt numFmtId="177" formatCode="_(&quot;$&quot;* #,##0_);_(&quot;$&quot;* \(#,##0\);_(&quot;$&quot;* &quot;-&quot;_);_(@_)"/>
    <numFmt numFmtId="178" formatCode="#,##0.0_);\(#,##0.0\)"/>
    <numFmt numFmtId="179" formatCode="_(&quot;$&quot;* #,##0.000_);_(&quot;$&quot;* \(#,##0.000\);_(&quot;$&quot;* &quot;-&quot;??_);_(@_)"/>
    <numFmt numFmtId="180" formatCode="_(&quot;$&quot;* #,##0_);_(&quot;$&quot;* \(#,##0\);_(&quot;$&quot;* &quot;-&quot;??_);_(@_)"/>
    <numFmt numFmtId="181" formatCode="&quot;$&quot;#,##0.0"/>
    <numFmt numFmtId="182" formatCode="_ * #,##0.0_ ;_ * \-#,##0.0_ ;_ * &quot;-&quot;?_ ;_ @_ "/>
    <numFmt numFmtId="183" formatCode="_(* #,##0.0_);_(* \(#,##0.0\);_(* &quot;-&quot;?_);_(@_)"/>
    <numFmt numFmtId="184" formatCode="_(* #,##0.0_);_(* \(#,##0.0\);_(* &quot;-&quot;??_);_(@_)"/>
    <numFmt numFmtId="185" formatCode="_(* #,##0_);_(* \(#,##0\);_(* &quot;-&quot;??_);_(@_)"/>
    <numFmt numFmtId="186" formatCode="_(* #,##0.000_);_(* \(#,##0.000\);_(* &quot;-&quot;??_);_(@_)"/>
    <numFmt numFmtId="187" formatCode="0.0000"/>
    <numFmt numFmtId="188" formatCode="0.000_)"/>
    <numFmt numFmtId="189" formatCode="0.00_)"/>
    <numFmt numFmtId="190" formatCode="#,##0.0000000000"/>
    <numFmt numFmtId="191" formatCode="[$€-2]\ #,##0;[Red]\-[$€-2]\ #,##0"/>
    <numFmt numFmtId="192" formatCode="_([$$-409]* #,##0.00_);_([$$-409]* \(#,##0.00\);_([$$-409]* &quot;-&quot;??_);_(@_)"/>
    <numFmt numFmtId="193" formatCode="_-[$$-409]* #,##0.0_ ;_-[$$-409]* \-#,##0.0\ ;_-[$$-409]* &quot;-&quot;??_ ;_-@_ "/>
    <numFmt numFmtId="194" formatCode="[$€-2]\ #,##0.00;[Red]\-[$€-2]\ #,##0.00"/>
    <numFmt numFmtId="195" formatCode="_-* #,##0.00\ [$€-40C]_-;\-* #,##0.00\ [$€-40C]_-;_-* &quot;-&quot;??\ [$€-40C]_-;_-@_-"/>
    <numFmt numFmtId="196" formatCode="_-[$$-409]* #,##0_ ;_-[$$-409]* \-#,##0\ ;_-[$$-409]* &quot;-&quot;??_ ;_-@_ "/>
    <numFmt numFmtId="197" formatCode="_([$$-409]* #,##0.0_);_([$$-409]* \(#,##0.0\);_([$$-409]* &quot;-&quot;??_);_(@_)"/>
    <numFmt numFmtId="198" formatCode="yyyy&quot;A&quot;"/>
    <numFmt numFmtId="199" formatCode="yyyy&quot;E&quot;"/>
    <numFmt numFmtId="200" formatCode="0.00\ \x"/>
    <numFmt numFmtId="201" formatCode="0.0\x"/>
    <numFmt numFmtId="202" formatCode="0.0\ \x"/>
    <numFmt numFmtId="203" formatCode="mm/yy"/>
    <numFmt numFmtId="204" formatCode="m/yy"/>
    <numFmt numFmtId="205" formatCode="#,##0;\(#,##0\);\-"/>
  </numFmts>
  <fonts count="147">
    <font>
      <sz val="11"/>
      <color theme="1"/>
      <name val="Aptos Narrow"/>
      <family val="2"/>
      <scheme val="minor"/>
    </font>
    <font>
      <sz val="10"/>
      <name val="Arial"/>
      <family val="2"/>
    </font>
    <font>
      <b/>
      <sz val="10"/>
      <name val="Arial"/>
      <family val="2"/>
    </font>
    <font>
      <b/>
      <sz val="10"/>
      <color indexed="12"/>
      <name val="Arial"/>
      <family val="2"/>
    </font>
    <font>
      <sz val="10"/>
      <color indexed="12"/>
      <name val="Arial"/>
      <family val="2"/>
    </font>
    <font>
      <b/>
      <sz val="10"/>
      <color rgb="FF0000FF"/>
      <name val="Arial"/>
      <family val="2"/>
    </font>
    <font>
      <b/>
      <u/>
      <sz val="10"/>
      <name val="Arial"/>
      <family val="2"/>
    </font>
    <font>
      <b/>
      <i/>
      <sz val="10"/>
      <color indexed="12"/>
      <name val="Arial"/>
      <family val="2"/>
    </font>
    <font>
      <sz val="10"/>
      <color indexed="10"/>
      <name val="Arial"/>
      <family val="2"/>
    </font>
    <font>
      <sz val="8"/>
      <name val="Arial"/>
      <family val="2"/>
    </font>
    <font>
      <sz val="7"/>
      <name val="Arial"/>
      <family val="2"/>
    </font>
    <font>
      <b/>
      <sz val="8"/>
      <name val="Arial"/>
      <family val="2"/>
    </font>
    <font>
      <b/>
      <vertAlign val="superscript"/>
      <sz val="8"/>
      <name val="Arial"/>
      <family val="2"/>
    </font>
    <font>
      <sz val="10"/>
      <color indexed="48"/>
      <name val="Arial"/>
      <family val="2"/>
    </font>
    <font>
      <b/>
      <sz val="10"/>
      <color indexed="17"/>
      <name val="Arial"/>
      <family val="2"/>
    </font>
    <font>
      <b/>
      <i/>
      <u/>
      <sz val="10"/>
      <name val="Arial"/>
      <family val="2"/>
    </font>
    <font>
      <b/>
      <i/>
      <sz val="10"/>
      <name val="Arial"/>
      <family val="2"/>
    </font>
    <font>
      <sz val="11"/>
      <color theme="1"/>
      <name val="Aptos Narrow"/>
      <family val="2"/>
      <scheme val="minor"/>
    </font>
    <font>
      <b/>
      <sz val="11"/>
      <color theme="0"/>
      <name val="Aptos Narrow"/>
      <family val="2"/>
      <scheme val="minor"/>
    </font>
    <font>
      <sz val="10"/>
      <color theme="0"/>
      <name val="Arial"/>
      <family val="2"/>
    </font>
    <font>
      <b/>
      <sz val="10"/>
      <color theme="0"/>
      <name val="Arial"/>
      <family val="2"/>
    </font>
    <font>
      <b/>
      <sz val="9"/>
      <name val="Helvetica Neue"/>
    </font>
    <font>
      <sz val="9"/>
      <name val="Arial"/>
      <family val="2"/>
    </font>
    <font>
      <b/>
      <sz val="9"/>
      <name val="Arial"/>
      <family val="2"/>
    </font>
    <font>
      <sz val="9"/>
      <name val="Helvetica Neue"/>
    </font>
    <font>
      <b/>
      <sz val="11"/>
      <name val="Aptos Narrow"/>
      <family val="2"/>
      <scheme val="minor"/>
    </font>
    <font>
      <sz val="12"/>
      <name val="Arial"/>
      <family val="2"/>
    </font>
    <font>
      <b/>
      <sz val="12"/>
      <color theme="0"/>
      <name val="Arial"/>
      <family val="2"/>
    </font>
    <font>
      <i/>
      <sz val="8"/>
      <name val="Arial"/>
      <family val="2"/>
    </font>
    <font>
      <b/>
      <sz val="11"/>
      <name val="Helvetica Neue"/>
    </font>
    <font>
      <b/>
      <sz val="11"/>
      <color theme="1"/>
      <name val="Aptos Narrow"/>
      <family val="2"/>
      <scheme val="minor"/>
    </font>
    <font>
      <sz val="10"/>
      <color theme="1"/>
      <name val="Arial"/>
      <family val="2"/>
    </font>
    <font>
      <b/>
      <sz val="10"/>
      <color rgb="FF380000"/>
      <name val="Arial"/>
      <family val="2"/>
    </font>
    <font>
      <sz val="10"/>
      <color rgb="FF380000"/>
      <name val="Arial"/>
      <family val="2"/>
    </font>
    <font>
      <sz val="8"/>
      <color rgb="FF380000"/>
      <name val="Arial"/>
      <family val="2"/>
    </font>
    <font>
      <b/>
      <sz val="12"/>
      <color theme="0"/>
      <name val="Helvetica Neue"/>
      <family val="2"/>
    </font>
    <font>
      <sz val="9"/>
      <name val="Helvetica Neue"/>
      <family val="2"/>
    </font>
    <font>
      <b/>
      <sz val="15"/>
      <color theme="0"/>
      <name val="Aptos Narrow"/>
      <family val="2"/>
      <scheme val="minor"/>
    </font>
    <font>
      <b/>
      <sz val="14"/>
      <name val="Helvetica Neue"/>
      <family val="2"/>
    </font>
    <font>
      <b/>
      <sz val="15"/>
      <color theme="0"/>
      <name val="Helvetica Neue"/>
      <family val="2"/>
    </font>
    <font>
      <b/>
      <sz val="15"/>
      <name val="Helvetica Neue"/>
      <family val="2"/>
    </font>
    <font>
      <sz val="9"/>
      <color theme="1"/>
      <name val="Helvetica Neue"/>
      <family val="2"/>
    </font>
    <font>
      <sz val="10"/>
      <color theme="0"/>
      <name val="Aptos Narrow"/>
      <family val="2"/>
      <scheme val="minor"/>
    </font>
    <font>
      <sz val="10"/>
      <color theme="0"/>
      <name val="Helvetica Neue"/>
      <family val="2"/>
    </font>
    <font>
      <b/>
      <sz val="12"/>
      <color theme="1"/>
      <name val="Helvetica Neue"/>
      <family val="2"/>
    </font>
    <font>
      <sz val="9"/>
      <name val="Aptos Narrow"/>
      <family val="2"/>
      <scheme val="minor"/>
    </font>
    <font>
      <sz val="10"/>
      <name val="Aptos Narrow"/>
      <family val="2"/>
      <scheme val="minor"/>
    </font>
    <font>
      <b/>
      <sz val="9"/>
      <name val="Helvetica Neue"/>
      <family val="2"/>
    </font>
    <font>
      <sz val="10"/>
      <name val="Helvetica Neue"/>
      <family val="2"/>
    </font>
    <font>
      <b/>
      <u/>
      <sz val="9"/>
      <name val="Helvetica Neue"/>
      <family val="2"/>
    </font>
    <font>
      <sz val="9"/>
      <color theme="0"/>
      <name val="Helvetica Neue"/>
      <family val="2"/>
    </font>
    <font>
      <b/>
      <sz val="10"/>
      <name val="Helvetica Neue"/>
      <family val="2"/>
    </font>
    <font>
      <b/>
      <sz val="9"/>
      <color theme="1"/>
      <name val="Helvetica Neue"/>
      <family val="2"/>
    </font>
    <font>
      <sz val="9"/>
      <color rgb="FF111111"/>
      <name val="Helvetica Neue"/>
      <family val="2"/>
    </font>
    <font>
      <sz val="12"/>
      <color theme="1"/>
      <name val="Calibri"/>
      <family val="2"/>
    </font>
    <font>
      <b/>
      <u/>
      <sz val="8"/>
      <color theme="1"/>
      <name val="Calibri"/>
      <family val="2"/>
    </font>
    <font>
      <b/>
      <sz val="8"/>
      <color theme="1"/>
      <name val="Calibri"/>
      <family val="2"/>
    </font>
    <font>
      <i/>
      <sz val="9"/>
      <name val="Helvetica Neue"/>
      <family val="2"/>
    </font>
    <font>
      <sz val="8"/>
      <color theme="1"/>
      <name val="Calibri"/>
      <family val="2"/>
    </font>
    <font>
      <i/>
      <sz val="9"/>
      <color theme="0"/>
      <name val="Helvetica Neue"/>
      <family val="2"/>
    </font>
    <font>
      <b/>
      <u/>
      <sz val="8"/>
      <color theme="1"/>
      <name val="Helvetica Neue"/>
      <family val="2"/>
    </font>
    <font>
      <u/>
      <sz val="9"/>
      <name val="Helvetica Neue"/>
      <family val="2"/>
    </font>
    <font>
      <b/>
      <u/>
      <sz val="8"/>
      <color theme="0"/>
      <name val="Calibri"/>
      <family val="2"/>
    </font>
    <font>
      <b/>
      <sz val="8"/>
      <name val="Helvetica Neue"/>
      <family val="2"/>
    </font>
    <font>
      <sz val="8"/>
      <name val="Helvetica Neue"/>
      <family val="2"/>
    </font>
    <font>
      <u/>
      <sz val="10"/>
      <color indexed="12"/>
      <name val="Arial"/>
      <family val="2"/>
    </font>
    <font>
      <u/>
      <sz val="8"/>
      <color indexed="12"/>
      <name val="Helvetica Neue"/>
      <family val="2"/>
    </font>
    <font>
      <sz val="9"/>
      <color rgb="FF333333"/>
      <name val="Inherit"/>
    </font>
    <font>
      <b/>
      <i/>
      <sz val="9"/>
      <name val="Helvetica Neue"/>
      <family val="2"/>
    </font>
    <font>
      <sz val="9"/>
      <name val="Helvetica"/>
      <family val="2"/>
    </font>
    <font>
      <b/>
      <sz val="8"/>
      <color theme="0"/>
      <name val="Helvetica Neue"/>
      <family val="2"/>
    </font>
    <font>
      <sz val="8"/>
      <color theme="0"/>
      <name val="Helvetica Neue"/>
      <family val="2"/>
    </font>
    <font>
      <i/>
      <sz val="7"/>
      <name val="Helvetica Neue"/>
      <family val="2"/>
    </font>
    <font>
      <b/>
      <sz val="11"/>
      <color theme="0"/>
      <name val="Helvetica Neue"/>
    </font>
    <font>
      <b/>
      <sz val="8.5"/>
      <name val="Helvetica Neue"/>
      <family val="2"/>
    </font>
    <font>
      <sz val="8.5"/>
      <name val="Helvetica Neue"/>
      <family val="2"/>
    </font>
    <font>
      <b/>
      <sz val="18"/>
      <color theme="1"/>
      <name val="Aptos Narrow"/>
      <family val="2"/>
      <scheme val="minor"/>
    </font>
    <font>
      <sz val="9"/>
      <color theme="7" tint="0.79998168889431442"/>
      <name val="Helvetica Neue"/>
      <family val="2"/>
    </font>
    <font>
      <sz val="8.6999999999999993"/>
      <name val="Helvetica Neue"/>
    </font>
    <font>
      <b/>
      <sz val="8.6999999999999993"/>
      <name val="Helvetica Neue"/>
    </font>
    <font>
      <b/>
      <sz val="9"/>
      <color rgb="FFFFFFFF"/>
      <name val="Calibri"/>
    </font>
    <font>
      <b/>
      <sz val="9"/>
      <color rgb="FF7F6000"/>
      <name val="Calibri"/>
    </font>
    <font>
      <b/>
      <sz val="9"/>
      <color rgb="FF1F3864"/>
      <name val="Calibri"/>
    </font>
    <font>
      <b/>
      <sz val="14"/>
      <color rgb="FFFFFFFF"/>
      <name val="Calibri"/>
    </font>
    <font>
      <sz val="9"/>
      <color rgb="FF1A1A2E"/>
      <name val="Calibri"/>
    </font>
    <font>
      <sz val="8"/>
      <color rgb="FF1A1A2E"/>
      <name val="Calibri"/>
    </font>
    <font>
      <sz val="9"/>
      <color theme="1"/>
      <name val="Calibri"/>
    </font>
    <font>
      <i/>
      <sz val="8"/>
      <color rgb="FF595959"/>
      <name val="Calibri"/>
    </font>
    <font>
      <b/>
      <sz val="9"/>
      <color rgb="FF006400"/>
      <name val="Calibri"/>
    </font>
    <font>
      <b/>
      <sz val="10"/>
      <color rgb="FF7F6000"/>
      <name val="Calibri"/>
    </font>
    <font>
      <sz val="9"/>
      <color rgb="FF0070C0"/>
      <name val="Calibri"/>
      <family val="2"/>
    </font>
    <font>
      <b/>
      <sz val="9"/>
      <color rgb="FF0070C0"/>
      <name val="Calibri"/>
      <family val="2"/>
    </font>
    <font>
      <sz val="11"/>
      <color rgb="FF0070C0"/>
      <name val="Aptos Narrow"/>
      <family val="2"/>
      <scheme val="minor"/>
    </font>
    <font>
      <b/>
      <sz val="9"/>
      <name val="Calibri"/>
      <family val="2"/>
    </font>
    <font>
      <i/>
      <sz val="8"/>
      <name val="Helvetica Neue"/>
      <family val="2"/>
    </font>
    <font>
      <b/>
      <sz val="10"/>
      <color rgb="FF000000"/>
      <name val="Arial"/>
      <family val="2"/>
    </font>
    <font>
      <sz val="9"/>
      <color theme="1"/>
      <name val="Aptos Narrow"/>
      <family val="2"/>
      <scheme val="minor"/>
    </font>
    <font>
      <b/>
      <sz val="9"/>
      <color rgb="FF000000"/>
      <name val="Calibri"/>
    </font>
    <font>
      <b/>
      <sz val="9"/>
      <color theme="1"/>
      <name val="Aptos Narrow"/>
      <family val="2"/>
      <scheme val="minor"/>
    </font>
    <font>
      <b/>
      <sz val="9"/>
      <color rgb="FFFFFFFF"/>
      <name val="Arial"/>
      <family val="2"/>
    </font>
    <font>
      <b/>
      <sz val="9"/>
      <color rgb="FF7F4C00"/>
      <name val="Arial"/>
      <family val="2"/>
    </font>
    <font>
      <b/>
      <sz val="10"/>
      <color rgb="FFFFFFFF"/>
      <name val="Arial"/>
    </font>
    <font>
      <b/>
      <sz val="12"/>
      <color rgb="FFFFFFFF"/>
      <name val="Arial"/>
    </font>
    <font>
      <i/>
      <sz val="9"/>
      <color rgb="FF666666"/>
      <name val="Arial"/>
    </font>
    <font>
      <sz val="9"/>
      <color theme="1"/>
      <name val="Arial"/>
    </font>
    <font>
      <b/>
      <sz val="9"/>
      <color theme="1"/>
      <name val="Arial"/>
    </font>
    <font>
      <sz val="8"/>
      <color rgb="FF666666"/>
      <name val="Aptos Narrow"/>
      <family val="2"/>
      <scheme val="minor"/>
    </font>
    <font>
      <sz val="9"/>
      <color rgb="FF999999"/>
      <name val="Aptos Narrow"/>
      <family val="2"/>
      <scheme val="minor"/>
    </font>
    <font>
      <b/>
      <sz val="10"/>
      <color theme="0"/>
      <name val="Aptos Narrow"/>
      <family val="2"/>
      <scheme val="minor"/>
    </font>
    <font>
      <b/>
      <sz val="10"/>
      <color rgb="FF000000"/>
      <name val="Arial"/>
    </font>
    <font>
      <sz val="10"/>
      <color rgb="FF000000"/>
      <name val="Arial"/>
      <family val="2"/>
    </font>
    <font>
      <b/>
      <sz val="9"/>
      <color rgb="FF000000"/>
      <name val="Arial"/>
      <family val="2"/>
    </font>
    <font>
      <b/>
      <sz val="11"/>
      <color rgb="FF000000"/>
      <name val="Aptos Narrow"/>
      <family val="2"/>
      <scheme val="minor"/>
    </font>
    <font>
      <sz val="9"/>
      <color rgb="FF000000"/>
      <name val="Calibri"/>
    </font>
    <font>
      <b/>
      <sz val="9"/>
      <color rgb="FF000000"/>
      <name val="Calibri"/>
      <family val="2"/>
    </font>
    <font>
      <sz val="9"/>
      <color rgb="FF000000"/>
      <name val="Calibri"/>
      <family val="2"/>
    </font>
    <font>
      <b/>
      <i/>
      <sz val="8"/>
      <color rgb="FF000000"/>
      <name val="Calibri"/>
    </font>
    <font>
      <sz val="8"/>
      <color rgb="FF000000"/>
      <name val="Arial"/>
      <family val="2"/>
    </font>
    <font>
      <b/>
      <sz val="9"/>
      <color rgb="FF000000"/>
      <name val="Helvetica Neue"/>
    </font>
    <font>
      <b/>
      <sz val="10"/>
      <color theme="1"/>
      <name val="Arial"/>
      <family val="2"/>
    </font>
    <font>
      <sz val="9"/>
      <color rgb="FF000000"/>
      <name val="Helvetica Neue"/>
    </font>
    <font>
      <sz val="8"/>
      <color rgb="FF000000"/>
      <name val="Helvetica Neue"/>
    </font>
    <font>
      <b/>
      <sz val="8"/>
      <color rgb="FF00B050"/>
      <name val="Helvetica Neue"/>
    </font>
    <font>
      <sz val="8"/>
      <color rgb="FFFF0000"/>
      <name val="Helvetica Neue"/>
    </font>
    <font>
      <b/>
      <sz val="8"/>
      <color rgb="FF000000"/>
      <name val="Helvetica Neue"/>
    </font>
    <font>
      <b/>
      <sz val="9"/>
      <color rgb="FFFFFFFF"/>
      <name val="Helvetica Neue"/>
    </font>
    <font>
      <i/>
      <sz val="7"/>
      <color rgb="FF666666"/>
      <name val="Helvetica Neue"/>
    </font>
    <font>
      <b/>
      <sz val="8"/>
      <color rgb="FFE97132"/>
      <name val="Helvetica Neue"/>
    </font>
    <font>
      <b/>
      <sz val="8"/>
      <color rgb="FF1F3864"/>
      <name val="Helvetica Neue"/>
    </font>
    <font>
      <b/>
      <sz val="8"/>
      <color rgb="FFC0392B"/>
      <name val="Helvetica Neue"/>
    </font>
    <font>
      <b/>
      <sz val="8"/>
      <color rgb="FF17A589"/>
      <name val="Helvetica Neue"/>
    </font>
    <font>
      <b/>
      <sz val="8"/>
      <color rgb="FF8E44AD"/>
      <name val="Helvetica Neue"/>
    </font>
    <font>
      <b/>
      <sz val="8"/>
      <color rgb="FF27AE60"/>
      <name val="Helvetica Neue"/>
    </font>
    <font>
      <sz val="8"/>
      <color theme="1"/>
      <name val="Aptos Narrow"/>
      <family val="2"/>
      <scheme val="minor"/>
    </font>
    <font>
      <sz val="8"/>
      <color rgb="FFFF0000"/>
      <name val="Aptos Narrow"/>
      <family val="2"/>
      <scheme val="minor"/>
    </font>
    <font>
      <b/>
      <sz val="9"/>
      <color rgb="FFC0392B"/>
      <name val="Helvetica Neue"/>
    </font>
    <font>
      <sz val="9"/>
      <color rgb="FFC0392B"/>
      <name val="Helvetica Neue"/>
      <family val="2"/>
    </font>
    <font>
      <sz val="9"/>
      <color rgb="FFC0392B"/>
      <name val="Helvetica Neue"/>
    </font>
    <font>
      <b/>
      <sz val="13"/>
      <color rgb="FFFFFFFF"/>
      <name val="Helvetica Neue"/>
    </font>
    <font>
      <i/>
      <sz val="8"/>
      <color rgb="FFFFFFFF"/>
      <name val="Helvetica Neue"/>
    </font>
    <font>
      <b/>
      <sz val="8"/>
      <color rgb="FFFFFFFF"/>
      <name val="Helvetica Neue"/>
    </font>
    <font>
      <sz val="8"/>
      <color theme="1"/>
      <name val="Helvetica Neue"/>
    </font>
    <font>
      <sz val="7"/>
      <color rgb="FF0563C1"/>
      <name val="Helvetica Neue"/>
    </font>
    <font>
      <sz val="7"/>
      <color rgb="FF555555"/>
      <name val="Helvetica Neue"/>
    </font>
    <font>
      <sz val="7"/>
      <color rgb="FF6A0DAD"/>
      <name val="Helvetica Neue"/>
    </font>
    <font>
      <sz val="7"/>
      <color rgb="FF17A589"/>
      <name val="Helvetica Neue"/>
    </font>
    <font>
      <b/>
      <sz val="8"/>
      <color rgb="FF7B3F00"/>
      <name val="Helvetica Neue"/>
    </font>
  </fonts>
  <fills count="54">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indexed="42"/>
        <bgColor indexed="64"/>
      </patternFill>
    </fill>
    <fill>
      <patternFill patternType="solid">
        <fgColor indexed="9"/>
        <bgColor indexed="64"/>
      </patternFill>
    </fill>
    <fill>
      <patternFill patternType="solid">
        <fgColor indexed="43"/>
        <bgColor indexed="64"/>
      </patternFill>
    </fill>
    <fill>
      <patternFill patternType="solid">
        <fgColor rgb="FFCCFFCC"/>
        <bgColor indexed="64"/>
      </patternFill>
    </fill>
    <fill>
      <patternFill patternType="solid">
        <fgColor indexed="47"/>
        <bgColor indexed="64"/>
      </patternFill>
    </fill>
    <fill>
      <patternFill patternType="solid">
        <fgColor theme="2"/>
        <bgColor indexed="64"/>
      </patternFill>
    </fill>
    <fill>
      <patternFill patternType="solid">
        <fgColor indexed="43"/>
        <bgColor indexed="9"/>
      </patternFill>
    </fill>
    <fill>
      <patternFill patternType="solid">
        <fgColor indexed="13"/>
        <bgColor indexed="64"/>
      </patternFill>
    </fill>
    <fill>
      <patternFill patternType="solid">
        <fgColor indexed="9"/>
        <bgColor indexed="9"/>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CC"/>
        <bgColor indexed="64"/>
      </patternFill>
    </fill>
    <fill>
      <patternFill patternType="solid">
        <fgColor theme="1"/>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3" tint="-0.499984740745262"/>
        <bgColor indexed="64"/>
      </patternFill>
    </fill>
    <fill>
      <patternFill patternType="solid">
        <fgColor theme="5"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rgb="FF1F3864"/>
        <bgColor indexed="64"/>
      </patternFill>
    </fill>
    <fill>
      <patternFill patternType="solid">
        <fgColor rgb="FFEBF0F7"/>
        <bgColor indexed="64"/>
      </patternFill>
    </fill>
    <fill>
      <patternFill patternType="solid">
        <fgColor rgb="FFF5F5F5"/>
        <bgColor indexed="64"/>
      </patternFill>
    </fill>
    <fill>
      <patternFill patternType="solid">
        <fgColor rgb="FF2E5090"/>
        <bgColor indexed="64"/>
      </patternFill>
    </fill>
    <fill>
      <patternFill patternType="solid">
        <fgColor rgb="FFD9E2F3"/>
        <bgColor indexed="64"/>
      </patternFill>
    </fill>
    <fill>
      <patternFill patternType="solid">
        <fgColor rgb="FFC8F0C8"/>
        <bgColor indexed="64"/>
      </patternFill>
    </fill>
    <fill>
      <patternFill patternType="solid">
        <fgColor rgb="FFFFD5C8"/>
        <bgColor indexed="64"/>
      </patternFill>
    </fill>
    <fill>
      <patternFill patternType="solid">
        <fgColor rgb="FFFF0000"/>
        <bgColor indexed="64"/>
      </patternFill>
    </fill>
    <fill>
      <patternFill patternType="solid">
        <fgColor rgb="FFFFD700"/>
        <bgColor indexed="64"/>
      </patternFill>
    </fill>
    <fill>
      <patternFill patternType="solid">
        <fgColor rgb="FFFFF3CD"/>
        <bgColor indexed="64"/>
      </patternFill>
    </fill>
    <fill>
      <patternFill patternType="solid">
        <fgColor rgb="FF003366"/>
        <bgColor indexed="64"/>
      </patternFill>
    </fill>
    <fill>
      <patternFill patternType="solid">
        <fgColor rgb="FF1F4E79"/>
        <bgColor indexed="64"/>
      </patternFill>
    </fill>
    <fill>
      <patternFill patternType="solid">
        <fgColor rgb="FFF7C7AC"/>
        <bgColor indexed="64"/>
      </patternFill>
    </fill>
    <fill>
      <patternFill patternType="solid">
        <fgColor rgb="FFFFFFFF"/>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2F2F2"/>
        <bgColor indexed="64"/>
      </patternFill>
    </fill>
    <fill>
      <patternFill patternType="solid">
        <fgColor rgb="FFFFF3E0"/>
        <bgColor indexed="64"/>
      </patternFill>
    </fill>
    <fill>
      <patternFill patternType="solid">
        <fgColor rgb="FFEBF0FA"/>
        <bgColor indexed="64"/>
      </patternFill>
    </fill>
    <fill>
      <patternFill patternType="solid">
        <fgColor rgb="FF6A0DAD"/>
        <bgColor indexed="64"/>
      </patternFill>
    </fill>
    <fill>
      <patternFill patternType="solid">
        <fgColor rgb="FFFFF8F0"/>
        <bgColor indexed="64"/>
      </patternFill>
    </fill>
    <fill>
      <patternFill patternType="solid">
        <fgColor rgb="FFE8F8F5"/>
        <bgColor indexed="64"/>
      </patternFill>
    </fill>
    <fill>
      <patternFill patternType="solid">
        <fgColor rgb="FF17A589"/>
        <bgColor indexed="64"/>
      </patternFill>
    </fill>
    <fill>
      <patternFill patternType="solid">
        <fgColor rgb="FF555555"/>
        <bgColor indexed="64"/>
      </patternFill>
    </fill>
    <fill>
      <patternFill patternType="solid">
        <fgColor rgb="FFE8F5E9"/>
        <bgColor indexed="64"/>
      </patternFill>
    </fill>
    <fill>
      <patternFill patternType="solid">
        <fgColor rgb="FFF5F0FF"/>
        <bgColor indexed="64"/>
      </patternFill>
    </fill>
    <fill>
      <patternFill patternType="solid">
        <fgColor rgb="FFEEEEEE"/>
        <bgColor indexed="64"/>
      </patternFill>
    </fill>
  </fills>
  <borders count="9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bottom/>
      <diagonal/>
    </border>
    <border>
      <left/>
      <right/>
      <top style="thin">
        <color indexed="64"/>
      </top>
      <bottom style="double">
        <color indexed="64"/>
      </bottom>
      <diagonal/>
    </border>
    <border>
      <left/>
      <right/>
      <top style="thin">
        <color indexed="64"/>
      </top>
      <bottom/>
      <diagonal/>
    </border>
    <border>
      <left style="medium">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top style="double">
        <color indexed="64"/>
      </top>
      <bottom style="thin">
        <color indexed="64"/>
      </bottom>
      <diagonal/>
    </border>
    <border>
      <left/>
      <right style="medium">
        <color indexed="64"/>
      </right>
      <top style="thin">
        <color indexed="64"/>
      </top>
      <bottom style="double">
        <color indexed="64"/>
      </bottom>
      <diagonal/>
    </border>
    <border>
      <left/>
      <right style="medium">
        <color indexed="64"/>
      </right>
      <top style="medium">
        <color indexed="64"/>
      </top>
      <bottom/>
      <diagonal/>
    </border>
    <border>
      <left/>
      <right/>
      <top/>
      <bottom style="double">
        <color indexed="64"/>
      </bottom>
      <diagonal/>
    </border>
    <border>
      <left/>
      <right/>
      <top style="double">
        <color indexed="64"/>
      </top>
      <bottom/>
      <diagonal/>
    </border>
    <border>
      <left/>
      <right style="double">
        <color indexed="64"/>
      </right>
      <top/>
      <bottom style="double">
        <color indexed="64"/>
      </bottom>
      <diagonal/>
    </border>
    <border>
      <left style="double">
        <color indexed="64"/>
      </left>
      <right/>
      <top/>
      <bottom style="double">
        <color indexed="64"/>
      </bottom>
      <diagonal/>
    </border>
    <border>
      <left/>
      <right style="double">
        <color indexed="64"/>
      </right>
      <top/>
      <bottom/>
      <diagonal/>
    </border>
    <border>
      <left style="double">
        <color indexed="64"/>
      </left>
      <right/>
      <top/>
      <bottom/>
      <diagonal/>
    </border>
    <border>
      <left style="double">
        <color indexed="64"/>
      </left>
      <right style="double">
        <color indexed="64"/>
      </right>
      <top/>
      <bottom/>
      <diagonal/>
    </border>
    <border>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right style="double">
        <color indexed="64"/>
      </right>
      <top style="double">
        <color indexed="64"/>
      </top>
      <bottom style="thin">
        <color indexed="64"/>
      </bottom>
      <diagonal/>
    </border>
    <border>
      <left style="double">
        <color indexed="64"/>
      </left>
      <right/>
      <top style="double">
        <color indexed="64"/>
      </top>
      <bottom/>
      <diagonal/>
    </border>
    <border>
      <left/>
      <right style="thin">
        <color indexed="64"/>
      </right>
      <top style="thin">
        <color indexed="64"/>
      </top>
      <bottom/>
      <diagonal/>
    </border>
    <border>
      <left/>
      <right style="double">
        <color indexed="64"/>
      </right>
      <top/>
      <bottom style="thin">
        <color indexed="64"/>
      </bottom>
      <diagonal/>
    </border>
    <border>
      <left/>
      <right style="double">
        <color indexed="64"/>
      </right>
      <top style="thin">
        <color indexed="64"/>
      </top>
      <bottom/>
      <diagonal/>
    </border>
    <border>
      <left style="double">
        <color indexed="64"/>
      </left>
      <right/>
      <top style="thin">
        <color indexed="64"/>
      </top>
      <bottom/>
      <diagonal/>
    </border>
    <border>
      <left/>
      <right style="double">
        <color indexed="64"/>
      </right>
      <top style="double">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double">
        <color indexed="64"/>
      </bottom>
      <diagonal/>
    </border>
    <border>
      <left style="double">
        <color indexed="64"/>
      </left>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1"/>
      </bottom>
      <diagonal/>
    </border>
    <border>
      <left style="thin">
        <color theme="1"/>
      </left>
      <right/>
      <top/>
      <bottom/>
      <diagonal/>
    </border>
    <border>
      <left/>
      <right/>
      <top style="thin">
        <color theme="1"/>
      </top>
      <bottom/>
      <diagonal/>
    </border>
    <border>
      <left style="thin">
        <color theme="1"/>
      </left>
      <right/>
      <top style="thin">
        <color theme="1"/>
      </top>
      <bottom/>
      <diagonal/>
    </border>
    <border>
      <left style="thin">
        <color indexed="64"/>
      </left>
      <right style="medium">
        <color theme="1"/>
      </right>
      <top style="thin">
        <color indexed="64"/>
      </top>
      <bottom style="medium">
        <color theme="1"/>
      </bottom>
      <diagonal/>
    </border>
    <border>
      <left/>
      <right style="thin">
        <color indexed="64"/>
      </right>
      <top style="thin">
        <color indexed="64"/>
      </top>
      <bottom style="medium">
        <color theme="1"/>
      </bottom>
      <diagonal/>
    </border>
    <border>
      <left/>
      <right/>
      <top style="thin">
        <color indexed="64"/>
      </top>
      <bottom style="medium">
        <color theme="1"/>
      </bottom>
      <diagonal/>
    </border>
    <border>
      <left style="medium">
        <color theme="1"/>
      </left>
      <right/>
      <top style="thin">
        <color indexed="64"/>
      </top>
      <bottom style="medium">
        <color theme="1"/>
      </bottom>
      <diagonal/>
    </border>
    <border>
      <left style="thin">
        <color indexed="64"/>
      </left>
      <right style="medium">
        <color theme="1"/>
      </right>
      <top style="thin">
        <color indexed="64"/>
      </top>
      <bottom style="thin">
        <color indexed="64"/>
      </bottom>
      <diagonal/>
    </border>
    <border>
      <left style="medium">
        <color theme="1"/>
      </left>
      <right/>
      <top/>
      <bottom style="thin">
        <color indexed="64"/>
      </bottom>
      <diagonal/>
    </border>
    <border>
      <left style="medium">
        <color theme="1"/>
      </left>
      <right/>
      <top/>
      <bottom/>
      <diagonal/>
    </border>
    <border>
      <left style="medium">
        <color theme="1"/>
      </left>
      <right/>
      <top style="thin">
        <color indexed="64"/>
      </top>
      <bottom/>
      <diagonal/>
    </border>
    <border>
      <left/>
      <right style="medium">
        <color theme="1"/>
      </right>
      <top style="medium">
        <color theme="1"/>
      </top>
      <bottom style="thin">
        <color indexed="64"/>
      </bottom>
      <diagonal/>
    </border>
    <border>
      <left/>
      <right/>
      <top style="medium">
        <color theme="1"/>
      </top>
      <bottom style="thin">
        <color indexed="64"/>
      </bottom>
      <diagonal/>
    </border>
    <border>
      <left style="medium">
        <color theme="1"/>
      </left>
      <right/>
      <top style="medium">
        <color theme="1"/>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rgb="FFCCCCCC"/>
      </left>
      <right style="medium">
        <color rgb="FFCCCCCC"/>
      </right>
      <top style="medium">
        <color rgb="FFCCCCCC"/>
      </top>
      <bottom style="medium">
        <color rgb="FFCCCCCC"/>
      </bottom>
      <diagonal/>
    </border>
    <border>
      <left style="thin">
        <color theme="0"/>
      </left>
      <right/>
      <top/>
      <bottom/>
      <diagonal/>
    </border>
    <border>
      <left/>
      <right/>
      <top style="thin">
        <color rgb="FF000000"/>
      </top>
      <bottom/>
      <diagonal/>
    </border>
    <border>
      <left/>
      <right/>
      <top style="thin">
        <color rgb="FFE97132"/>
      </top>
      <bottom/>
      <diagonal/>
    </border>
    <border>
      <left/>
      <right/>
      <top style="thin">
        <color rgb="FFCCCCCC"/>
      </top>
      <bottom/>
      <diagonal/>
    </border>
    <border>
      <left/>
      <right/>
      <top style="thin">
        <color rgb="FFE97132"/>
      </top>
      <bottom style="thin">
        <color rgb="FFE97132"/>
      </bottom>
      <diagonal/>
    </border>
    <border>
      <left/>
      <right/>
      <top style="thin">
        <color rgb="FFCCCCCC"/>
      </top>
      <bottom style="thin">
        <color rgb="FFE97132"/>
      </bottom>
      <diagonal/>
    </border>
    <border>
      <left/>
      <right/>
      <top style="thin">
        <color rgb="FF1F3864"/>
      </top>
      <bottom/>
      <diagonal/>
    </border>
    <border>
      <left style="thin">
        <color rgb="FF1F3864"/>
      </left>
      <right/>
      <top style="thin">
        <color rgb="FF1F3864"/>
      </top>
      <bottom/>
      <diagonal/>
    </border>
    <border>
      <left style="thin">
        <color rgb="FF1F3864"/>
      </left>
      <right/>
      <top style="thin">
        <color rgb="FFE97132"/>
      </top>
      <bottom style="thin">
        <color rgb="FFE97132"/>
      </bottom>
      <diagonal/>
    </border>
    <border>
      <left style="thin">
        <color rgb="FF1F3864"/>
      </left>
      <right/>
      <top/>
      <bottom/>
      <diagonal/>
    </border>
    <border>
      <left style="thin">
        <color rgb="FF1F3864"/>
      </left>
      <right/>
      <top style="thin">
        <color rgb="FFCCCCCC"/>
      </top>
      <bottom/>
      <diagonal/>
    </border>
    <border>
      <left style="thin">
        <color rgb="FF1F3864"/>
      </left>
      <right/>
      <top style="thin">
        <color rgb="FFCCCCCC"/>
      </top>
      <bottom style="thin">
        <color rgb="FFE97132"/>
      </bottom>
      <diagonal/>
    </border>
    <border>
      <left/>
      <right style="thin">
        <color rgb="FF1F3864"/>
      </right>
      <top style="thin">
        <color rgb="FF1F3864"/>
      </top>
      <bottom/>
      <diagonal/>
    </border>
    <border>
      <left/>
      <right style="thin">
        <color rgb="FF1F3864"/>
      </right>
      <top style="thin">
        <color rgb="FFE97132"/>
      </top>
      <bottom style="thin">
        <color rgb="FFE97132"/>
      </bottom>
      <diagonal/>
    </border>
    <border>
      <left/>
      <right style="thin">
        <color rgb="FF1F3864"/>
      </right>
      <top/>
      <bottom/>
      <diagonal/>
    </border>
    <border>
      <left/>
      <right style="thin">
        <color rgb="FF1F3864"/>
      </right>
      <top style="thin">
        <color rgb="FFCCCCCC"/>
      </top>
      <bottom/>
      <diagonal/>
    </border>
    <border>
      <left/>
      <right style="thin">
        <color rgb="FF1F3864"/>
      </right>
      <top style="thin">
        <color rgb="FFCCCCCC"/>
      </top>
      <bottom style="thin">
        <color rgb="FFE97132"/>
      </bottom>
      <diagonal/>
    </border>
    <border>
      <left/>
      <right style="thin">
        <color rgb="FF1F3864"/>
      </right>
      <top/>
      <bottom style="thin">
        <color rgb="FF1F3864"/>
      </bottom>
      <diagonal/>
    </border>
  </borders>
  <cellStyleXfs count="27">
    <xf numFmtId="0" fontId="0" fillId="0" borderId="0"/>
    <xf numFmtId="0" fontId="1" fillId="0" borderId="0"/>
    <xf numFmtId="164" fontId="1" fillId="0" borderId="0" applyFont="0" applyFill="0" applyBorder="0" applyAlignment="0" applyProtection="0"/>
    <xf numFmtId="166"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66"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6"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0" fontId="1" fillId="0" borderId="0"/>
    <xf numFmtId="9" fontId="1" fillId="0" borderId="0" applyFont="0" applyFill="0" applyBorder="0" applyAlignment="0" applyProtection="0"/>
    <xf numFmtId="0" fontId="54" fillId="0" borderId="0"/>
    <xf numFmtId="0" fontId="65" fillId="0" borderId="0" applyNumberFormat="0" applyFill="0" applyBorder="0" applyAlignment="0" applyProtection="0">
      <alignment vertical="top"/>
      <protection locked="0"/>
    </xf>
  </cellStyleXfs>
  <cellXfs count="1240">
    <xf numFmtId="0" fontId="0" fillId="0" borderId="0" xfId="0"/>
    <xf numFmtId="3" fontId="1" fillId="0" borderId="1" xfId="1" applyNumberFormat="1" applyBorder="1"/>
    <xf numFmtId="3" fontId="1" fillId="2" borderId="1" xfId="1" applyNumberFormat="1" applyFill="1" applyBorder="1" applyProtection="1">
      <protection hidden="1"/>
    </xf>
    <xf numFmtId="3" fontId="2" fillId="2" borderId="1" xfId="1" applyNumberFormat="1" applyFont="1" applyFill="1" applyBorder="1" applyProtection="1">
      <protection hidden="1"/>
    </xf>
    <xf numFmtId="3" fontId="1" fillId="0" borderId="1" xfId="1" applyNumberFormat="1" applyBorder="1" applyProtection="1">
      <protection locked="0"/>
    </xf>
    <xf numFmtId="3" fontId="1" fillId="3" borderId="1" xfId="1" applyNumberFormat="1" applyFill="1" applyBorder="1" applyProtection="1">
      <protection locked="0"/>
    </xf>
    <xf numFmtId="3" fontId="1" fillId="3" borderId="1" xfId="1" applyNumberFormat="1" applyFill="1" applyBorder="1"/>
    <xf numFmtId="0" fontId="1" fillId="0" borderId="0" xfId="1"/>
    <xf numFmtId="3" fontId="1" fillId="0" borderId="0" xfId="1" applyNumberFormat="1"/>
    <xf numFmtId="3" fontId="1" fillId="0" borderId="1" xfId="1" applyNumberFormat="1" applyBorder="1" applyAlignment="1">
      <alignment wrapText="1"/>
    </xf>
    <xf numFmtId="1" fontId="2" fillId="0" borderId="1" xfId="1" applyNumberFormat="1" applyFont="1" applyBorder="1" applyProtection="1">
      <protection locked="0"/>
    </xf>
    <xf numFmtId="1" fontId="2" fillId="3" borderId="1" xfId="1" applyNumberFormat="1" applyFont="1" applyFill="1" applyBorder="1" applyProtection="1">
      <protection locked="0"/>
    </xf>
    <xf numFmtId="3" fontId="2" fillId="0" borderId="1" xfId="1" applyNumberFormat="1" applyFont="1" applyBorder="1"/>
    <xf numFmtId="3" fontId="2" fillId="2" borderId="1" xfId="1" applyNumberFormat="1" applyFont="1" applyFill="1" applyBorder="1" applyProtection="1">
      <protection locked="0"/>
    </xf>
    <xf numFmtId="3" fontId="2" fillId="2" borderId="1" xfId="1" applyNumberFormat="1" applyFont="1" applyFill="1" applyBorder="1"/>
    <xf numFmtId="4" fontId="1" fillId="0" borderId="1" xfId="1" applyNumberFormat="1" applyBorder="1" applyProtection="1">
      <protection locked="0"/>
    </xf>
    <xf numFmtId="3" fontId="3" fillId="4" borderId="1" xfId="1" applyNumberFormat="1" applyFont="1" applyFill="1" applyBorder="1" applyProtection="1">
      <protection locked="0"/>
    </xf>
    <xf numFmtId="3" fontId="3" fillId="3" borderId="1" xfId="1" applyNumberFormat="1" applyFont="1" applyFill="1" applyBorder="1" applyProtection="1">
      <protection locked="0"/>
    </xf>
    <xf numFmtId="3" fontId="3" fillId="4" borderId="1" xfId="1" applyNumberFormat="1" applyFont="1" applyFill="1" applyBorder="1"/>
    <xf numFmtId="3" fontId="3" fillId="3" borderId="1" xfId="1" applyNumberFormat="1" applyFont="1" applyFill="1" applyBorder="1"/>
    <xf numFmtId="0" fontId="1" fillId="0" borderId="1" xfId="1" applyBorder="1"/>
    <xf numFmtId="0" fontId="1" fillId="3" borderId="1" xfId="1" applyFill="1" applyBorder="1"/>
    <xf numFmtId="168" fontId="3" fillId="4" borderId="1" xfId="1" applyNumberFormat="1" applyFont="1" applyFill="1" applyBorder="1"/>
    <xf numFmtId="169" fontId="1" fillId="0" borderId="1" xfId="1" applyNumberFormat="1" applyBorder="1"/>
    <xf numFmtId="168" fontId="3" fillId="3" borderId="1" xfId="1" applyNumberFormat="1" applyFont="1" applyFill="1" applyBorder="1"/>
    <xf numFmtId="1" fontId="3" fillId="4" borderId="1" xfId="1" applyNumberFormat="1" applyFont="1" applyFill="1" applyBorder="1" applyProtection="1">
      <protection locked="0"/>
    </xf>
    <xf numFmtId="3" fontId="2" fillId="6" borderId="1" xfId="1" applyNumberFormat="1" applyFont="1" applyFill="1" applyBorder="1"/>
    <xf numFmtId="3" fontId="4" fillId="4" borderId="2" xfId="1" applyNumberFormat="1" applyFont="1" applyFill="1" applyBorder="1" applyProtection="1">
      <protection locked="0"/>
    </xf>
    <xf numFmtId="3" fontId="4" fillId="4" borderId="3" xfId="1" applyNumberFormat="1" applyFont="1" applyFill="1" applyBorder="1" applyProtection="1">
      <protection locked="0"/>
    </xf>
    <xf numFmtId="3" fontId="3" fillId="4" borderId="4" xfId="1" applyNumberFormat="1" applyFont="1" applyFill="1" applyBorder="1" applyProtection="1">
      <protection locked="0"/>
    </xf>
    <xf numFmtId="3" fontId="1" fillId="0" borderId="5" xfId="1" applyNumberFormat="1" applyBorder="1"/>
    <xf numFmtId="3" fontId="2" fillId="0" borderId="0" xfId="1" applyNumberFormat="1" applyFont="1"/>
    <xf numFmtId="0" fontId="1" fillId="0" borderId="0" xfId="1" applyAlignment="1">
      <alignment horizontal="right"/>
    </xf>
    <xf numFmtId="0" fontId="2" fillId="0" borderId="0" xfId="1" applyFont="1"/>
    <xf numFmtId="0" fontId="2" fillId="0" borderId="5" xfId="1" applyFont="1" applyBorder="1" applyAlignment="1">
      <alignment horizontal="right"/>
    </xf>
    <xf numFmtId="0" fontId="2" fillId="0" borderId="5" xfId="1" applyFont="1" applyBorder="1"/>
    <xf numFmtId="0" fontId="2" fillId="4" borderId="3" xfId="1" applyFont="1" applyFill="1" applyBorder="1"/>
    <xf numFmtId="170" fontId="2" fillId="4" borderId="3" xfId="1" applyNumberFormat="1" applyFont="1" applyFill="1" applyBorder="1"/>
    <xf numFmtId="0" fontId="2" fillId="4" borderId="4" xfId="1" applyFont="1" applyFill="1" applyBorder="1"/>
    <xf numFmtId="170" fontId="2" fillId="6" borderId="3" xfId="1" applyNumberFormat="1" applyFont="1" applyFill="1" applyBorder="1"/>
    <xf numFmtId="0" fontId="2" fillId="6" borderId="3" xfId="1" applyFont="1" applyFill="1" applyBorder="1"/>
    <xf numFmtId="0" fontId="2" fillId="6" borderId="4" xfId="1" applyFont="1" applyFill="1" applyBorder="1"/>
    <xf numFmtId="172" fontId="2" fillId="0" borderId="3" xfId="1" applyNumberFormat="1" applyFont="1" applyBorder="1"/>
    <xf numFmtId="0" fontId="2" fillId="0" borderId="0" xfId="1" applyFont="1" applyAlignment="1">
      <alignment horizontal="right"/>
    </xf>
    <xf numFmtId="172" fontId="1" fillId="0" borderId="0" xfId="1" applyNumberFormat="1"/>
    <xf numFmtId="0" fontId="2" fillId="0" borderId="0" xfId="1" applyFont="1" applyAlignment="1">
      <alignment horizontal="right" wrapText="1"/>
    </xf>
    <xf numFmtId="170" fontId="2" fillId="0" borderId="0" xfId="1" applyNumberFormat="1" applyFont="1"/>
    <xf numFmtId="0" fontId="2" fillId="0" borderId="14" xfId="1" applyFont="1" applyBorder="1"/>
    <xf numFmtId="0" fontId="6" fillId="0" borderId="0" xfId="1" applyFont="1" applyAlignment="1">
      <alignment horizontal="center"/>
    </xf>
    <xf numFmtId="165" fontId="2" fillId="7" borderId="0" xfId="1" applyNumberFormat="1" applyFont="1" applyFill="1"/>
    <xf numFmtId="174" fontId="2" fillId="0" borderId="0" xfId="1" applyNumberFormat="1" applyFont="1"/>
    <xf numFmtId="174" fontId="3" fillId="0" borderId="0" xfId="1" applyNumberFormat="1" applyFont="1"/>
    <xf numFmtId="174" fontId="1" fillId="0" borderId="0" xfId="1" applyNumberFormat="1"/>
    <xf numFmtId="0" fontId="7" fillId="0" borderId="0" xfId="1" applyFont="1"/>
    <xf numFmtId="175" fontId="3" fillId="0" borderId="0" xfId="1" applyNumberFormat="1" applyFont="1"/>
    <xf numFmtId="176" fontId="1" fillId="0" borderId="0" xfId="1" applyNumberFormat="1"/>
    <xf numFmtId="1" fontId="3" fillId="0" borderId="0" xfId="1" applyNumberFormat="1" applyFont="1"/>
    <xf numFmtId="176" fontId="2" fillId="0" borderId="0" xfId="1" applyNumberFormat="1" applyFont="1"/>
    <xf numFmtId="177" fontId="2" fillId="0" borderId="0" xfId="1" applyNumberFormat="1" applyFont="1"/>
    <xf numFmtId="3" fontId="2" fillId="0" borderId="5" xfId="1" applyNumberFormat="1" applyFont="1" applyBorder="1"/>
    <xf numFmtId="178" fontId="2" fillId="7" borderId="0" xfId="1" applyNumberFormat="1" applyFont="1" applyFill="1"/>
    <xf numFmtId="0" fontId="2" fillId="0" borderId="0" xfId="1" applyFont="1" applyAlignment="1">
      <alignment horizontal="left"/>
    </xf>
    <xf numFmtId="168" fontId="2" fillId="7" borderId="0" xfId="1" applyNumberFormat="1" applyFont="1" applyFill="1"/>
    <xf numFmtId="9" fontId="3" fillId="0" borderId="0" xfId="1" applyNumberFormat="1" applyFont="1"/>
    <xf numFmtId="167" fontId="2" fillId="0" borderId="0" xfId="1" applyNumberFormat="1" applyFont="1"/>
    <xf numFmtId="167" fontId="3" fillId="0" borderId="0" xfId="1" applyNumberFormat="1" applyFont="1"/>
    <xf numFmtId="167" fontId="2" fillId="4" borderId="0" xfId="1" applyNumberFormat="1" applyFont="1" applyFill="1"/>
    <xf numFmtId="3" fontId="3" fillId="0" borderId="0" xfId="1" applyNumberFormat="1" applyFont="1"/>
    <xf numFmtId="3" fontId="2" fillId="0" borderId="0" xfId="1" applyNumberFormat="1" applyFont="1" applyAlignment="1">
      <alignment horizontal="right"/>
    </xf>
    <xf numFmtId="43" fontId="1" fillId="0" borderId="0" xfId="1" applyNumberFormat="1"/>
    <xf numFmtId="165" fontId="1" fillId="0" borderId="0" xfId="1" applyNumberFormat="1"/>
    <xf numFmtId="0" fontId="2" fillId="0" borderId="0" xfId="1" applyFont="1" applyAlignment="1">
      <alignment horizontal="center"/>
    </xf>
    <xf numFmtId="182" fontId="2" fillId="0" borderId="0" xfId="1" applyNumberFormat="1" applyFont="1"/>
    <xf numFmtId="0" fontId="2" fillId="7" borderId="3" xfId="1" applyFont="1" applyFill="1" applyBorder="1"/>
    <xf numFmtId="0" fontId="1" fillId="6" borderId="3" xfId="1" applyFill="1" applyBorder="1"/>
    <xf numFmtId="183" fontId="1" fillId="0" borderId="0" xfId="1" applyNumberFormat="1"/>
    <xf numFmtId="167" fontId="4" fillId="0" borderId="0" xfId="1" applyNumberFormat="1" applyFont="1"/>
    <xf numFmtId="0" fontId="1" fillId="4" borderId="5" xfId="1" applyFill="1" applyBorder="1"/>
    <xf numFmtId="0" fontId="2" fillId="4" borderId="5" xfId="1" applyFont="1" applyFill="1" applyBorder="1"/>
    <xf numFmtId="0" fontId="1" fillId="6" borderId="5" xfId="1" applyFill="1" applyBorder="1"/>
    <xf numFmtId="0" fontId="2" fillId="6" borderId="5" xfId="1" applyFont="1" applyFill="1" applyBorder="1"/>
    <xf numFmtId="0" fontId="1" fillId="0" borderId="3" xfId="1" applyBorder="1"/>
    <xf numFmtId="0" fontId="1" fillId="6" borderId="16" xfId="1" applyFill="1" applyBorder="1"/>
    <xf numFmtId="3" fontId="2" fillId="6" borderId="4" xfId="1" applyNumberFormat="1" applyFont="1" applyFill="1" applyBorder="1" applyProtection="1">
      <protection locked="0"/>
    </xf>
    <xf numFmtId="0" fontId="2" fillId="6" borderId="17" xfId="1" applyFont="1" applyFill="1" applyBorder="1"/>
    <xf numFmtId="3" fontId="3" fillId="4" borderId="1" xfId="11" applyNumberFormat="1" applyFont="1" applyFill="1" applyBorder="1" applyProtection="1">
      <protection locked="0"/>
    </xf>
    <xf numFmtId="168" fontId="3" fillId="3" borderId="1" xfId="11" applyNumberFormat="1" applyFont="1" applyFill="1" applyBorder="1" applyProtection="1">
      <protection locked="0"/>
    </xf>
    <xf numFmtId="168" fontId="3" fillId="4" borderId="1" xfId="11" applyNumberFormat="1" applyFont="1" applyFill="1" applyBorder="1" applyProtection="1">
      <protection locked="0"/>
    </xf>
    <xf numFmtId="3" fontId="3" fillId="3" borderId="1" xfId="11" applyNumberFormat="1" applyFont="1" applyFill="1" applyBorder="1" applyProtection="1">
      <protection locked="0"/>
    </xf>
    <xf numFmtId="167" fontId="1" fillId="0" borderId="1" xfId="12" applyNumberFormat="1" applyFont="1" applyBorder="1"/>
    <xf numFmtId="3" fontId="3" fillId="5" borderId="1" xfId="11" applyNumberFormat="1" applyFont="1" applyFill="1" applyBorder="1" applyProtection="1">
      <protection locked="0"/>
    </xf>
    <xf numFmtId="3" fontId="2" fillId="2" borderId="1" xfId="11" applyNumberFormat="1" applyFont="1" applyFill="1" applyBorder="1" applyProtection="1">
      <protection locked="0"/>
    </xf>
    <xf numFmtId="167" fontId="3" fillId="3" borderId="1" xfId="12" applyNumberFormat="1" applyFont="1" applyFill="1" applyBorder="1" applyProtection="1">
      <protection locked="0"/>
    </xf>
    <xf numFmtId="167" fontId="2" fillId="3" borderId="1" xfId="12" applyNumberFormat="1" applyFont="1" applyFill="1" applyBorder="1" applyProtection="1">
      <protection locked="0"/>
    </xf>
    <xf numFmtId="167" fontId="2" fillId="0" borderId="1" xfId="12" applyNumberFormat="1" applyFont="1" applyFill="1" applyBorder="1" applyProtection="1">
      <protection locked="0"/>
    </xf>
    <xf numFmtId="3" fontId="2" fillId="3" borderId="1" xfId="11" applyNumberFormat="1" applyFont="1" applyFill="1" applyBorder="1" applyProtection="1">
      <protection locked="0"/>
    </xf>
    <xf numFmtId="3" fontId="2" fillId="0" borderId="1" xfId="11" applyNumberFormat="1" applyFont="1" applyFill="1" applyBorder="1" applyProtection="1">
      <protection locked="0"/>
    </xf>
    <xf numFmtId="4" fontId="3" fillId="4" borderId="1" xfId="11" applyNumberFormat="1" applyFont="1" applyFill="1" applyBorder="1" applyProtection="1">
      <protection locked="0"/>
    </xf>
    <xf numFmtId="165" fontId="1" fillId="0" borderId="1" xfId="13" applyNumberFormat="1" applyFont="1" applyBorder="1"/>
    <xf numFmtId="0" fontId="1" fillId="2" borderId="1" xfId="1" applyFill="1" applyBorder="1" applyProtection="1">
      <protection hidden="1"/>
    </xf>
    <xf numFmtId="165" fontId="2" fillId="0" borderId="0" xfId="13" applyNumberFormat="1" applyFont="1" applyBorder="1"/>
    <xf numFmtId="165" fontId="2" fillId="7" borderId="0" xfId="13" applyNumberFormat="1" applyFont="1" applyFill="1"/>
    <xf numFmtId="168" fontId="2" fillId="0" borderId="0" xfId="11" applyNumberFormat="1" applyFont="1" applyBorder="1"/>
    <xf numFmtId="165" fontId="2" fillId="9" borderId="15" xfId="13" applyNumberFormat="1" applyFont="1" applyFill="1" applyBorder="1"/>
    <xf numFmtId="165" fontId="2" fillId="7" borderId="15" xfId="13" applyNumberFormat="1" applyFont="1" applyFill="1" applyBorder="1"/>
    <xf numFmtId="185" fontId="2" fillId="0" borderId="0" xfId="11" applyNumberFormat="1" applyFont="1" applyFill="1" applyBorder="1" applyAlignment="1" applyProtection="1">
      <alignment horizontal="right"/>
    </xf>
    <xf numFmtId="167" fontId="1" fillId="0" borderId="0" xfId="12" applyNumberFormat="1" applyFont="1"/>
    <xf numFmtId="0" fontId="2" fillId="8" borderId="0" xfId="14" applyFont="1" applyFill="1"/>
    <xf numFmtId="0" fontId="2" fillId="8" borderId="0" xfId="14" applyFont="1" applyFill="1" applyAlignment="1">
      <alignment horizontal="center"/>
    </xf>
    <xf numFmtId="0" fontId="2" fillId="4" borderId="4" xfId="14" applyFont="1" applyFill="1" applyBorder="1"/>
    <xf numFmtId="0" fontId="2" fillId="4" borderId="3" xfId="14" applyFont="1" applyFill="1" applyBorder="1"/>
    <xf numFmtId="0" fontId="2" fillId="0" borderId="5" xfId="14" applyFont="1" applyBorder="1"/>
    <xf numFmtId="0" fontId="2" fillId="0" borderId="5" xfId="14" applyFont="1" applyBorder="1" applyAlignment="1">
      <alignment horizontal="right"/>
    </xf>
    <xf numFmtId="0" fontId="2" fillId="0" borderId="0" xfId="14" applyFont="1"/>
    <xf numFmtId="0" fontId="2" fillId="0" borderId="0" xfId="14" applyFont="1" applyAlignment="1">
      <alignment horizontal="center"/>
    </xf>
    <xf numFmtId="165" fontId="2" fillId="8" borderId="0" xfId="13" applyNumberFormat="1" applyFont="1" applyFill="1"/>
    <xf numFmtId="165" fontId="2" fillId="4" borderId="0" xfId="13" applyNumberFormat="1" applyFont="1" applyFill="1" applyBorder="1"/>
    <xf numFmtId="0" fontId="2" fillId="0" borderId="0" xfId="14" applyFont="1" applyAlignment="1">
      <alignment horizontal="right"/>
    </xf>
    <xf numFmtId="167" fontId="2" fillId="0" borderId="0" xfId="12" applyNumberFormat="1" applyFont="1" applyBorder="1" applyAlignment="1">
      <alignment horizontal="right"/>
    </xf>
    <xf numFmtId="167" fontId="3" fillId="0" borderId="0" xfId="15" applyNumberFormat="1" applyFont="1"/>
    <xf numFmtId="167" fontId="2" fillId="0" borderId="0" xfId="14" applyNumberFormat="1" applyFont="1" applyAlignment="1">
      <alignment horizontal="center"/>
    </xf>
    <xf numFmtId="167" fontId="2" fillId="0" borderId="0" xfId="15" applyNumberFormat="1" applyFont="1"/>
    <xf numFmtId="9" fontId="3" fillId="0" borderId="0" xfId="14" applyNumberFormat="1" applyFont="1"/>
    <xf numFmtId="168" fontId="2" fillId="0" borderId="0" xfId="16" applyNumberFormat="1" applyFont="1" applyFill="1" applyBorder="1" applyAlignment="1">
      <alignment horizontal="center"/>
    </xf>
    <xf numFmtId="168" fontId="2" fillId="0" borderId="0" xfId="16" applyNumberFormat="1" applyFont="1"/>
    <xf numFmtId="168" fontId="2" fillId="0" borderId="0" xfId="14" applyNumberFormat="1" applyFont="1"/>
    <xf numFmtId="0" fontId="2" fillId="9" borderId="0" xfId="14" applyFont="1" applyFill="1"/>
    <xf numFmtId="165" fontId="2" fillId="8" borderId="3" xfId="13" applyNumberFormat="1" applyFont="1" applyFill="1" applyBorder="1"/>
    <xf numFmtId="165" fontId="2" fillId="4" borderId="3" xfId="13" applyNumberFormat="1" applyFont="1" applyFill="1" applyBorder="1"/>
    <xf numFmtId="184" fontId="2" fillId="0" borderId="0" xfId="16" applyNumberFormat="1" applyFont="1" applyFill="1" applyBorder="1" applyAlignment="1">
      <alignment horizontal="right"/>
    </xf>
    <xf numFmtId="0" fontId="1" fillId="0" borderId="0" xfId="14"/>
    <xf numFmtId="167" fontId="1" fillId="0" borderId="0" xfId="12" applyNumberFormat="1" applyFont="1" applyFill="1" applyBorder="1"/>
    <xf numFmtId="167" fontId="4" fillId="0" borderId="0" xfId="12" applyNumberFormat="1" applyFont="1" applyFill="1" applyBorder="1"/>
    <xf numFmtId="165" fontId="2" fillId="0" borderId="0" xfId="13" applyNumberFormat="1" applyFont="1" applyFill="1" applyBorder="1" applyAlignment="1">
      <alignment horizontal="right"/>
    </xf>
    <xf numFmtId="165" fontId="2" fillId="0" borderId="0" xfId="13" applyNumberFormat="1" applyFont="1" applyFill="1" applyBorder="1"/>
    <xf numFmtId="181" fontId="2" fillId="0" borderId="0" xfId="13" applyNumberFormat="1" applyFont="1" applyFill="1" applyBorder="1"/>
    <xf numFmtId="3" fontId="2" fillId="0" borderId="0" xfId="11" applyNumberFormat="1" applyFont="1" applyFill="1" applyBorder="1"/>
    <xf numFmtId="165" fontId="2" fillId="0" borderId="3" xfId="13" applyNumberFormat="1" applyFont="1" applyFill="1" applyBorder="1" applyAlignment="1">
      <alignment horizontal="right"/>
    </xf>
    <xf numFmtId="165" fontId="3" fillId="4" borderId="3" xfId="13" applyNumberFormat="1" applyFont="1" applyFill="1" applyBorder="1"/>
    <xf numFmtId="180" fontId="3" fillId="0" borderId="0" xfId="13" applyNumberFormat="1" applyFont="1" applyFill="1" applyBorder="1"/>
    <xf numFmtId="165" fontId="3" fillId="0" borderId="0" xfId="13" applyNumberFormat="1" applyFont="1" applyFill="1" applyBorder="1"/>
    <xf numFmtId="179" fontId="2" fillId="0" borderId="0" xfId="13" applyNumberFormat="1" applyFont="1" applyFill="1" applyBorder="1"/>
    <xf numFmtId="167" fontId="2" fillId="0" borderId="0" xfId="12" applyNumberFormat="1" applyFont="1" applyFill="1" applyBorder="1"/>
    <xf numFmtId="1" fontId="2" fillId="0" borderId="0" xfId="11" applyNumberFormat="1" applyFont="1" applyFill="1" applyBorder="1"/>
    <xf numFmtId="165" fontId="2" fillId="0" borderId="3" xfId="13" applyNumberFormat="1" applyFont="1" applyBorder="1" applyProtection="1"/>
    <xf numFmtId="165" fontId="2" fillId="7" borderId="3" xfId="13" applyNumberFormat="1" applyFont="1" applyFill="1" applyBorder="1" applyProtection="1"/>
    <xf numFmtId="165" fontId="2" fillId="7" borderId="0" xfId="13" applyNumberFormat="1" applyFont="1" applyFill="1" applyProtection="1"/>
    <xf numFmtId="165" fontId="2" fillId="0" borderId="0" xfId="13" applyNumberFormat="1" applyFont="1"/>
    <xf numFmtId="165" fontId="2" fillId="7" borderId="3" xfId="13" applyNumberFormat="1" applyFont="1" applyFill="1" applyBorder="1"/>
    <xf numFmtId="165" fontId="0" fillId="0" borderId="0" xfId="13" applyNumberFormat="1" applyFont="1"/>
    <xf numFmtId="173" fontId="0" fillId="0" borderId="0" xfId="12" applyNumberFormat="1" applyFont="1"/>
    <xf numFmtId="171" fontId="0" fillId="0" borderId="0" xfId="12" applyNumberFormat="1" applyFont="1"/>
    <xf numFmtId="165" fontId="2" fillId="0" borderId="3" xfId="13" applyNumberFormat="1" applyFont="1" applyBorder="1"/>
    <xf numFmtId="171" fontId="2" fillId="0" borderId="3" xfId="12" applyNumberFormat="1" applyFont="1" applyBorder="1"/>
    <xf numFmtId="171" fontId="3" fillId="4" borderId="1" xfId="12" applyNumberFormat="1" applyFont="1" applyFill="1" applyBorder="1"/>
    <xf numFmtId="165" fontId="2" fillId="0" borderId="3" xfId="13" applyNumberFormat="1" applyFont="1" applyBorder="1" applyAlignment="1">
      <alignment horizontal="right"/>
    </xf>
    <xf numFmtId="165" fontId="5" fillId="7" borderId="3" xfId="13" applyNumberFormat="1" applyFont="1" applyFill="1" applyBorder="1" applyAlignment="1">
      <alignment horizontal="right"/>
    </xf>
    <xf numFmtId="167" fontId="1" fillId="0" borderId="0" xfId="12" applyNumberFormat="1" applyFont="1" applyBorder="1" applyAlignment="1">
      <alignment horizontal="right"/>
    </xf>
    <xf numFmtId="0" fontId="1" fillId="0" borderId="25" xfId="14" applyBorder="1"/>
    <xf numFmtId="3" fontId="2" fillId="0" borderId="0" xfId="14" applyNumberFormat="1" applyFont="1"/>
    <xf numFmtId="0" fontId="2" fillId="6" borderId="30" xfId="14" applyFont="1" applyFill="1" applyBorder="1"/>
    <xf numFmtId="0" fontId="2" fillId="6" borderId="25" xfId="14" applyFont="1" applyFill="1" applyBorder="1"/>
    <xf numFmtId="0" fontId="2" fillId="6" borderId="12" xfId="14" applyFont="1" applyFill="1" applyBorder="1"/>
    <xf numFmtId="3" fontId="1" fillId="0" borderId="0" xfId="14" applyNumberFormat="1"/>
    <xf numFmtId="0" fontId="2" fillId="6" borderId="29" xfId="14" applyFont="1" applyFill="1" applyBorder="1"/>
    <xf numFmtId="0" fontId="2" fillId="6" borderId="28" xfId="14" applyFont="1" applyFill="1" applyBorder="1"/>
    <xf numFmtId="0" fontId="1" fillId="6" borderId="28" xfId="14" applyFill="1" applyBorder="1"/>
    <xf numFmtId="0" fontId="1" fillId="6" borderId="27" xfId="14" applyFill="1" applyBorder="1"/>
    <xf numFmtId="0" fontId="1" fillId="0" borderId="5" xfId="14" applyBorder="1"/>
    <xf numFmtId="0" fontId="2" fillId="5" borderId="24" xfId="14" applyFont="1" applyFill="1" applyBorder="1"/>
    <xf numFmtId="0" fontId="1" fillId="5" borderId="0" xfId="14" applyFill="1"/>
    <xf numFmtId="0" fontId="1" fillId="5" borderId="19" xfId="14" applyFill="1" applyBorder="1"/>
    <xf numFmtId="3" fontId="1" fillId="2" borderId="1" xfId="14" applyNumberFormat="1" applyFill="1" applyBorder="1"/>
    <xf numFmtId="1" fontId="1" fillId="2" borderId="1" xfId="14" applyNumberFormat="1" applyFill="1" applyBorder="1"/>
    <xf numFmtId="3" fontId="1" fillId="2" borderId="26" xfId="14" applyNumberFormat="1" applyFill="1" applyBorder="1"/>
    <xf numFmtId="0" fontId="2" fillId="5" borderId="23" xfId="14" applyFont="1" applyFill="1" applyBorder="1"/>
    <xf numFmtId="0" fontId="1" fillId="5" borderId="22" xfId="14" applyFill="1" applyBorder="1"/>
    <xf numFmtId="0" fontId="1" fillId="5" borderId="21" xfId="14" applyFill="1" applyBorder="1"/>
    <xf numFmtId="0" fontId="1" fillId="5" borderId="16" xfId="14" applyFill="1" applyBorder="1"/>
    <xf numFmtId="0" fontId="2" fillId="5" borderId="0" xfId="14" applyFont="1" applyFill="1"/>
    <xf numFmtId="0" fontId="1" fillId="5" borderId="8" xfId="14" applyFill="1" applyBorder="1"/>
    <xf numFmtId="0" fontId="2" fillId="6" borderId="11" xfId="14" applyFont="1" applyFill="1" applyBorder="1"/>
    <xf numFmtId="0" fontId="1" fillId="6" borderId="25" xfId="14" applyFill="1" applyBorder="1"/>
    <xf numFmtId="0" fontId="1" fillId="6" borderId="10" xfId="14" applyFill="1" applyBorder="1"/>
    <xf numFmtId="0" fontId="2" fillId="6" borderId="20" xfId="14" applyFont="1" applyFill="1" applyBorder="1"/>
    <xf numFmtId="1" fontId="2" fillId="6" borderId="20" xfId="14" applyNumberFormat="1" applyFont="1" applyFill="1" applyBorder="1"/>
    <xf numFmtId="0" fontId="1" fillId="5" borderId="18" xfId="14" applyFill="1" applyBorder="1"/>
    <xf numFmtId="0" fontId="1" fillId="0" borderId="1" xfId="14" applyBorder="1"/>
    <xf numFmtId="167" fontId="2" fillId="0" borderId="1" xfId="14" applyNumberFormat="1" applyFont="1" applyBorder="1"/>
    <xf numFmtId="174" fontId="2" fillId="0" borderId="1" xfId="14" applyNumberFormat="1" applyFont="1" applyBorder="1"/>
    <xf numFmtId="0" fontId="1" fillId="0" borderId="1" xfId="14" quotePrefix="1" applyBorder="1"/>
    <xf numFmtId="0" fontId="1" fillId="0" borderId="0" xfId="14" quotePrefix="1"/>
    <xf numFmtId="167" fontId="2" fillId="0" borderId="0" xfId="14" applyNumberFormat="1" applyFont="1"/>
    <xf numFmtId="167" fontId="2" fillId="0" borderId="18" xfId="14" applyNumberFormat="1" applyFont="1" applyBorder="1"/>
    <xf numFmtId="0" fontId="2" fillId="0" borderId="19" xfId="14" applyFont="1" applyBorder="1"/>
    <xf numFmtId="0" fontId="2" fillId="0" borderId="18" xfId="14" applyFont="1" applyBorder="1"/>
    <xf numFmtId="0" fontId="2" fillId="5" borderId="18" xfId="14" applyFont="1" applyFill="1" applyBorder="1"/>
    <xf numFmtId="0" fontId="1" fillId="5" borderId="0" xfId="14" quotePrefix="1" applyFill="1"/>
    <xf numFmtId="174" fontId="1" fillId="0" borderId="0" xfId="14" applyNumberFormat="1"/>
    <xf numFmtId="0" fontId="2" fillId="0" borderId="1" xfId="14" applyFont="1" applyBorder="1"/>
    <xf numFmtId="167" fontId="1" fillId="0" borderId="0" xfId="12" applyNumberFormat="1" applyFont="1" applyFill="1"/>
    <xf numFmtId="0" fontId="2" fillId="6" borderId="23" xfId="14" applyFont="1" applyFill="1" applyBorder="1"/>
    <xf numFmtId="0" fontId="1" fillId="6" borderId="22" xfId="14" applyFill="1" applyBorder="1"/>
    <xf numFmtId="0" fontId="1" fillId="6" borderId="21" xfId="14" applyFill="1" applyBorder="1"/>
    <xf numFmtId="2" fontId="2" fillId="0" borderId="1" xfId="14" applyNumberFormat="1" applyFont="1" applyBorder="1"/>
    <xf numFmtId="1" fontId="2" fillId="0" borderId="1" xfId="14" applyNumberFormat="1" applyFont="1" applyBorder="1"/>
    <xf numFmtId="174" fontId="2" fillId="0" borderId="0" xfId="14" applyNumberFormat="1" applyFont="1"/>
    <xf numFmtId="10" fontId="2" fillId="0" borderId="1" xfId="12" applyNumberFormat="1" applyFont="1" applyBorder="1"/>
    <xf numFmtId="167" fontId="2" fillId="0" borderId="1" xfId="12" applyNumberFormat="1" applyFont="1" applyBorder="1"/>
    <xf numFmtId="164" fontId="2" fillId="0" borderId="1" xfId="13" applyFont="1" applyBorder="1"/>
    <xf numFmtId="0" fontId="2" fillId="2" borderId="1" xfId="14" applyFont="1" applyFill="1" applyBorder="1"/>
    <xf numFmtId="167" fontId="2" fillId="2" borderId="1" xfId="14" applyNumberFormat="1" applyFont="1" applyFill="1" applyBorder="1"/>
    <xf numFmtId="167" fontId="1" fillId="0" borderId="1" xfId="14" applyNumberFormat="1" applyBorder="1"/>
    <xf numFmtId="167" fontId="1" fillId="0" borderId="0" xfId="14" applyNumberFormat="1"/>
    <xf numFmtId="0" fontId="2" fillId="0" borderId="16" xfId="14" applyFont="1" applyBorder="1"/>
    <xf numFmtId="167" fontId="2" fillId="0" borderId="16" xfId="14" applyNumberFormat="1" applyFont="1" applyBorder="1"/>
    <xf numFmtId="0" fontId="1" fillId="0" borderId="24" xfId="14" applyBorder="1"/>
    <xf numFmtId="167" fontId="1" fillId="0" borderId="8" xfId="14" applyNumberFormat="1" applyBorder="1"/>
    <xf numFmtId="0" fontId="9" fillId="5" borderId="0" xfId="14" applyFont="1" applyFill="1" applyAlignment="1">
      <alignment horizontal="center"/>
    </xf>
    <xf numFmtId="0" fontId="10" fillId="5" borderId="0" xfId="14" applyFont="1" applyFill="1" applyAlignment="1">
      <alignment horizontal="center"/>
    </xf>
    <xf numFmtId="0" fontId="10" fillId="5" borderId="0" xfId="14" applyFont="1" applyFill="1"/>
    <xf numFmtId="0" fontId="9" fillId="5" borderId="0" xfId="14" applyFont="1" applyFill="1" applyAlignment="1">
      <alignment horizontal="left"/>
    </xf>
    <xf numFmtId="0" fontId="9" fillId="5" borderId="0" xfId="14" applyFont="1" applyFill="1"/>
    <xf numFmtId="167" fontId="2" fillId="2" borderId="1" xfId="12" applyNumberFormat="1" applyFont="1" applyFill="1" applyBorder="1"/>
    <xf numFmtId="167" fontId="1" fillId="0" borderId="0" xfId="12" applyNumberFormat="1" applyFont="1" applyBorder="1"/>
    <xf numFmtId="0" fontId="1" fillId="0" borderId="8" xfId="14" applyBorder="1"/>
    <xf numFmtId="167" fontId="1" fillId="0" borderId="8" xfId="12" applyNumberFormat="1" applyFont="1" applyBorder="1"/>
    <xf numFmtId="0" fontId="2" fillId="6" borderId="9" xfId="14" applyFont="1" applyFill="1" applyBorder="1"/>
    <xf numFmtId="0" fontId="1" fillId="6" borderId="8" xfId="14" applyFill="1" applyBorder="1"/>
    <xf numFmtId="0" fontId="1" fillId="6" borderId="7" xfId="14" applyFill="1" applyBorder="1"/>
    <xf numFmtId="3" fontId="2" fillId="2" borderId="1" xfId="14" applyNumberFormat="1" applyFont="1" applyFill="1" applyBorder="1"/>
    <xf numFmtId="0" fontId="1" fillId="5" borderId="24" xfId="14" applyFill="1" applyBorder="1"/>
    <xf numFmtId="0" fontId="1" fillId="5" borderId="5" xfId="14" applyFill="1" applyBorder="1"/>
    <xf numFmtId="167" fontId="1" fillId="0" borderId="1" xfId="14" applyNumberFormat="1" applyBorder="1" applyAlignment="1">
      <alignment horizontal="right"/>
    </xf>
    <xf numFmtId="2" fontId="1" fillId="0" borderId="0" xfId="14" applyNumberFormat="1"/>
    <xf numFmtId="167" fontId="2" fillId="2" borderId="1" xfId="14" applyNumberFormat="1" applyFont="1" applyFill="1" applyBorder="1" applyAlignment="1">
      <alignment horizontal="right"/>
    </xf>
    <xf numFmtId="3" fontId="1" fillId="0" borderId="1" xfId="14" applyNumberFormat="1" applyBorder="1"/>
    <xf numFmtId="167" fontId="2" fillId="0" borderId="24" xfId="14" applyNumberFormat="1" applyFont="1" applyBorder="1" applyAlignment="1">
      <alignment horizontal="right"/>
    </xf>
    <xf numFmtId="167" fontId="2" fillId="0" borderId="5" xfId="14" applyNumberFormat="1" applyFont="1" applyBorder="1" applyAlignment="1">
      <alignment horizontal="right"/>
    </xf>
    <xf numFmtId="167" fontId="2" fillId="0" borderId="1" xfId="14" applyNumberFormat="1" applyFont="1" applyBorder="1" applyAlignment="1">
      <alignment horizontal="right"/>
    </xf>
    <xf numFmtId="167" fontId="1" fillId="0" borderId="0" xfId="14" applyNumberFormat="1" applyAlignment="1">
      <alignment horizontal="right"/>
    </xf>
    <xf numFmtId="0" fontId="1" fillId="6" borderId="22" xfId="14" applyFill="1" applyBorder="1" applyAlignment="1">
      <alignment horizontal="right"/>
    </xf>
    <xf numFmtId="0" fontId="1" fillId="6" borderId="21" xfId="14" applyFill="1" applyBorder="1" applyAlignment="1">
      <alignment horizontal="right"/>
    </xf>
    <xf numFmtId="0" fontId="10" fillId="5" borderId="0" xfId="14" applyFont="1" applyFill="1" applyAlignment="1">
      <alignment horizontal="right"/>
    </xf>
    <xf numFmtId="0" fontId="1" fillId="5" borderId="0" xfId="14" applyFill="1" applyAlignment="1">
      <alignment horizontal="right"/>
    </xf>
    <xf numFmtId="0" fontId="9" fillId="5" borderId="0" xfId="14" applyFont="1" applyFill="1" applyAlignment="1">
      <alignment horizontal="right"/>
    </xf>
    <xf numFmtId="0" fontId="2" fillId="2" borderId="4" xfId="14" applyFont="1" applyFill="1" applyBorder="1"/>
    <xf numFmtId="167" fontId="2" fillId="0" borderId="0" xfId="14" applyNumberFormat="1" applyFont="1" applyAlignment="1">
      <alignment horizontal="right"/>
    </xf>
    <xf numFmtId="0" fontId="1" fillId="0" borderId="4" xfId="14" applyBorder="1"/>
    <xf numFmtId="167" fontId="1" fillId="5" borderId="0" xfId="14" applyNumberFormat="1" applyFill="1"/>
    <xf numFmtId="0" fontId="2" fillId="5" borderId="6" xfId="14" applyFont="1" applyFill="1" applyBorder="1"/>
    <xf numFmtId="0" fontId="1" fillId="5" borderId="10" xfId="14" applyFill="1" applyBorder="1"/>
    <xf numFmtId="0" fontId="13" fillId="5" borderId="6" xfId="14" applyFont="1" applyFill="1" applyBorder="1"/>
    <xf numFmtId="0" fontId="2" fillId="5" borderId="6" xfId="14" applyFont="1" applyFill="1" applyBorder="1" applyAlignment="1">
      <alignment horizontal="right"/>
    </xf>
    <xf numFmtId="0" fontId="2" fillId="5" borderId="5" xfId="14" applyFont="1" applyFill="1" applyBorder="1" applyAlignment="1">
      <alignment horizontal="center"/>
    </xf>
    <xf numFmtId="0" fontId="1" fillId="0" borderId="6" xfId="14" applyBorder="1"/>
    <xf numFmtId="1" fontId="2" fillId="5" borderId="0" xfId="14" applyNumberFormat="1" applyFont="1" applyFill="1" applyAlignment="1">
      <alignment horizontal="right"/>
    </xf>
    <xf numFmtId="0" fontId="1" fillId="5" borderId="6" xfId="14" applyFill="1" applyBorder="1" applyAlignment="1">
      <alignment horizontal="right"/>
    </xf>
    <xf numFmtId="0" fontId="2" fillId="5" borderId="0" xfId="14" applyFont="1" applyFill="1" applyAlignment="1">
      <alignment horizontal="right"/>
    </xf>
    <xf numFmtId="167" fontId="1" fillId="5" borderId="0" xfId="14" applyNumberFormat="1" applyFill="1" applyAlignment="1">
      <alignment horizontal="right"/>
    </xf>
    <xf numFmtId="174" fontId="1" fillId="5" borderId="0" xfId="14" applyNumberFormat="1" applyFill="1" applyAlignment="1">
      <alignment horizontal="right"/>
    </xf>
    <xf numFmtId="0" fontId="11" fillId="5" borderId="10" xfId="14" applyFont="1" applyFill="1" applyBorder="1"/>
    <xf numFmtId="0" fontId="11" fillId="5" borderId="6" xfId="14" applyFont="1" applyFill="1" applyBorder="1" applyAlignment="1">
      <alignment horizontal="right"/>
    </xf>
    <xf numFmtId="0" fontId="1" fillId="0" borderId="10" xfId="14" applyBorder="1"/>
    <xf numFmtId="0" fontId="11" fillId="0" borderId="6" xfId="14" applyFont="1" applyBorder="1" applyAlignment="1">
      <alignment horizontal="right"/>
    </xf>
    <xf numFmtId="0" fontId="12" fillId="5" borderId="6" xfId="14" applyFont="1" applyFill="1" applyBorder="1" applyAlignment="1">
      <alignment horizontal="right"/>
    </xf>
    <xf numFmtId="0" fontId="11" fillId="0" borderId="6" xfId="14" applyFont="1" applyBorder="1"/>
    <xf numFmtId="3" fontId="1" fillId="5" borderId="0" xfId="14" applyNumberFormat="1" applyFill="1"/>
    <xf numFmtId="167" fontId="1" fillId="5" borderId="0" xfId="12" applyNumberFormat="1" applyFont="1" applyFill="1" applyBorder="1"/>
    <xf numFmtId="0" fontId="1" fillId="5" borderId="6" xfId="14" applyFill="1" applyBorder="1"/>
    <xf numFmtId="184" fontId="1" fillId="5" borderId="0" xfId="11" applyNumberFormat="1" applyFont="1" applyFill="1" applyBorder="1" applyAlignment="1">
      <alignment horizontal="right"/>
    </xf>
    <xf numFmtId="3" fontId="1" fillId="5" borderId="0" xfId="14" applyNumberFormat="1" applyFill="1" applyAlignment="1">
      <alignment horizontal="right"/>
    </xf>
    <xf numFmtId="185" fontId="1" fillId="5" borderId="0" xfId="11" applyNumberFormat="1" applyFont="1" applyFill="1" applyBorder="1" applyAlignment="1">
      <alignment horizontal="right"/>
    </xf>
    <xf numFmtId="186" fontId="1" fillId="5" borderId="0" xfId="11" applyNumberFormat="1" applyFont="1" applyFill="1" applyBorder="1" applyAlignment="1">
      <alignment horizontal="right"/>
    </xf>
    <xf numFmtId="172" fontId="1" fillId="5" borderId="0" xfId="14" applyNumberFormat="1" applyFill="1" applyAlignment="1">
      <alignment horizontal="right"/>
    </xf>
    <xf numFmtId="186" fontId="1" fillId="5" borderId="0" xfId="14" applyNumberFormat="1" applyFill="1"/>
    <xf numFmtId="184" fontId="1" fillId="5" borderId="0" xfId="11" applyNumberFormat="1" applyFont="1" applyFill="1" applyBorder="1"/>
    <xf numFmtId="174" fontId="1" fillId="5" borderId="10" xfId="14" applyNumberFormat="1" applyFill="1" applyBorder="1"/>
    <xf numFmtId="0" fontId="1" fillId="5" borderId="9" xfId="14" applyFill="1" applyBorder="1"/>
    <xf numFmtId="0" fontId="1" fillId="5" borderId="7" xfId="14" applyFill="1" applyBorder="1"/>
    <xf numFmtId="0" fontId="1" fillId="0" borderId="0" xfId="14" applyAlignment="1">
      <alignment horizontal="right"/>
    </xf>
    <xf numFmtId="1" fontId="2" fillId="0" borderId="0" xfId="14" applyNumberFormat="1" applyFont="1"/>
    <xf numFmtId="0" fontId="9" fillId="0" borderId="0" xfId="14" applyFont="1" applyAlignment="1">
      <alignment horizontal="right"/>
    </xf>
    <xf numFmtId="3" fontId="2" fillId="5" borderId="0" xfId="14" applyNumberFormat="1" applyFont="1" applyFill="1"/>
    <xf numFmtId="3" fontId="2" fillId="0" borderId="1" xfId="14" applyNumberFormat="1" applyFont="1" applyBorder="1"/>
    <xf numFmtId="3" fontId="1" fillId="0" borderId="1" xfId="14" applyNumberFormat="1" applyBorder="1" applyAlignment="1">
      <alignment horizontal="right"/>
    </xf>
    <xf numFmtId="3" fontId="2" fillId="0" borderId="1" xfId="14" applyNumberFormat="1" applyFont="1" applyBorder="1" applyAlignment="1">
      <alignment horizontal="right"/>
    </xf>
    <xf numFmtId="0" fontId="1" fillId="6" borderId="0" xfId="14" applyFill="1"/>
    <xf numFmtId="0" fontId="2" fillId="6" borderId="4" xfId="14" applyFont="1" applyFill="1" applyBorder="1" applyAlignment="1">
      <alignment horizontal="left"/>
    </xf>
    <xf numFmtId="0" fontId="2" fillId="6" borderId="3" xfId="14" applyFont="1" applyFill="1" applyBorder="1"/>
    <xf numFmtId="0" fontId="1" fillId="6" borderId="3" xfId="14" applyFill="1" applyBorder="1"/>
    <xf numFmtId="0" fontId="1" fillId="6" borderId="2" xfId="14" applyFill="1" applyBorder="1"/>
    <xf numFmtId="0" fontId="2" fillId="10" borderId="1" xfId="14" applyFont="1" applyFill="1" applyBorder="1" applyAlignment="1">
      <alignment horizontal="left"/>
    </xf>
    <xf numFmtId="0" fontId="2" fillId="10" borderId="4" xfId="14" applyFont="1" applyFill="1" applyBorder="1"/>
    <xf numFmtId="0" fontId="1" fillId="10" borderId="3" xfId="14" applyFill="1" applyBorder="1"/>
    <xf numFmtId="0" fontId="2" fillId="10" borderId="3" xfId="14" applyFont="1" applyFill="1" applyBorder="1"/>
    <xf numFmtId="0" fontId="1" fillId="10" borderId="2" xfId="14" applyFill="1" applyBorder="1"/>
    <xf numFmtId="0" fontId="1" fillId="12" borderId="0" xfId="14" applyFill="1"/>
    <xf numFmtId="0" fontId="2" fillId="12" borderId="0" xfId="14" applyFont="1" applyFill="1"/>
    <xf numFmtId="0" fontId="3" fillId="12" borderId="0" xfId="14" applyFont="1" applyFill="1"/>
    <xf numFmtId="0" fontId="2" fillId="12" borderId="0" xfId="14" applyFont="1" applyFill="1" applyAlignment="1">
      <alignment horizontal="right"/>
    </xf>
    <xf numFmtId="0" fontId="4" fillId="12" borderId="0" xfId="14" applyFont="1" applyFill="1"/>
    <xf numFmtId="0" fontId="1" fillId="12" borderId="0" xfId="14" applyFill="1" applyAlignment="1">
      <alignment horizontal="right"/>
    </xf>
    <xf numFmtId="167" fontId="3" fillId="4" borderId="1" xfId="12" applyNumberFormat="1" applyFont="1" applyFill="1" applyBorder="1"/>
    <xf numFmtId="0" fontId="14" fillId="5" borderId="34" xfId="14" applyFont="1" applyFill="1" applyBorder="1"/>
    <xf numFmtId="0" fontId="1" fillId="5" borderId="34" xfId="14" applyFill="1" applyBorder="1"/>
    <xf numFmtId="0" fontId="2" fillId="6" borderId="5" xfId="14" applyFont="1" applyFill="1" applyBorder="1"/>
    <xf numFmtId="0" fontId="1" fillId="6" borderId="5" xfId="14" applyFill="1" applyBorder="1"/>
    <xf numFmtId="0" fontId="2" fillId="4" borderId="5" xfId="14" applyFont="1" applyFill="1" applyBorder="1"/>
    <xf numFmtId="0" fontId="1" fillId="4" borderId="5" xfId="14" applyFill="1" applyBorder="1"/>
    <xf numFmtId="168" fontId="2" fillId="4" borderId="0" xfId="13" applyNumberFormat="1" applyFont="1" applyFill="1" applyBorder="1"/>
    <xf numFmtId="168" fontId="2" fillId="0" borderId="0" xfId="13" applyNumberFormat="1" applyFont="1" applyFill="1" applyBorder="1"/>
    <xf numFmtId="167" fontId="1" fillId="0" borderId="0" xfId="12" applyNumberFormat="1" applyFont="1" applyFill="1" applyBorder="1" applyProtection="1"/>
    <xf numFmtId="167" fontId="4" fillId="4" borderId="0" xfId="14" applyNumberFormat="1" applyFont="1" applyFill="1"/>
    <xf numFmtId="167" fontId="4" fillId="0" borderId="0" xfId="14" applyNumberFormat="1" applyFont="1"/>
    <xf numFmtId="0" fontId="4" fillId="4" borderId="0" xfId="14" applyFont="1" applyFill="1"/>
    <xf numFmtId="0" fontId="1" fillId="4" borderId="0" xfId="14" applyFill="1"/>
    <xf numFmtId="168" fontId="2" fillId="0" borderId="3" xfId="14" applyNumberFormat="1" applyFont="1" applyBorder="1"/>
    <xf numFmtId="168" fontId="2" fillId="0" borderId="3" xfId="13" applyNumberFormat="1" applyFont="1" applyFill="1" applyBorder="1"/>
    <xf numFmtId="3" fontId="2" fillId="5" borderId="0" xfId="14" applyNumberFormat="1" applyFont="1" applyFill="1" applyAlignment="1">
      <alignment horizontal="right"/>
    </xf>
    <xf numFmtId="167" fontId="3" fillId="0" borderId="0" xfId="14" applyNumberFormat="1" applyFont="1"/>
    <xf numFmtId="174" fontId="4" fillId="4" borderId="0" xfId="14" applyNumberFormat="1" applyFont="1" applyFill="1"/>
    <xf numFmtId="174" fontId="4" fillId="0" borderId="0" xfId="14" applyNumberFormat="1" applyFont="1"/>
    <xf numFmtId="10" fontId="4" fillId="4" borderId="0" xfId="14" applyNumberFormat="1" applyFont="1" applyFill="1"/>
    <xf numFmtId="168" fontId="3" fillId="4" borderId="0" xfId="13" applyNumberFormat="1" applyFont="1" applyFill="1" applyBorder="1"/>
    <xf numFmtId="167" fontId="4" fillId="4" borderId="0" xfId="12" applyNumberFormat="1" applyFont="1" applyFill="1" applyBorder="1"/>
    <xf numFmtId="167" fontId="3" fillId="0" borderId="0" xfId="12" applyNumberFormat="1" applyFont="1" applyFill="1" applyBorder="1"/>
    <xf numFmtId="168" fontId="2" fillId="0" borderId="0" xfId="12" applyNumberFormat="1" applyFont="1" applyFill="1" applyBorder="1" applyProtection="1"/>
    <xf numFmtId="174" fontId="4" fillId="4" borderId="0" xfId="12" applyNumberFormat="1" applyFont="1" applyFill="1" applyBorder="1"/>
    <xf numFmtId="168" fontId="2" fillId="0" borderId="3" xfId="12" applyNumberFormat="1" applyFont="1" applyFill="1" applyBorder="1" applyProtection="1"/>
    <xf numFmtId="168" fontId="3" fillId="4" borderId="0" xfId="14" applyNumberFormat="1" applyFont="1" applyFill="1"/>
    <xf numFmtId="168" fontId="2" fillId="0" borderId="15" xfId="14" applyNumberFormat="1" applyFont="1" applyBorder="1"/>
    <xf numFmtId="0" fontId="2" fillId="10" borderId="3" xfId="14" applyFont="1" applyFill="1" applyBorder="1" applyAlignment="1">
      <alignment horizontal="left"/>
    </xf>
    <xf numFmtId="0" fontId="2" fillId="10" borderId="5" xfId="14" applyFont="1" applyFill="1" applyBorder="1" applyAlignment="1">
      <alignment horizontal="left"/>
    </xf>
    <xf numFmtId="0" fontId="1" fillId="6" borderId="19" xfId="14" applyFill="1" applyBorder="1"/>
    <xf numFmtId="0" fontId="2" fillId="12" borderId="0" xfId="14" applyFont="1" applyFill="1" applyAlignment="1">
      <alignment horizontal="left"/>
    </xf>
    <xf numFmtId="0" fontId="14" fillId="5" borderId="0" xfId="14" applyFont="1" applyFill="1"/>
    <xf numFmtId="0" fontId="2" fillId="6" borderId="31" xfId="14" applyFont="1" applyFill="1" applyBorder="1"/>
    <xf numFmtId="0" fontId="1" fillId="6" borderId="31" xfId="14" applyFill="1" applyBorder="1"/>
    <xf numFmtId="0" fontId="2" fillId="4" borderId="31" xfId="14" applyFont="1" applyFill="1" applyBorder="1"/>
    <xf numFmtId="0" fontId="1" fillId="4" borderId="31" xfId="14" applyFill="1" applyBorder="1"/>
    <xf numFmtId="168" fontId="2" fillId="4" borderId="0" xfId="14" applyNumberFormat="1" applyFont="1" applyFill="1"/>
    <xf numFmtId="9" fontId="4" fillId="4" borderId="0" xfId="12" applyFont="1" applyFill="1" applyBorder="1"/>
    <xf numFmtId="1" fontId="4" fillId="0" borderId="0" xfId="14" applyNumberFormat="1" applyFont="1"/>
    <xf numFmtId="1" fontId="3" fillId="0" borderId="0" xfId="14" applyNumberFormat="1" applyFont="1"/>
    <xf numFmtId="1" fontId="1" fillId="0" borderId="0" xfId="14" applyNumberFormat="1"/>
    <xf numFmtId="174" fontId="3" fillId="0" borderId="0" xfId="14" applyNumberFormat="1" applyFont="1"/>
    <xf numFmtId="167" fontId="3" fillId="0" borderId="0" xfId="12" applyNumberFormat="1" applyFont="1" applyBorder="1"/>
    <xf numFmtId="168" fontId="2" fillId="5" borderId="0" xfId="14" applyNumberFormat="1" applyFont="1" applyFill="1" applyAlignment="1">
      <alignment horizontal="right"/>
    </xf>
    <xf numFmtId="168" fontId="2" fillId="0" borderId="0" xfId="14" applyNumberFormat="1" applyFont="1" applyAlignment="1">
      <alignment horizontal="right"/>
    </xf>
    <xf numFmtId="1" fontId="3" fillId="0" borderId="0" xfId="12" applyNumberFormat="1" applyFont="1" applyFill="1" applyBorder="1"/>
    <xf numFmtId="174" fontId="4" fillId="4" borderId="0" xfId="11" applyNumberFormat="1" applyFont="1" applyFill="1" applyBorder="1"/>
    <xf numFmtId="1" fontId="4" fillId="0" borderId="0" xfId="12" applyNumberFormat="1" applyFont="1" applyFill="1" applyBorder="1"/>
    <xf numFmtId="1" fontId="4" fillId="0" borderId="0" xfId="12" applyNumberFormat="1" applyFont="1" applyBorder="1"/>
    <xf numFmtId="168" fontId="1" fillId="0" borderId="0" xfId="14" applyNumberFormat="1"/>
    <xf numFmtId="168" fontId="3" fillId="0" borderId="0" xfId="14" applyNumberFormat="1" applyFont="1"/>
    <xf numFmtId="173" fontId="1" fillId="0" borderId="0" xfId="12" applyNumberFormat="1" applyFont="1" applyFill="1" applyBorder="1" applyProtection="1"/>
    <xf numFmtId="168" fontId="2" fillId="5" borderId="0" xfId="14" applyNumberFormat="1" applyFont="1" applyFill="1"/>
    <xf numFmtId="9" fontId="4" fillId="0" borderId="0" xfId="12" applyFont="1" applyFill="1" applyBorder="1"/>
    <xf numFmtId="9" fontId="3" fillId="0" borderId="0" xfId="12" applyFont="1" applyFill="1" applyBorder="1"/>
    <xf numFmtId="3" fontId="4" fillId="4" borderId="0" xfId="11" applyNumberFormat="1" applyFont="1" applyFill="1" applyBorder="1"/>
    <xf numFmtId="167" fontId="9" fillId="0" borderId="0" xfId="12" applyNumberFormat="1" applyFont="1" applyFill="1" applyBorder="1" applyProtection="1"/>
    <xf numFmtId="0" fontId="9" fillId="0" borderId="0" xfId="14" applyFont="1"/>
    <xf numFmtId="168" fontId="4" fillId="4" borderId="0" xfId="11" applyNumberFormat="1" applyFont="1" applyFill="1" applyBorder="1"/>
    <xf numFmtId="184" fontId="2" fillId="0" borderId="3" xfId="11" applyNumberFormat="1" applyFont="1" applyFill="1" applyBorder="1" applyProtection="1"/>
    <xf numFmtId="167" fontId="9" fillId="0" borderId="0" xfId="12" applyNumberFormat="1" applyFont="1" applyFill="1" applyBorder="1"/>
    <xf numFmtId="167" fontId="1" fillId="0" borderId="0" xfId="12" applyNumberFormat="1" applyFont="1" applyBorder="1" applyProtection="1"/>
    <xf numFmtId="168" fontId="2" fillId="11" borderId="0" xfId="14" applyNumberFormat="1" applyFont="1" applyFill="1"/>
    <xf numFmtId="1" fontId="2" fillId="0" borderId="8" xfId="14" applyNumberFormat="1" applyFont="1" applyBorder="1"/>
    <xf numFmtId="1" fontId="3" fillId="0" borderId="8" xfId="14" applyNumberFormat="1" applyFont="1" applyBorder="1"/>
    <xf numFmtId="0" fontId="1" fillId="0" borderId="11" xfId="14" applyBorder="1"/>
    <xf numFmtId="1" fontId="3" fillId="0" borderId="10" xfId="14" applyNumberFormat="1" applyFont="1" applyBorder="1"/>
    <xf numFmtId="168" fontId="2" fillId="4" borderId="10" xfId="14" applyNumberFormat="1" applyFont="1" applyFill="1" applyBorder="1"/>
    <xf numFmtId="167" fontId="4" fillId="0" borderId="0" xfId="12" applyNumberFormat="1" applyFont="1" applyBorder="1"/>
    <xf numFmtId="1" fontId="2" fillId="0" borderId="10" xfId="14" applyNumberFormat="1" applyFont="1" applyBorder="1"/>
    <xf numFmtId="0" fontId="4" fillId="0" borderId="0" xfId="14" applyFont="1"/>
    <xf numFmtId="174" fontId="4" fillId="0" borderId="0" xfId="12" applyNumberFormat="1" applyFont="1" applyBorder="1"/>
    <xf numFmtId="168" fontId="2" fillId="4" borderId="15" xfId="14" applyNumberFormat="1" applyFont="1" applyFill="1" applyBorder="1"/>
    <xf numFmtId="168" fontId="2" fillId="4" borderId="32" xfId="14" applyNumberFormat="1" applyFont="1" applyFill="1" applyBorder="1"/>
    <xf numFmtId="0" fontId="1" fillId="0" borderId="9" xfId="14" applyBorder="1"/>
    <xf numFmtId="1" fontId="2" fillId="0" borderId="7" xfId="14" applyNumberFormat="1" applyFont="1" applyBorder="1"/>
    <xf numFmtId="0" fontId="2" fillId="0" borderId="25" xfId="14" applyFont="1" applyBorder="1" applyAlignment="1">
      <alignment horizontal="right"/>
    </xf>
    <xf numFmtId="1" fontId="2" fillId="0" borderId="13" xfId="14" applyNumberFormat="1" applyFont="1" applyBorder="1"/>
    <xf numFmtId="1" fontId="2" fillId="0" borderId="33" xfId="14" applyNumberFormat="1" applyFont="1" applyBorder="1"/>
    <xf numFmtId="1" fontId="2" fillId="0" borderId="0" xfId="14" applyNumberFormat="1" applyFont="1" applyAlignment="1">
      <alignment horizontal="right"/>
    </xf>
    <xf numFmtId="184" fontId="2" fillId="11" borderId="0" xfId="11" applyNumberFormat="1" applyFont="1" applyFill="1" applyBorder="1"/>
    <xf numFmtId="184" fontId="2" fillId="11" borderId="10" xfId="11" applyNumberFormat="1" applyFont="1" applyFill="1" applyBorder="1"/>
    <xf numFmtId="184" fontId="1" fillId="0" borderId="0" xfId="11" applyNumberFormat="1" applyFont="1" applyFill="1" applyBorder="1"/>
    <xf numFmtId="184" fontId="2" fillId="0" borderId="0" xfId="11" applyNumberFormat="1" applyFont="1" applyFill="1" applyBorder="1"/>
    <xf numFmtId="184" fontId="2" fillId="0" borderId="10" xfId="11" applyNumberFormat="1" applyFont="1" applyFill="1" applyBorder="1"/>
    <xf numFmtId="184" fontId="2" fillId="0" borderId="15" xfId="11" applyNumberFormat="1" applyFont="1" applyFill="1" applyBorder="1"/>
    <xf numFmtId="184" fontId="2" fillId="0" borderId="32" xfId="11" applyNumberFormat="1" applyFont="1" applyFill="1" applyBorder="1"/>
    <xf numFmtId="0" fontId="2" fillId="10" borderId="4" xfId="14" applyFont="1" applyFill="1" applyBorder="1" applyAlignment="1">
      <alignment horizontal="left"/>
    </xf>
    <xf numFmtId="0" fontId="2" fillId="10" borderId="0" xfId="14" applyFont="1" applyFill="1" applyAlignment="1">
      <alignment horizontal="left"/>
    </xf>
    <xf numFmtId="0" fontId="2" fillId="6" borderId="0" xfId="14" applyFont="1" applyFill="1"/>
    <xf numFmtId="0" fontId="1" fillId="5" borderId="15" xfId="14" applyFill="1" applyBorder="1"/>
    <xf numFmtId="1" fontId="8" fillId="0" borderId="0" xfId="14" applyNumberFormat="1" applyFont="1"/>
    <xf numFmtId="0" fontId="1" fillId="5" borderId="15" xfId="14" applyFill="1" applyBorder="1" applyProtection="1">
      <protection locked="0"/>
    </xf>
    <xf numFmtId="1" fontId="2" fillId="5" borderId="0" xfId="14" applyNumberFormat="1" applyFont="1" applyFill="1"/>
    <xf numFmtId="167" fontId="2" fillId="0" borderId="0" xfId="12" applyNumberFormat="1" applyFont="1" applyBorder="1" applyProtection="1"/>
    <xf numFmtId="167" fontId="2" fillId="0" borderId="0" xfId="12" applyNumberFormat="1" applyFont="1" applyBorder="1"/>
    <xf numFmtId="0" fontId="2" fillId="5" borderId="0" xfId="14" applyFont="1" applyFill="1" applyAlignment="1">
      <alignment horizontal="left"/>
    </xf>
    <xf numFmtId="174" fontId="2" fillId="0" borderId="0" xfId="12" applyNumberFormat="1" applyFont="1" applyBorder="1" applyProtection="1"/>
    <xf numFmtId="0" fontId="1" fillId="5" borderId="0" xfId="14" quotePrefix="1" applyFill="1" applyAlignment="1">
      <alignment horizontal="right"/>
    </xf>
    <xf numFmtId="3" fontId="1" fillId="2" borderId="56" xfId="14" applyNumberFormat="1" applyFill="1" applyBorder="1"/>
    <xf numFmtId="0" fontId="1" fillId="2" borderId="16" xfId="14" applyFill="1" applyBorder="1"/>
    <xf numFmtId="164" fontId="1" fillId="2" borderId="45" xfId="14" applyNumberFormat="1" applyFill="1" applyBorder="1"/>
    <xf numFmtId="164" fontId="1" fillId="2" borderId="55" xfId="14" applyNumberFormat="1" applyFill="1" applyBorder="1"/>
    <xf numFmtId="3" fontId="1" fillId="2" borderId="14" xfId="14" applyNumberFormat="1" applyFill="1" applyBorder="1"/>
    <xf numFmtId="0" fontId="1" fillId="2" borderId="0" xfId="14" applyFill="1"/>
    <xf numFmtId="164" fontId="1" fillId="2" borderId="18" xfId="14" applyNumberFormat="1" applyFill="1" applyBorder="1"/>
    <xf numFmtId="164" fontId="1" fillId="2" borderId="54" xfId="14" applyNumberFormat="1" applyFill="1" applyBorder="1"/>
    <xf numFmtId="3" fontId="1" fillId="2" borderId="24" xfId="14" applyNumberFormat="1" applyFill="1" applyBorder="1"/>
    <xf numFmtId="0" fontId="1" fillId="2" borderId="5" xfId="14" applyFill="1" applyBorder="1"/>
    <xf numFmtId="164" fontId="1" fillId="2" borderId="19" xfId="14" applyNumberFormat="1" applyFill="1" applyBorder="1"/>
    <xf numFmtId="164" fontId="1" fillId="2" borderId="53" xfId="14" applyNumberFormat="1" applyFill="1" applyBorder="1"/>
    <xf numFmtId="164" fontId="1" fillId="5" borderId="0" xfId="14" applyNumberFormat="1" applyFill="1"/>
    <xf numFmtId="0" fontId="2" fillId="10" borderId="52" xfId="14" applyFont="1" applyFill="1" applyBorder="1" applyAlignment="1">
      <alignment horizontal="left"/>
    </xf>
    <xf numFmtId="0" fontId="2" fillId="10" borderId="31" xfId="14" applyFont="1" applyFill="1" applyBorder="1"/>
    <xf numFmtId="0" fontId="2" fillId="6" borderId="43" xfId="14" applyFont="1" applyFill="1" applyBorder="1"/>
    <xf numFmtId="0" fontId="2" fillId="10" borderId="42" xfId="14" applyFont="1" applyFill="1" applyBorder="1" applyAlignment="1">
      <alignment horizontal="left"/>
    </xf>
    <xf numFmtId="0" fontId="1" fillId="6" borderId="4" xfId="14" applyFill="1" applyBorder="1"/>
    <xf numFmtId="0" fontId="1" fillId="10" borderId="41" xfId="14" applyFill="1" applyBorder="1"/>
    <xf numFmtId="0" fontId="1" fillId="6" borderId="1" xfId="14" applyFill="1" applyBorder="1"/>
    <xf numFmtId="0" fontId="2" fillId="5" borderId="39" xfId="14" applyFont="1" applyFill="1" applyBorder="1"/>
    <xf numFmtId="0" fontId="2" fillId="5" borderId="51" xfId="14" applyFont="1" applyFill="1" applyBorder="1"/>
    <xf numFmtId="0" fontId="2" fillId="4" borderId="50" xfId="14" applyFont="1" applyFill="1" applyBorder="1"/>
    <xf numFmtId="0" fontId="2" fillId="4" borderId="2" xfId="14" applyFont="1" applyFill="1" applyBorder="1"/>
    <xf numFmtId="0" fontId="2" fillId="5" borderId="35" xfId="14" applyFont="1" applyFill="1" applyBorder="1"/>
    <xf numFmtId="0" fontId="2" fillId="5" borderId="49" xfId="14" applyFont="1" applyFill="1" applyBorder="1"/>
    <xf numFmtId="0" fontId="2" fillId="5" borderId="38" xfId="14" applyFont="1" applyFill="1" applyBorder="1"/>
    <xf numFmtId="43" fontId="2" fillId="5" borderId="0" xfId="14" applyNumberFormat="1" applyFont="1" applyFill="1"/>
    <xf numFmtId="180" fontId="2" fillId="5" borderId="3" xfId="13" applyNumberFormat="1" applyFont="1" applyFill="1" applyBorder="1" applyAlignment="1">
      <alignment horizontal="right"/>
    </xf>
    <xf numFmtId="167" fontId="2" fillId="5" borderId="1" xfId="12" applyNumberFormat="1" applyFont="1" applyFill="1" applyBorder="1" applyAlignment="1">
      <alignment horizontal="right"/>
    </xf>
    <xf numFmtId="167" fontId="3" fillId="4" borderId="1" xfId="12" applyNumberFormat="1" applyFont="1" applyFill="1" applyBorder="1" applyAlignment="1">
      <alignment horizontal="right"/>
    </xf>
    <xf numFmtId="180" fontId="2" fillId="5" borderId="0" xfId="14" applyNumberFormat="1" applyFont="1" applyFill="1"/>
    <xf numFmtId="0" fontId="1" fillId="0" borderId="39" xfId="14" applyBorder="1"/>
    <xf numFmtId="2" fontId="3" fillId="4" borderId="1" xfId="12" applyNumberFormat="1" applyFont="1" applyFill="1" applyBorder="1"/>
    <xf numFmtId="10" fontId="3" fillId="4" borderId="1" xfId="12" applyNumberFormat="1" applyFont="1" applyFill="1" applyBorder="1"/>
    <xf numFmtId="10" fontId="2" fillId="5" borderId="1" xfId="12" applyNumberFormat="1" applyFont="1" applyFill="1" applyBorder="1"/>
    <xf numFmtId="180" fontId="2" fillId="4" borderId="1" xfId="13" applyNumberFormat="1" applyFont="1" applyFill="1" applyBorder="1"/>
    <xf numFmtId="167" fontId="2" fillId="4" borderId="1" xfId="12" applyNumberFormat="1" applyFont="1" applyFill="1" applyBorder="1"/>
    <xf numFmtId="10" fontId="2" fillId="0" borderId="1" xfId="12" applyNumberFormat="1" applyFont="1" applyFill="1" applyBorder="1"/>
    <xf numFmtId="180" fontId="3" fillId="4" borderId="1" xfId="13" applyNumberFormat="1" applyFont="1" applyFill="1" applyBorder="1"/>
    <xf numFmtId="180" fontId="3" fillId="4" borderId="1" xfId="17" applyNumberFormat="1" applyFont="1" applyFill="1" applyBorder="1"/>
    <xf numFmtId="10" fontId="2" fillId="5" borderId="1" xfId="18" applyNumberFormat="1" applyFont="1" applyFill="1" applyBorder="1"/>
    <xf numFmtId="0" fontId="3" fillId="5" borderId="0" xfId="14" applyFont="1" applyFill="1"/>
    <xf numFmtId="187" fontId="2" fillId="5" borderId="1" xfId="14" applyNumberFormat="1" applyFont="1" applyFill="1" applyBorder="1"/>
    <xf numFmtId="2" fontId="2" fillId="5" borderId="1" xfId="14" applyNumberFormat="1" applyFont="1" applyFill="1" applyBorder="1"/>
    <xf numFmtId="0" fontId="2" fillId="5" borderId="37" xfId="14" applyFont="1" applyFill="1" applyBorder="1"/>
    <xf numFmtId="0" fontId="2" fillId="5" borderId="34" xfId="14" applyFont="1" applyFill="1" applyBorder="1"/>
    <xf numFmtId="0" fontId="2" fillId="5" borderId="36" xfId="14" applyFont="1" applyFill="1" applyBorder="1"/>
    <xf numFmtId="0" fontId="2" fillId="10" borderId="44" xfId="14" applyFont="1" applyFill="1" applyBorder="1" applyAlignment="1">
      <alignment horizontal="left"/>
    </xf>
    <xf numFmtId="0" fontId="1" fillId="6" borderId="35" xfId="14" applyFill="1" applyBorder="1"/>
    <xf numFmtId="0" fontId="2" fillId="10" borderId="35" xfId="14" applyFont="1" applyFill="1" applyBorder="1"/>
    <xf numFmtId="0" fontId="1" fillId="10" borderId="35" xfId="14" applyFill="1" applyBorder="1"/>
    <xf numFmtId="0" fontId="1" fillId="10" borderId="43" xfId="14" applyFill="1" applyBorder="1"/>
    <xf numFmtId="0" fontId="2" fillId="5" borderId="39" xfId="14" applyFont="1" applyFill="1" applyBorder="1" applyAlignment="1">
      <alignment horizontal="left"/>
    </xf>
    <xf numFmtId="0" fontId="2" fillId="5" borderId="38" xfId="14" applyFont="1" applyFill="1" applyBorder="1" applyAlignment="1">
      <alignment horizontal="right"/>
    </xf>
    <xf numFmtId="0" fontId="2" fillId="5" borderId="0" xfId="14" applyFont="1" applyFill="1" applyAlignment="1">
      <alignment horizontal="center"/>
    </xf>
    <xf numFmtId="0" fontId="2" fillId="8" borderId="39" xfId="14" applyFont="1" applyFill="1" applyBorder="1"/>
    <xf numFmtId="0" fontId="2" fillId="8" borderId="0" xfId="14" applyFont="1" applyFill="1" applyAlignment="1">
      <alignment horizontal="right"/>
    </xf>
    <xf numFmtId="0" fontId="2" fillId="8" borderId="38" xfId="14" applyFont="1" applyFill="1" applyBorder="1" applyAlignment="1">
      <alignment horizontal="right"/>
    </xf>
    <xf numFmtId="0" fontId="1" fillId="0" borderId="0" xfId="14" applyAlignment="1">
      <alignment horizontal="left"/>
    </xf>
    <xf numFmtId="0" fontId="2" fillId="5" borderId="40" xfId="14" applyFont="1" applyFill="1" applyBorder="1"/>
    <xf numFmtId="168" fontId="2" fillId="5" borderId="38" xfId="14" applyNumberFormat="1" applyFont="1" applyFill="1" applyBorder="1" applyAlignment="1">
      <alignment horizontal="right"/>
    </xf>
    <xf numFmtId="168" fontId="2" fillId="8" borderId="0" xfId="14" applyNumberFormat="1" applyFont="1" applyFill="1" applyAlignment="1">
      <alignment horizontal="right"/>
    </xf>
    <xf numFmtId="184" fontId="2" fillId="8" borderId="38" xfId="11" applyNumberFormat="1" applyFont="1" applyFill="1" applyBorder="1"/>
    <xf numFmtId="188" fontId="2" fillId="5" borderId="0" xfId="14" applyNumberFormat="1" applyFont="1" applyFill="1" applyAlignment="1">
      <alignment horizontal="right"/>
    </xf>
    <xf numFmtId="188" fontId="2" fillId="5" borderId="38" xfId="14" applyNumberFormat="1" applyFont="1" applyFill="1" applyBorder="1" applyAlignment="1">
      <alignment horizontal="right"/>
    </xf>
    <xf numFmtId="190" fontId="2" fillId="5" borderId="0" xfId="14" applyNumberFormat="1" applyFont="1" applyFill="1" applyAlignment="1">
      <alignment horizontal="right"/>
    </xf>
    <xf numFmtId="168" fontId="2" fillId="5" borderId="38" xfId="14" applyNumberFormat="1" applyFont="1" applyFill="1" applyBorder="1"/>
    <xf numFmtId="187" fontId="2" fillId="5" borderId="0" xfId="14" applyNumberFormat="1" applyFont="1" applyFill="1"/>
    <xf numFmtId="164" fontId="2" fillId="11" borderId="0" xfId="13" applyFont="1" applyFill="1" applyBorder="1" applyProtection="1"/>
    <xf numFmtId="164" fontId="2" fillId="5" borderId="0" xfId="14" applyNumberFormat="1" applyFont="1" applyFill="1"/>
    <xf numFmtId="9" fontId="2" fillId="0" borderId="0" xfId="12" applyFont="1" applyFill="1" applyBorder="1"/>
    <xf numFmtId="2" fontId="2" fillId="5" borderId="34" xfId="14" applyNumberFormat="1" applyFont="1" applyFill="1" applyBorder="1"/>
    <xf numFmtId="2" fontId="2" fillId="5" borderId="36" xfId="14" applyNumberFormat="1" applyFont="1" applyFill="1" applyBorder="1"/>
    <xf numFmtId="168" fontId="2" fillId="8" borderId="0" xfId="14" applyNumberFormat="1" applyFont="1" applyFill="1"/>
    <xf numFmtId="168" fontId="2" fillId="8" borderId="38" xfId="14" applyNumberFormat="1" applyFont="1" applyFill="1" applyBorder="1"/>
    <xf numFmtId="188" fontId="2" fillId="5" borderId="0" xfId="14" applyNumberFormat="1" applyFont="1" applyFill="1"/>
    <xf numFmtId="188" fontId="2" fillId="5" borderId="38" xfId="14" applyNumberFormat="1" applyFont="1" applyFill="1" applyBorder="1"/>
    <xf numFmtId="172" fontId="2" fillId="5" borderId="0" xfId="14" applyNumberFormat="1" applyFont="1" applyFill="1"/>
    <xf numFmtId="164" fontId="2" fillId="11" borderId="0" xfId="13" applyFont="1" applyFill="1" applyBorder="1" applyAlignment="1" applyProtection="1"/>
    <xf numFmtId="9" fontId="2" fillId="0" borderId="0" xfId="12" applyFont="1" applyFill="1" applyBorder="1" applyAlignment="1"/>
    <xf numFmtId="2" fontId="2" fillId="5" borderId="0" xfId="14" applyNumberFormat="1" applyFont="1" applyFill="1"/>
    <xf numFmtId="0" fontId="1" fillId="10" borderId="31" xfId="14" applyFill="1" applyBorder="1"/>
    <xf numFmtId="0" fontId="2" fillId="8" borderId="48" xfId="14" applyFont="1" applyFill="1" applyBorder="1"/>
    <xf numFmtId="0" fontId="2" fillId="8" borderId="16" xfId="14" applyFont="1" applyFill="1" applyBorder="1"/>
    <xf numFmtId="0" fontId="2" fillId="5" borderId="16" xfId="14" applyFont="1" applyFill="1" applyBorder="1"/>
    <xf numFmtId="0" fontId="16" fillId="5" borderId="0" xfId="14" applyFont="1" applyFill="1" applyAlignment="1">
      <alignment horizontal="left"/>
    </xf>
    <xf numFmtId="189" fontId="2" fillId="11" borderId="1" xfId="14" applyNumberFormat="1" applyFont="1" applyFill="1" applyBorder="1"/>
    <xf numFmtId="167" fontId="2" fillId="5" borderId="24" xfId="14" applyNumberFormat="1" applyFont="1" applyFill="1" applyBorder="1" applyAlignment="1">
      <alignment horizontal="right"/>
    </xf>
    <xf numFmtId="167" fontId="2" fillId="5" borderId="5" xfId="14" applyNumberFormat="1" applyFont="1" applyFill="1" applyBorder="1" applyAlignment="1">
      <alignment horizontal="right"/>
    </xf>
    <xf numFmtId="167" fontId="2" fillId="5" borderId="46" xfId="14" applyNumberFormat="1" applyFont="1" applyFill="1" applyBorder="1" applyAlignment="1">
      <alignment horizontal="right"/>
    </xf>
    <xf numFmtId="0" fontId="16" fillId="5" borderId="39" xfId="14" applyFont="1" applyFill="1" applyBorder="1" applyAlignment="1">
      <alignment horizontal="right"/>
    </xf>
    <xf numFmtId="10" fontId="2" fillId="5" borderId="45" xfId="12" applyNumberFormat="1" applyFont="1" applyFill="1" applyBorder="1"/>
    <xf numFmtId="10" fontId="2" fillId="5" borderId="18" xfId="12" applyNumberFormat="1" applyFont="1" applyFill="1" applyBorder="1"/>
    <xf numFmtId="2" fontId="2" fillId="0" borderId="0" xfId="14" applyNumberFormat="1" applyFont="1"/>
    <xf numFmtId="2" fontId="2" fillId="13" borderId="1" xfId="14" applyNumberFormat="1" applyFont="1" applyFill="1" applyBorder="1"/>
    <xf numFmtId="9" fontId="2" fillId="5" borderId="0" xfId="12" applyFont="1" applyFill="1" applyBorder="1"/>
    <xf numFmtId="9" fontId="2" fillId="5" borderId="34" xfId="12" applyFont="1" applyFill="1" applyBorder="1"/>
    <xf numFmtId="168" fontId="2" fillId="8" borderId="38" xfId="14" applyNumberFormat="1" applyFont="1" applyFill="1" applyBorder="1" applyAlignment="1">
      <alignment horizontal="right"/>
    </xf>
    <xf numFmtId="176" fontId="2" fillId="5" borderId="0" xfId="14" applyNumberFormat="1" applyFont="1" applyFill="1" applyAlignment="1">
      <alignment horizontal="right"/>
    </xf>
    <xf numFmtId="189" fontId="2" fillId="5" borderId="0" xfId="14" applyNumberFormat="1" applyFont="1" applyFill="1" applyAlignment="1">
      <alignment horizontal="right"/>
    </xf>
    <xf numFmtId="189" fontId="2" fillId="5" borderId="38" xfId="14" applyNumberFormat="1" applyFont="1" applyFill="1" applyBorder="1" applyAlignment="1">
      <alignment horizontal="right"/>
    </xf>
    <xf numFmtId="0" fontId="16" fillId="5" borderId="0" xfId="14" applyFont="1" applyFill="1" applyAlignment="1">
      <alignment horizontal="right"/>
    </xf>
    <xf numFmtId="9" fontId="2" fillId="5" borderId="0" xfId="12" applyFont="1" applyFill="1" applyBorder="1" applyAlignment="1">
      <alignment horizontal="right"/>
    </xf>
    <xf numFmtId="2" fontId="2" fillId="5" borderId="0" xfId="14" applyNumberFormat="1" applyFont="1" applyFill="1" applyAlignment="1">
      <alignment horizontal="right"/>
    </xf>
    <xf numFmtId="2" fontId="2" fillId="5" borderId="38" xfId="14" applyNumberFormat="1" applyFont="1" applyFill="1" applyBorder="1" applyAlignment="1">
      <alignment horizontal="right"/>
    </xf>
    <xf numFmtId="187" fontId="2" fillId="5" borderId="0" xfId="12" applyNumberFormat="1" applyFont="1" applyFill="1" applyBorder="1" applyAlignment="1">
      <alignment horizontal="right"/>
    </xf>
    <xf numFmtId="187" fontId="2" fillId="5" borderId="0" xfId="14" applyNumberFormat="1" applyFont="1" applyFill="1" applyAlignment="1">
      <alignment horizontal="right"/>
    </xf>
    <xf numFmtId="164" fontId="2" fillId="11" borderId="0" xfId="13" applyFont="1" applyFill="1" applyBorder="1" applyAlignment="1" applyProtection="1">
      <alignment horizontal="right"/>
    </xf>
    <xf numFmtId="164" fontId="2" fillId="5" borderId="0" xfId="14" applyNumberFormat="1" applyFont="1" applyFill="1" applyAlignment="1">
      <alignment horizontal="right"/>
    </xf>
    <xf numFmtId="9" fontId="2" fillId="0" borderId="0" xfId="12" applyFont="1" applyFill="1" applyBorder="1" applyAlignment="1">
      <alignment horizontal="right"/>
    </xf>
    <xf numFmtId="9" fontId="2" fillId="5" borderId="35" xfId="12" applyFont="1" applyFill="1" applyBorder="1"/>
    <xf numFmtId="2" fontId="2" fillId="5" borderId="35" xfId="14" applyNumberFormat="1" applyFont="1" applyFill="1" applyBorder="1"/>
    <xf numFmtId="2" fontId="2" fillId="5" borderId="38" xfId="14" applyNumberFormat="1" applyFont="1" applyFill="1" applyBorder="1"/>
    <xf numFmtId="0" fontId="2" fillId="5" borderId="47" xfId="14" applyFont="1" applyFill="1" applyBorder="1"/>
    <xf numFmtId="175" fontId="2" fillId="5" borderId="0" xfId="14" applyNumberFormat="1" applyFont="1" applyFill="1" applyAlignment="1">
      <alignment horizontal="right"/>
    </xf>
    <xf numFmtId="175" fontId="2" fillId="5" borderId="38" xfId="14" applyNumberFormat="1" applyFont="1" applyFill="1" applyBorder="1" applyAlignment="1">
      <alignment horizontal="right"/>
    </xf>
    <xf numFmtId="167" fontId="2" fillId="5" borderId="0" xfId="12" applyNumberFormat="1" applyFont="1" applyFill="1" applyBorder="1" applyAlignment="1" applyProtection="1">
      <alignment horizontal="right"/>
    </xf>
    <xf numFmtId="167" fontId="2" fillId="5" borderId="38" xfId="12" applyNumberFormat="1" applyFont="1" applyFill="1" applyBorder="1" applyAlignment="1" applyProtection="1">
      <alignment horizontal="right"/>
    </xf>
    <xf numFmtId="167" fontId="2" fillId="8" borderId="0" xfId="12" applyNumberFormat="1" applyFont="1" applyFill="1" applyBorder="1" applyAlignment="1" applyProtection="1">
      <alignment horizontal="right"/>
    </xf>
    <xf numFmtId="167" fontId="2" fillId="8" borderId="38" xfId="12" applyNumberFormat="1" applyFont="1" applyFill="1" applyBorder="1" applyAlignment="1" applyProtection="1">
      <alignment horizontal="right"/>
    </xf>
    <xf numFmtId="169" fontId="2" fillId="5" borderId="0" xfId="14" applyNumberFormat="1" applyFont="1" applyFill="1" applyAlignment="1">
      <alignment horizontal="right"/>
    </xf>
    <xf numFmtId="169" fontId="2" fillId="5" borderId="38" xfId="14" applyNumberFormat="1" applyFont="1" applyFill="1" applyBorder="1"/>
    <xf numFmtId="4" fontId="2" fillId="5" borderId="0" xfId="14" applyNumberFormat="1" applyFont="1" applyFill="1" applyAlignment="1">
      <alignment horizontal="right"/>
    </xf>
    <xf numFmtId="0" fontId="16" fillId="5" borderId="38" xfId="14" applyFont="1" applyFill="1" applyBorder="1" applyAlignment="1">
      <alignment horizontal="right"/>
    </xf>
    <xf numFmtId="174" fontId="2" fillId="5" borderId="0" xfId="14" applyNumberFormat="1" applyFont="1" applyFill="1" applyAlignment="1">
      <alignment horizontal="right"/>
    </xf>
    <xf numFmtId="172" fontId="2" fillId="5" borderId="0" xfId="14" applyNumberFormat="1" applyFont="1" applyFill="1" applyAlignment="1">
      <alignment horizontal="right"/>
    </xf>
    <xf numFmtId="0" fontId="7" fillId="5" borderId="0" xfId="14" applyFont="1" applyFill="1"/>
    <xf numFmtId="0" fontId="15" fillId="5" borderId="0" xfId="14" applyFont="1" applyFill="1" applyAlignment="1">
      <alignment horizontal="center"/>
    </xf>
    <xf numFmtId="0" fontId="2" fillId="5" borderId="39" xfId="14" quotePrefix="1" applyFont="1" applyFill="1" applyBorder="1"/>
    <xf numFmtId="168" fontId="2" fillId="5" borderId="0" xfId="13" applyNumberFormat="1" applyFont="1" applyFill="1" applyBorder="1" applyAlignment="1"/>
    <xf numFmtId="168" fontId="2" fillId="5" borderId="38" xfId="13" applyNumberFormat="1" applyFont="1" applyFill="1" applyBorder="1" applyAlignment="1"/>
    <xf numFmtId="172" fontId="2" fillId="5" borderId="38" xfId="14" applyNumberFormat="1" applyFont="1" applyFill="1" applyBorder="1"/>
    <xf numFmtId="3" fontId="0" fillId="0" borderId="0" xfId="0" applyNumberFormat="1"/>
    <xf numFmtId="10" fontId="0" fillId="0" borderId="0" xfId="0" applyNumberFormat="1"/>
    <xf numFmtId="10" fontId="1" fillId="0" borderId="0" xfId="14" applyNumberFormat="1"/>
    <xf numFmtId="0" fontId="1" fillId="3" borderId="0" xfId="1" applyFill="1"/>
    <xf numFmtId="0" fontId="2" fillId="3" borderId="0" xfId="1" applyFont="1" applyFill="1" applyAlignment="1">
      <alignment horizontal="center" vertical="center" wrapText="1"/>
    </xf>
    <xf numFmtId="0" fontId="2" fillId="3" borderId="0" xfId="1" applyFont="1" applyFill="1" applyAlignment="1">
      <alignment vertical="center"/>
    </xf>
    <xf numFmtId="0" fontId="2" fillId="3" borderId="58" xfId="1" applyFont="1" applyFill="1" applyBorder="1"/>
    <xf numFmtId="0" fontId="2" fillId="3" borderId="60" xfId="1" applyFont="1" applyFill="1" applyBorder="1"/>
    <xf numFmtId="0" fontId="2" fillId="3" borderId="14" xfId="1" applyFont="1" applyFill="1" applyBorder="1" applyAlignment="1">
      <alignment horizontal="center" vertical="center" wrapText="1"/>
    </xf>
    <xf numFmtId="0" fontId="2" fillId="0" borderId="0" xfId="1" applyFont="1" applyAlignment="1">
      <alignment vertical="center"/>
    </xf>
    <xf numFmtId="0" fontId="2" fillId="3" borderId="0" xfId="1" applyFont="1" applyFill="1" applyAlignment="1">
      <alignment vertical="center" wrapText="1"/>
    </xf>
    <xf numFmtId="0" fontId="21" fillId="3" borderId="1" xfId="1" applyFont="1" applyFill="1" applyBorder="1"/>
    <xf numFmtId="0" fontId="21" fillId="3" borderId="5" xfId="1" applyFont="1" applyFill="1" applyBorder="1"/>
    <xf numFmtId="0" fontId="21" fillId="3" borderId="24" xfId="1" applyFont="1" applyFill="1" applyBorder="1"/>
    <xf numFmtId="0" fontId="21" fillId="3" borderId="16" xfId="1" applyFont="1" applyFill="1" applyBorder="1"/>
    <xf numFmtId="0" fontId="21" fillId="3" borderId="56" xfId="1" applyFont="1" applyFill="1" applyBorder="1"/>
    <xf numFmtId="0" fontId="21" fillId="16" borderId="2" xfId="1" applyFont="1" applyFill="1" applyBorder="1" applyAlignment="1">
      <alignment horizontal="center"/>
    </xf>
    <xf numFmtId="191" fontId="21" fillId="16" borderId="3" xfId="1" applyNumberFormat="1" applyFont="1" applyFill="1" applyBorder="1" applyAlignment="1">
      <alignment horizontal="center"/>
    </xf>
    <xf numFmtId="0" fontId="21" fillId="16" borderId="3" xfId="1" applyFont="1" applyFill="1" applyBorder="1" applyAlignment="1">
      <alignment horizontal="center"/>
    </xf>
    <xf numFmtId="0" fontId="21" fillId="16" borderId="4" xfId="1" applyFont="1" applyFill="1" applyBorder="1" applyAlignment="1">
      <alignment horizontal="center"/>
    </xf>
    <xf numFmtId="0" fontId="22" fillId="0" borderId="0" xfId="1" applyFont="1"/>
    <xf numFmtId="0" fontId="21" fillId="3" borderId="0" xfId="1" applyFont="1" applyFill="1"/>
    <xf numFmtId="0" fontId="21" fillId="3" borderId="14" xfId="1" applyFont="1" applyFill="1" applyBorder="1"/>
    <xf numFmtId="0" fontId="21" fillId="16" borderId="3" xfId="1" applyFont="1" applyFill="1" applyBorder="1"/>
    <xf numFmtId="0" fontId="21" fillId="16" borderId="4" xfId="1" applyFont="1" applyFill="1" applyBorder="1"/>
    <xf numFmtId="174" fontId="21" fillId="3" borderId="1" xfId="1" applyNumberFormat="1" applyFont="1" applyFill="1" applyBorder="1"/>
    <xf numFmtId="0" fontId="2" fillId="3" borderId="0" xfId="1" applyFont="1" applyFill="1" applyAlignment="1">
      <alignment vertical="top"/>
    </xf>
    <xf numFmtId="0" fontId="23" fillId="3" borderId="0" xfId="1" applyFont="1" applyFill="1" applyAlignment="1">
      <alignment horizontal="center"/>
    </xf>
    <xf numFmtId="0" fontId="23" fillId="3" borderId="0" xfId="1" applyFont="1" applyFill="1"/>
    <xf numFmtId="0" fontId="23" fillId="3" borderId="5" xfId="1" applyFont="1" applyFill="1" applyBorder="1"/>
    <xf numFmtId="9" fontId="23" fillId="3" borderId="1" xfId="20" applyFont="1" applyFill="1" applyBorder="1" applyAlignment="1">
      <alignment horizontal="center"/>
    </xf>
    <xf numFmtId="0" fontId="21" fillId="3" borderId="14" xfId="1" applyFont="1" applyFill="1" applyBorder="1" applyAlignment="1">
      <alignment horizontal="left"/>
    </xf>
    <xf numFmtId="0" fontId="22" fillId="0" borderId="0" xfId="1" applyFont="1" applyAlignment="1">
      <alignment horizontal="center"/>
    </xf>
    <xf numFmtId="0" fontId="24" fillId="3" borderId="0" xfId="1" applyFont="1" applyFill="1"/>
    <xf numFmtId="0" fontId="23" fillId="3" borderId="1" xfId="1" applyFont="1" applyFill="1" applyBorder="1"/>
    <xf numFmtId="167" fontId="23" fillId="3" borderId="1" xfId="20" applyNumberFormat="1" applyFont="1" applyFill="1" applyBorder="1"/>
    <xf numFmtId="167" fontId="21" fillId="3" borderId="1" xfId="20" applyNumberFormat="1" applyFont="1" applyFill="1" applyBorder="1"/>
    <xf numFmtId="184" fontId="23" fillId="3" borderId="1" xfId="21" applyNumberFormat="1" applyFont="1" applyFill="1" applyBorder="1"/>
    <xf numFmtId="174" fontId="23" fillId="3" borderId="1" xfId="1" applyNumberFormat="1" applyFont="1" applyFill="1" applyBorder="1"/>
    <xf numFmtId="0" fontId="21" fillId="13" borderId="2" xfId="1" applyFont="1" applyFill="1" applyBorder="1" applyAlignment="1">
      <alignment horizontal="center"/>
    </xf>
    <xf numFmtId="191" fontId="21" fillId="13" borderId="3" xfId="1" applyNumberFormat="1" applyFont="1" applyFill="1" applyBorder="1" applyAlignment="1">
      <alignment horizontal="center"/>
    </xf>
    <xf numFmtId="0" fontId="21" fillId="13" borderId="3" xfId="1" applyFont="1" applyFill="1" applyBorder="1" applyAlignment="1">
      <alignment horizontal="center"/>
    </xf>
    <xf numFmtId="0" fontId="1" fillId="0" borderId="0" xfId="1" applyAlignment="1">
      <alignment horizontal="center"/>
    </xf>
    <xf numFmtId="165" fontId="23" fillId="13" borderId="1" xfId="22" applyNumberFormat="1" applyFont="1" applyFill="1" applyBorder="1"/>
    <xf numFmtId="0" fontId="1" fillId="0" borderId="0" xfId="6"/>
    <xf numFmtId="0" fontId="1" fillId="17" borderId="0" xfId="6" applyFill="1"/>
    <xf numFmtId="0" fontId="1" fillId="3" borderId="0" xfId="6" applyFill="1"/>
    <xf numFmtId="0" fontId="1" fillId="0" borderId="0" xfId="6" applyAlignment="1">
      <alignment horizontal="center"/>
    </xf>
    <xf numFmtId="0" fontId="2" fillId="17" borderId="0" xfId="6" applyFont="1" applyFill="1"/>
    <xf numFmtId="0" fontId="1" fillId="3" borderId="0" xfId="23" applyFill="1"/>
    <xf numFmtId="0" fontId="26" fillId="0" borderId="0" xfId="6" applyFont="1" applyAlignment="1">
      <alignment horizontal="center" vertical="center"/>
    </xf>
    <xf numFmtId="0" fontId="26" fillId="3" borderId="0" xfId="23" applyFont="1" applyFill="1" applyAlignment="1">
      <alignment horizontal="center" vertical="center"/>
    </xf>
    <xf numFmtId="0" fontId="28" fillId="17" borderId="0" xfId="6" applyFont="1" applyFill="1"/>
    <xf numFmtId="167" fontId="2" fillId="17" borderId="61" xfId="6" applyNumberFormat="1" applyFont="1" applyFill="1" applyBorder="1"/>
    <xf numFmtId="0" fontId="2" fillId="17" borderId="62" xfId="6" applyFont="1" applyFill="1" applyBorder="1"/>
    <xf numFmtId="0" fontId="2" fillId="17" borderId="63" xfId="6" applyFont="1" applyFill="1" applyBorder="1"/>
    <xf numFmtId="0" fontId="2" fillId="17" borderId="64" xfId="6" applyFont="1" applyFill="1" applyBorder="1"/>
    <xf numFmtId="167" fontId="2" fillId="17" borderId="65" xfId="24" applyNumberFormat="1" applyFont="1" applyFill="1" applyBorder="1"/>
    <xf numFmtId="0" fontId="2" fillId="17" borderId="5" xfId="6" applyFont="1" applyFill="1" applyBorder="1"/>
    <xf numFmtId="0" fontId="2" fillId="17" borderId="66" xfId="6" applyFont="1" applyFill="1" applyBorder="1"/>
    <xf numFmtId="0" fontId="2" fillId="17" borderId="67" xfId="6" applyFont="1" applyFill="1" applyBorder="1"/>
    <xf numFmtId="0" fontId="2" fillId="17" borderId="18" xfId="6" applyFont="1" applyFill="1" applyBorder="1"/>
    <xf numFmtId="2" fontId="2" fillId="17" borderId="65" xfId="6" applyNumberFormat="1" applyFont="1" applyFill="1" applyBorder="1"/>
    <xf numFmtId="0" fontId="2" fillId="17" borderId="45" xfId="6" applyFont="1" applyFill="1" applyBorder="1"/>
    <xf numFmtId="0" fontId="2" fillId="17" borderId="16" xfId="6" applyFont="1" applyFill="1" applyBorder="1"/>
    <xf numFmtId="0" fontId="2" fillId="17" borderId="68" xfId="6" applyFont="1" applyFill="1" applyBorder="1"/>
    <xf numFmtId="180" fontId="0" fillId="0" borderId="0" xfId="2" applyNumberFormat="1" applyFont="1"/>
    <xf numFmtId="0" fontId="1" fillId="15" borderId="0" xfId="6" applyFill="1"/>
    <xf numFmtId="0" fontId="1" fillId="0" borderId="0" xfId="23"/>
    <xf numFmtId="0" fontId="1" fillId="3" borderId="0" xfId="6" applyFill="1" applyAlignment="1">
      <alignment horizontal="center"/>
    </xf>
    <xf numFmtId="1" fontId="1" fillId="0" borderId="21" xfId="6" applyNumberFormat="1" applyBorder="1" applyAlignment="1">
      <alignment horizontal="center"/>
    </xf>
    <xf numFmtId="0" fontId="19" fillId="19" borderId="23" xfId="6" applyFont="1" applyFill="1" applyBorder="1" applyAlignment="1">
      <alignment horizontal="right" vertical="center"/>
    </xf>
    <xf numFmtId="0" fontId="1" fillId="0" borderId="0" xfId="6" applyAlignment="1">
      <alignment horizontal="left" vertical="center"/>
    </xf>
    <xf numFmtId="0" fontId="1" fillId="0" borderId="72" xfId="6" applyBorder="1" applyAlignment="1">
      <alignment horizontal="left" vertical="center" wrapText="1"/>
    </xf>
    <xf numFmtId="0" fontId="1" fillId="0" borderId="73" xfId="6" applyBorder="1" applyAlignment="1">
      <alignment horizontal="left" vertical="center"/>
    </xf>
    <xf numFmtId="0" fontId="1" fillId="0" borderId="73" xfId="6" applyBorder="1"/>
    <xf numFmtId="0" fontId="19" fillId="19" borderId="74" xfId="6" applyFont="1" applyFill="1" applyBorder="1" applyAlignment="1">
      <alignment horizontal="center" vertical="center"/>
    </xf>
    <xf numFmtId="0" fontId="1" fillId="0" borderId="75" xfId="6" applyBorder="1" applyAlignment="1">
      <alignment horizontal="left" vertical="center" wrapText="1"/>
    </xf>
    <xf numFmtId="0" fontId="1" fillId="0" borderId="1" xfId="6" applyBorder="1" applyAlignment="1">
      <alignment horizontal="center" vertical="center"/>
    </xf>
    <xf numFmtId="0" fontId="1" fillId="0" borderId="1" xfId="6" applyBorder="1" applyAlignment="1">
      <alignment horizontal="left" vertical="center"/>
    </xf>
    <xf numFmtId="0" fontId="1" fillId="0" borderId="1" xfId="6" applyBorder="1"/>
    <xf numFmtId="0" fontId="19" fillId="19" borderId="76" xfId="6" applyFont="1" applyFill="1" applyBorder="1" applyAlignment="1">
      <alignment horizontal="center" vertical="center"/>
    </xf>
    <xf numFmtId="0" fontId="19" fillId="19" borderId="21" xfId="6" applyFont="1" applyFill="1" applyBorder="1" applyAlignment="1">
      <alignment horizontal="center" vertical="center"/>
    </xf>
    <xf numFmtId="0" fontId="19" fillId="19" borderId="22" xfId="6" applyFont="1" applyFill="1" applyBorder="1" applyAlignment="1">
      <alignment horizontal="center" vertical="center"/>
    </xf>
    <xf numFmtId="0" fontId="19" fillId="19" borderId="23" xfId="6" applyFont="1" applyFill="1" applyBorder="1" applyAlignment="1">
      <alignment horizontal="center" vertical="center"/>
    </xf>
    <xf numFmtId="43" fontId="1" fillId="0" borderId="0" xfId="14" applyNumberFormat="1"/>
    <xf numFmtId="2" fontId="3" fillId="4" borderId="1" xfId="13" applyNumberFormat="1" applyFont="1" applyFill="1" applyBorder="1" applyAlignment="1">
      <alignment horizontal="right"/>
    </xf>
    <xf numFmtId="9" fontId="0" fillId="0" borderId="0" xfId="0" applyNumberFormat="1"/>
    <xf numFmtId="9" fontId="23" fillId="3" borderId="1" xfId="19" applyFont="1" applyFill="1" applyBorder="1" applyAlignment="1">
      <alignment horizontal="center"/>
    </xf>
    <xf numFmtId="10" fontId="1" fillId="0" borderId="0" xfId="1" applyNumberFormat="1"/>
    <xf numFmtId="0" fontId="1" fillId="3" borderId="1" xfId="1" applyFill="1" applyBorder="1" applyAlignment="1">
      <alignment horizontal="center" wrapText="1"/>
    </xf>
    <xf numFmtId="0" fontId="1" fillId="18" borderId="1" xfId="1" applyFill="1" applyBorder="1" applyAlignment="1">
      <alignment horizontal="center" vertical="center" wrapText="1"/>
    </xf>
    <xf numFmtId="0" fontId="1" fillId="18" borderId="24" xfId="1" applyFill="1" applyBorder="1" applyAlignment="1">
      <alignment horizontal="center" wrapText="1"/>
    </xf>
    <xf numFmtId="0" fontId="1" fillId="18" borderId="1" xfId="1" applyFill="1" applyBorder="1" applyAlignment="1">
      <alignment horizontal="center" wrapText="1"/>
    </xf>
    <xf numFmtId="0" fontId="1" fillId="18" borderId="1" xfId="1" applyFill="1" applyBorder="1"/>
    <xf numFmtId="0" fontId="2" fillId="3" borderId="1" xfId="1" applyFont="1" applyFill="1" applyBorder="1" applyAlignment="1">
      <alignment horizontal="center"/>
    </xf>
    <xf numFmtId="0" fontId="1" fillId="20" borderId="1" xfId="1" applyFill="1" applyBorder="1" applyAlignment="1">
      <alignment horizontal="center" wrapText="1"/>
    </xf>
    <xf numFmtId="0" fontId="2" fillId="3" borderId="1" xfId="1" applyFont="1" applyFill="1" applyBorder="1" applyAlignment="1">
      <alignment horizontal="center" wrapText="1"/>
    </xf>
    <xf numFmtId="0" fontId="2" fillId="20" borderId="1" xfId="1" applyFont="1" applyFill="1" applyBorder="1" applyAlignment="1">
      <alignment horizontal="center" vertical="center" wrapText="1"/>
    </xf>
    <xf numFmtId="0" fontId="2" fillId="20" borderId="24" xfId="1" applyFont="1" applyFill="1" applyBorder="1" applyAlignment="1">
      <alignment horizontal="center" wrapText="1"/>
    </xf>
    <xf numFmtId="0" fontId="1" fillId="20" borderId="1" xfId="1" applyFill="1" applyBorder="1" applyAlignment="1">
      <alignment horizontal="center" vertical="center" wrapText="1"/>
    </xf>
    <xf numFmtId="0" fontId="1" fillId="20" borderId="24" xfId="1" applyFill="1" applyBorder="1" applyAlignment="1">
      <alignment horizontal="center" wrapText="1"/>
    </xf>
    <xf numFmtId="2" fontId="1" fillId="0" borderId="0" xfId="1" applyNumberFormat="1"/>
    <xf numFmtId="184" fontId="1" fillId="20" borderId="1" xfId="21" applyNumberFormat="1" applyFont="1" applyFill="1" applyBorder="1" applyAlignment="1">
      <alignment horizontal="center" vertical="center" wrapText="1"/>
    </xf>
    <xf numFmtId="174" fontId="1" fillId="20" borderId="24" xfId="1" applyNumberFormat="1" applyFill="1" applyBorder="1" applyAlignment="1">
      <alignment horizontal="center" wrapText="1"/>
    </xf>
    <xf numFmtId="174" fontId="1" fillId="3" borderId="1" xfId="1" applyNumberFormat="1" applyFill="1" applyBorder="1" applyAlignment="1">
      <alignment horizontal="center" wrapText="1"/>
    </xf>
    <xf numFmtId="0" fontId="25" fillId="3" borderId="1" xfId="1" applyFont="1" applyFill="1" applyBorder="1" applyAlignment="1">
      <alignment horizontal="center" vertical="center" wrapText="1"/>
    </xf>
    <xf numFmtId="0" fontId="25" fillId="20" borderId="24" xfId="1" applyFont="1" applyFill="1" applyBorder="1" applyAlignment="1">
      <alignment horizontal="center" vertical="center" wrapText="1"/>
    </xf>
    <xf numFmtId="0" fontId="2" fillId="3" borderId="1" xfId="1" applyFont="1" applyFill="1" applyBorder="1" applyAlignment="1">
      <alignment horizontal="center" vertical="center" wrapText="1"/>
    </xf>
    <xf numFmtId="0" fontId="25" fillId="20" borderId="1" xfId="1" applyFont="1" applyFill="1" applyBorder="1" applyAlignment="1">
      <alignment horizontal="center" vertical="center" wrapText="1"/>
    </xf>
    <xf numFmtId="0" fontId="20" fillId="18" borderId="14" xfId="1" applyFont="1" applyFill="1" applyBorder="1" applyAlignment="1">
      <alignment horizontal="center" vertical="center" wrapText="1"/>
    </xf>
    <xf numFmtId="9" fontId="2" fillId="3" borderId="1" xfId="19" applyFont="1" applyFill="1" applyBorder="1" applyAlignment="1">
      <alignment horizontal="center" wrapText="1"/>
    </xf>
    <xf numFmtId="9" fontId="2" fillId="20" borderId="24" xfId="19" applyFont="1" applyFill="1" applyBorder="1" applyAlignment="1">
      <alignment horizontal="center" wrapText="1"/>
    </xf>
    <xf numFmtId="9" fontId="2" fillId="20" borderId="1" xfId="19" applyFont="1" applyFill="1" applyBorder="1" applyAlignment="1">
      <alignment horizontal="center" vertical="center" wrapText="1"/>
    </xf>
    <xf numFmtId="194" fontId="1" fillId="0" borderId="0" xfId="1" applyNumberFormat="1"/>
    <xf numFmtId="9" fontId="1" fillId="3" borderId="1" xfId="19" applyFont="1" applyFill="1" applyBorder="1" applyAlignment="1">
      <alignment horizontal="center" wrapText="1"/>
    </xf>
    <xf numFmtId="9" fontId="1" fillId="20" borderId="24" xfId="19" applyFont="1" applyFill="1" applyBorder="1" applyAlignment="1">
      <alignment horizontal="center" wrapText="1"/>
    </xf>
    <xf numFmtId="9" fontId="1" fillId="20" borderId="1" xfId="19" applyFont="1" applyFill="1" applyBorder="1" applyAlignment="1">
      <alignment horizontal="center" vertical="center" wrapText="1"/>
    </xf>
    <xf numFmtId="10" fontId="1" fillId="0" borderId="0" xfId="6" applyNumberFormat="1"/>
    <xf numFmtId="4" fontId="1" fillId="0" borderId="0" xfId="6" applyNumberFormat="1"/>
    <xf numFmtId="0" fontId="31" fillId="0" borderId="77" xfId="0" applyFont="1" applyBorder="1" applyAlignment="1">
      <alignment wrapText="1"/>
    </xf>
    <xf numFmtId="0" fontId="31" fillId="0" borderId="77" xfId="0" applyFont="1" applyBorder="1" applyAlignment="1">
      <alignment horizontal="right" wrapText="1"/>
    </xf>
    <xf numFmtId="4" fontId="31" fillId="0" borderId="77" xfId="0" applyNumberFormat="1" applyFont="1" applyBorder="1" applyAlignment="1">
      <alignment horizontal="right" wrapText="1"/>
    </xf>
    <xf numFmtId="0" fontId="31" fillId="0" borderId="0" xfId="0" applyFont="1"/>
    <xf numFmtId="0" fontId="30" fillId="0" borderId="0" xfId="0" applyFont="1"/>
    <xf numFmtId="2" fontId="23" fillId="3" borderId="1" xfId="1" applyNumberFormat="1" applyFont="1" applyFill="1" applyBorder="1"/>
    <xf numFmtId="9" fontId="1" fillId="20" borderId="1" xfId="19" applyFont="1" applyFill="1" applyBorder="1" applyAlignment="1">
      <alignment horizontal="center" wrapText="1"/>
    </xf>
    <xf numFmtId="168" fontId="32" fillId="0" borderId="0" xfId="1" applyNumberFormat="1" applyFont="1"/>
    <xf numFmtId="167" fontId="33" fillId="0" borderId="0" xfId="1" applyNumberFormat="1" applyFont="1"/>
    <xf numFmtId="0" fontId="33" fillId="0" borderId="0" xfId="1" applyFont="1"/>
    <xf numFmtId="1" fontId="33" fillId="0" borderId="0" xfId="14" applyNumberFormat="1" applyFont="1"/>
    <xf numFmtId="0" fontId="34" fillId="0" borderId="0" xfId="14" applyFont="1"/>
    <xf numFmtId="1" fontId="34" fillId="0" borderId="0" xfId="14" applyNumberFormat="1" applyFont="1"/>
    <xf numFmtId="0" fontId="32" fillId="0" borderId="0" xfId="1" applyFont="1"/>
    <xf numFmtId="169" fontId="2" fillId="3" borderId="1" xfId="11" applyNumberFormat="1" applyFont="1" applyFill="1" applyBorder="1" applyProtection="1">
      <protection locked="0"/>
    </xf>
    <xf numFmtId="0" fontId="38" fillId="3" borderId="0" xfId="1" applyFont="1" applyFill="1" applyAlignment="1">
      <alignment vertical="top" textRotation="180"/>
    </xf>
    <xf numFmtId="0" fontId="40" fillId="3" borderId="0" xfId="1" applyFont="1" applyFill="1" applyAlignment="1">
      <alignment vertical="top" textRotation="180"/>
    </xf>
    <xf numFmtId="0" fontId="40" fillId="3" borderId="18" xfId="1" applyFont="1" applyFill="1" applyBorder="1" applyAlignment="1">
      <alignment vertical="top" textRotation="180"/>
    </xf>
    <xf numFmtId="0" fontId="36" fillId="0" borderId="0" xfId="1" applyFont="1"/>
    <xf numFmtId="0" fontId="41" fillId="16" borderId="0" xfId="1" applyFont="1" applyFill="1"/>
    <xf numFmtId="0" fontId="42" fillId="22" borderId="0" xfId="1" applyFont="1" applyFill="1" applyAlignment="1">
      <alignment horizontal="center" vertical="center"/>
    </xf>
    <xf numFmtId="195" fontId="42" fillId="22" borderId="0" xfId="1" applyNumberFormat="1" applyFont="1" applyFill="1" applyAlignment="1">
      <alignment horizontal="centerContinuous" vertical="center"/>
    </xf>
    <xf numFmtId="0" fontId="43" fillId="22" borderId="0" xfId="1" applyFont="1" applyFill="1" applyAlignment="1">
      <alignment horizontal="center" vertical="center"/>
    </xf>
    <xf numFmtId="195" fontId="43" fillId="22" borderId="0" xfId="1" applyNumberFormat="1" applyFont="1" applyFill="1" applyAlignment="1">
      <alignment horizontal="centerContinuous" vertical="center"/>
    </xf>
    <xf numFmtId="0" fontId="36" fillId="3" borderId="0" xfId="1" applyFont="1" applyFill="1"/>
    <xf numFmtId="0" fontId="41" fillId="16" borderId="16" xfId="1" applyFont="1" applyFill="1" applyBorder="1"/>
    <xf numFmtId="0" fontId="41" fillId="16" borderId="45" xfId="1" applyFont="1" applyFill="1" applyBorder="1"/>
    <xf numFmtId="195" fontId="43" fillId="22" borderId="18" xfId="1" applyNumberFormat="1" applyFont="1" applyFill="1" applyBorder="1" applyAlignment="1">
      <alignment horizontal="centerContinuous" vertical="center"/>
    </xf>
    <xf numFmtId="0" fontId="44" fillId="16" borderId="0" xfId="1" applyFont="1" applyFill="1" applyAlignment="1">
      <alignment horizontal="left"/>
    </xf>
    <xf numFmtId="0" fontId="41" fillId="16" borderId="18" xfId="1" applyFont="1" applyFill="1" applyBorder="1"/>
    <xf numFmtId="167" fontId="42" fillId="22" borderId="0" xfId="24" applyNumberFormat="1" applyFont="1" applyFill="1" applyBorder="1" applyAlignment="1">
      <alignment horizontal="centerContinuous" vertical="center"/>
    </xf>
    <xf numFmtId="167" fontId="43" fillId="22" borderId="0" xfId="24" applyNumberFormat="1" applyFont="1" applyFill="1" applyBorder="1" applyAlignment="1">
      <alignment horizontal="centerContinuous" vertical="center"/>
    </xf>
    <xf numFmtId="0" fontId="41" fillId="16" borderId="5" xfId="1" applyFont="1" applyFill="1" applyBorder="1"/>
    <xf numFmtId="0" fontId="41" fillId="16" borderId="19" xfId="1" applyFont="1" applyFill="1" applyBorder="1"/>
    <xf numFmtId="167" fontId="43" fillId="22" borderId="19" xfId="24" applyNumberFormat="1" applyFont="1" applyFill="1" applyBorder="1" applyAlignment="1">
      <alignment horizontal="centerContinuous" vertical="center"/>
    </xf>
    <xf numFmtId="0" fontId="45" fillId="3" borderId="0" xfId="1" applyFont="1" applyFill="1"/>
    <xf numFmtId="0" fontId="45" fillId="0" borderId="0" xfId="1" applyFont="1"/>
    <xf numFmtId="0" fontId="46" fillId="3" borderId="0" xfId="1" applyFont="1" applyFill="1"/>
    <xf numFmtId="0" fontId="47" fillId="0" borderId="0" xfId="1" applyFont="1"/>
    <xf numFmtId="0" fontId="36" fillId="20" borderId="0" xfId="1" applyFont="1" applyFill="1"/>
    <xf numFmtId="0" fontId="47" fillId="3" borderId="0" xfId="1" applyFont="1" applyFill="1"/>
    <xf numFmtId="0" fontId="36" fillId="0" borderId="0" xfId="1" applyFont="1" applyAlignment="1">
      <alignment horizontal="left" vertical="top" wrapText="1"/>
    </xf>
    <xf numFmtId="0" fontId="36" fillId="0" borderId="0" xfId="1" applyFont="1" applyAlignment="1">
      <alignment vertical="top"/>
    </xf>
    <xf numFmtId="3" fontId="36" fillId="0" borderId="0" xfId="1" applyNumberFormat="1" applyFont="1"/>
    <xf numFmtId="174" fontId="36" fillId="20" borderId="0" xfId="1" applyNumberFormat="1" applyFont="1" applyFill="1" applyAlignment="1">
      <alignment horizontal="center"/>
    </xf>
    <xf numFmtId="0" fontId="36" fillId="3" borderId="0" xfId="1" applyFont="1" applyFill="1" applyAlignment="1">
      <alignment vertical="top" wrapText="1"/>
    </xf>
    <xf numFmtId="0" fontId="49" fillId="0" borderId="0" xfId="1" applyFont="1" applyAlignment="1">
      <alignment horizontal="centerContinuous" vertical="top" wrapText="1"/>
    </xf>
    <xf numFmtId="0" fontId="36" fillId="3" borderId="0" xfId="1" applyFont="1" applyFill="1" applyAlignment="1">
      <alignment horizontal="centerContinuous" vertical="top" wrapText="1"/>
    </xf>
    <xf numFmtId="0" fontId="36" fillId="0" borderId="0" xfId="1" applyFont="1" applyAlignment="1">
      <alignment vertical="top" wrapText="1"/>
    </xf>
    <xf numFmtId="49" fontId="36" fillId="0" borderId="0" xfId="1" applyNumberFormat="1" applyFont="1" applyAlignment="1">
      <alignment vertical="top" wrapText="1"/>
    </xf>
    <xf numFmtId="0" fontId="47" fillId="0" borderId="0" xfId="1" applyFont="1" applyAlignment="1">
      <alignment horizontal="center"/>
    </xf>
    <xf numFmtId="0" fontId="36" fillId="0" borderId="0" xfId="1" applyFont="1" applyAlignment="1">
      <alignment horizontal="center"/>
    </xf>
    <xf numFmtId="0" fontId="40" fillId="0" borderId="0" xfId="1" applyFont="1" applyAlignment="1">
      <alignment vertical="top" textRotation="180"/>
    </xf>
    <xf numFmtId="0" fontId="51" fillId="0" borderId="0" xfId="1" applyFont="1"/>
    <xf numFmtId="0" fontId="47" fillId="20" borderId="5" xfId="1" applyFont="1" applyFill="1" applyBorder="1"/>
    <xf numFmtId="0" fontId="47" fillId="20" borderId="0" xfId="1" applyFont="1" applyFill="1" applyAlignment="1">
      <alignment vertical="top" wrapText="1"/>
    </xf>
    <xf numFmtId="0" fontId="53" fillId="0" borderId="0" xfId="1" applyFont="1"/>
    <xf numFmtId="0" fontId="36" fillId="20" borderId="0" xfId="1" applyFont="1" applyFill="1" applyAlignment="1">
      <alignment vertical="top"/>
    </xf>
    <xf numFmtId="3" fontId="36" fillId="20" borderId="0" xfId="1" applyNumberFormat="1" applyFont="1" applyFill="1" applyAlignment="1">
      <alignment horizontal="center" vertical="top" wrapText="1"/>
    </xf>
    <xf numFmtId="0" fontId="55" fillId="0" borderId="0" xfId="25" applyFont="1" applyAlignment="1">
      <alignment horizontal="center"/>
    </xf>
    <xf numFmtId="174" fontId="36" fillId="20" borderId="0" xfId="1" applyNumberFormat="1" applyFont="1" applyFill="1" applyAlignment="1">
      <alignment horizontal="center" vertical="top" wrapText="1"/>
    </xf>
    <xf numFmtId="0" fontId="56" fillId="0" borderId="0" xfId="25" applyFont="1" applyAlignment="1">
      <alignment horizontal="center"/>
    </xf>
    <xf numFmtId="200" fontId="58" fillId="0" borderId="0" xfId="25" applyNumberFormat="1" applyFont="1" applyAlignment="1">
      <alignment horizontal="center"/>
    </xf>
    <xf numFmtId="167" fontId="36" fillId="20" borderId="0" xfId="4" applyNumberFormat="1" applyFont="1" applyFill="1" applyAlignment="1">
      <alignment horizontal="center" vertical="top" wrapText="1"/>
    </xf>
    <xf numFmtId="0" fontId="53" fillId="0" borderId="0" xfId="1" applyFont="1" applyAlignment="1">
      <alignment vertical="top"/>
    </xf>
    <xf numFmtId="0" fontId="61" fillId="0" borderId="0" xfId="1" applyFont="1" applyAlignment="1">
      <alignment horizontal="centerContinuous"/>
    </xf>
    <xf numFmtId="0" fontId="62" fillId="0" borderId="78" xfId="25" applyFont="1" applyBorder="1" applyAlignment="1">
      <alignment horizontal="centerContinuous"/>
    </xf>
    <xf numFmtId="0" fontId="62" fillId="0" borderId="0" xfId="25" applyFont="1" applyAlignment="1">
      <alignment horizontal="centerContinuous"/>
    </xf>
    <xf numFmtId="0" fontId="49" fillId="3" borderId="0" xfId="1" applyFont="1" applyFill="1" applyAlignment="1">
      <alignment horizontal="centerContinuous" vertical="top"/>
    </xf>
    <xf numFmtId="0" fontId="36" fillId="0" borderId="0" xfId="1" applyFont="1" applyAlignment="1">
      <alignment horizontal="centerContinuous" vertical="top" wrapText="1"/>
    </xf>
    <xf numFmtId="0" fontId="36" fillId="0" borderId="0" xfId="1" applyFont="1" applyAlignment="1">
      <alignment horizontal="left"/>
    </xf>
    <xf numFmtId="0" fontId="50" fillId="0" borderId="0" xfId="1" applyFont="1" applyAlignment="1">
      <alignment horizontal="left"/>
    </xf>
    <xf numFmtId="174" fontId="36" fillId="0" borderId="0" xfId="1" applyNumberFormat="1" applyFont="1" applyAlignment="1">
      <alignment horizontal="right"/>
    </xf>
    <xf numFmtId="0" fontId="36" fillId="0" borderId="0" xfId="1" applyFont="1" applyAlignment="1">
      <alignment vertical="center" wrapText="1"/>
    </xf>
    <xf numFmtId="0" fontId="64" fillId="0" borderId="0" xfId="1" applyFont="1"/>
    <xf numFmtId="0" fontId="47" fillId="0" borderId="0" xfId="1" applyFont="1" applyAlignment="1">
      <alignment vertical="center"/>
    </xf>
    <xf numFmtId="0" fontId="66" fillId="0" borderId="0" xfId="26" applyFont="1" applyFill="1" applyBorder="1" applyAlignment="1" applyProtection="1"/>
    <xf numFmtId="0" fontId="36" fillId="3" borderId="5" xfId="1" applyFont="1" applyFill="1" applyBorder="1"/>
    <xf numFmtId="0" fontId="36" fillId="0" borderId="5" xfId="1" applyFont="1" applyBorder="1"/>
    <xf numFmtId="0" fontId="41" fillId="16" borderId="56" xfId="1" applyFont="1" applyFill="1" applyBorder="1"/>
    <xf numFmtId="0" fontId="44" fillId="16" borderId="14" xfId="1" applyFont="1" applyFill="1" applyBorder="1" applyAlignment="1">
      <alignment horizontal="left"/>
    </xf>
    <xf numFmtId="0" fontId="41" fillId="16" borderId="24" xfId="1" applyFont="1" applyFill="1" applyBorder="1"/>
    <xf numFmtId="0" fontId="50" fillId="3" borderId="0" xfId="1" applyFont="1" applyFill="1"/>
    <xf numFmtId="0" fontId="50" fillId="0" borderId="0" xfId="1" applyFont="1"/>
    <xf numFmtId="0" fontId="36" fillId="0" borderId="0" xfId="1" applyFont="1" applyAlignment="1">
      <alignment vertical="center"/>
    </xf>
    <xf numFmtId="0" fontId="36" fillId="3" borderId="0" xfId="1" applyFont="1" applyFill="1" applyAlignment="1">
      <alignment wrapText="1"/>
    </xf>
    <xf numFmtId="0" fontId="64" fillId="0" borderId="0" xfId="1" applyFont="1" applyAlignment="1">
      <alignment horizontal="left"/>
    </xf>
    <xf numFmtId="174" fontId="57" fillId="0" borderId="0" xfId="1" applyNumberFormat="1" applyFont="1"/>
    <xf numFmtId="0" fontId="67" fillId="0" borderId="0" xfId="1" applyFont="1"/>
    <xf numFmtId="170" fontId="47" fillId="0" borderId="0" xfId="1" applyNumberFormat="1" applyFont="1" applyAlignment="1">
      <alignment horizontal="center" vertical="center"/>
    </xf>
    <xf numFmtId="174" fontId="68" fillId="0" borderId="0" xfId="1" applyNumberFormat="1" applyFont="1"/>
    <xf numFmtId="0" fontId="36" fillId="0" borderId="0" xfId="1" applyFont="1" applyAlignment="1">
      <alignment wrapText="1"/>
    </xf>
    <xf numFmtId="0" fontId="36" fillId="0" borderId="0" xfId="1" applyFont="1" applyAlignment="1">
      <alignment horizontal="justify" vertical="top"/>
    </xf>
    <xf numFmtId="3" fontId="47" fillId="0" borderId="0" xfId="11" applyNumberFormat="1" applyFont="1" applyFill="1" applyBorder="1" applyAlignment="1">
      <alignment horizontal="right"/>
    </xf>
    <xf numFmtId="3" fontId="36" fillId="0" borderId="0" xfId="1" applyNumberFormat="1" applyFont="1" applyAlignment="1">
      <alignment vertical="top" wrapText="1"/>
    </xf>
    <xf numFmtId="0" fontId="41" fillId="3" borderId="0" xfId="1" applyFont="1" applyFill="1" applyAlignment="1">
      <alignment horizontal="center"/>
    </xf>
    <xf numFmtId="0" fontId="41" fillId="0" borderId="0" xfId="1" applyFont="1" applyAlignment="1">
      <alignment horizontal="center"/>
    </xf>
    <xf numFmtId="9" fontId="57" fillId="0" borderId="0" xfId="24" applyFont="1" applyFill="1" applyBorder="1" applyAlignment="1">
      <alignment horizontal="right"/>
    </xf>
    <xf numFmtId="9" fontId="57" fillId="0" borderId="0" xfId="24" applyFont="1" applyFill="1" applyAlignment="1">
      <alignment horizontal="right"/>
    </xf>
    <xf numFmtId="0" fontId="70" fillId="0" borderId="0" xfId="1" applyFont="1" applyAlignment="1">
      <alignment horizontal="right"/>
    </xf>
    <xf numFmtId="9" fontId="68" fillId="0" borderId="0" xfId="24" applyFont="1" applyFill="1" applyBorder="1" applyAlignment="1">
      <alignment horizontal="right"/>
    </xf>
    <xf numFmtId="9" fontId="57" fillId="0" borderId="0" xfId="24" applyFont="1" applyFill="1" applyAlignment="1"/>
    <xf numFmtId="0" fontId="71" fillId="0" borderId="0" xfId="1" applyFont="1" applyAlignment="1">
      <alignment horizontal="left"/>
    </xf>
    <xf numFmtId="9" fontId="64" fillId="0" borderId="0" xfId="20" applyFont="1" applyFill="1" applyBorder="1" applyAlignment="1">
      <alignment horizontal="right"/>
    </xf>
    <xf numFmtId="9" fontId="57" fillId="0" borderId="0" xfId="4" applyFont="1" applyFill="1" applyBorder="1" applyAlignment="1">
      <alignment horizontal="right"/>
    </xf>
    <xf numFmtId="0" fontId="70" fillId="0" borderId="0" xfId="1" applyFont="1" applyAlignment="1">
      <alignment horizontal="left"/>
    </xf>
    <xf numFmtId="9" fontId="63" fillId="0" borderId="0" xfId="20" applyFont="1" applyFill="1" applyBorder="1" applyAlignment="1">
      <alignment horizontal="right"/>
    </xf>
    <xf numFmtId="174" fontId="72" fillId="0" borderId="0" xfId="1" applyNumberFormat="1" applyFont="1" applyAlignment="1">
      <alignment horizontal="right"/>
    </xf>
    <xf numFmtId="0" fontId="64" fillId="3" borderId="0" xfId="1" applyFont="1" applyFill="1"/>
    <xf numFmtId="0" fontId="64" fillId="3" borderId="5" xfId="1" applyFont="1" applyFill="1" applyBorder="1"/>
    <xf numFmtId="204" fontId="9" fillId="0" borderId="0" xfId="6" applyNumberFormat="1" applyFont="1"/>
    <xf numFmtId="0" fontId="9" fillId="0" borderId="0" xfId="6" applyFont="1"/>
    <xf numFmtId="9" fontId="9" fillId="0" borderId="0" xfId="6" applyNumberFormat="1" applyFont="1"/>
    <xf numFmtId="195" fontId="43" fillId="22" borderId="0" xfId="1" applyNumberFormat="1" applyFont="1" applyFill="1" applyAlignment="1">
      <alignment horizontal="center" vertical="center"/>
    </xf>
    <xf numFmtId="167" fontId="43" fillId="22" borderId="0" xfId="24" applyNumberFormat="1" applyFont="1" applyFill="1" applyBorder="1" applyAlignment="1">
      <alignment horizontal="center" vertical="center"/>
    </xf>
    <xf numFmtId="0" fontId="49" fillId="0" borderId="0" xfId="1" applyFont="1" applyAlignment="1">
      <alignment horizontal="center" vertical="top"/>
    </xf>
    <xf numFmtId="0" fontId="21" fillId="0" borderId="0" xfId="1" applyFont="1" applyAlignment="1">
      <alignment horizontal="center"/>
    </xf>
    <xf numFmtId="2" fontId="43" fillId="22" borderId="0" xfId="1" applyNumberFormat="1" applyFont="1" applyFill="1" applyAlignment="1">
      <alignment horizontal="center" vertical="center"/>
    </xf>
    <xf numFmtId="0" fontId="36" fillId="3" borderId="0" xfId="1" applyFont="1" applyFill="1" applyAlignment="1">
      <alignment horizontal="left"/>
    </xf>
    <xf numFmtId="0" fontId="76" fillId="0" borderId="0" xfId="0" applyFont="1" applyAlignment="1">
      <alignment vertical="center"/>
    </xf>
    <xf numFmtId="0" fontId="38" fillId="23" borderId="0" xfId="1" applyFont="1" applyFill="1" applyAlignment="1">
      <alignment vertical="top" textRotation="180"/>
    </xf>
    <xf numFmtId="0" fontId="77" fillId="24" borderId="0" xfId="1" applyFont="1" applyFill="1"/>
    <xf numFmtId="0" fontId="44" fillId="24" borderId="0" xfId="1" applyFont="1" applyFill="1" applyAlignment="1">
      <alignment horizontal="left"/>
    </xf>
    <xf numFmtId="0" fontId="73" fillId="25" borderId="0" xfId="1" applyFont="1" applyFill="1"/>
    <xf numFmtId="0" fontId="36" fillId="25" borderId="0" xfId="1" applyFont="1" applyFill="1"/>
    <xf numFmtId="0" fontId="35" fillId="25" borderId="0" xfId="1" applyFont="1" applyFill="1"/>
    <xf numFmtId="0" fontId="47" fillId="26" borderId="57" xfId="1" applyFont="1" applyFill="1" applyBorder="1"/>
    <xf numFmtId="0" fontId="36" fillId="26" borderId="57" xfId="1" applyFont="1" applyFill="1" applyBorder="1"/>
    <xf numFmtId="0" fontId="36" fillId="26" borderId="0" xfId="1" applyFont="1" applyFill="1"/>
    <xf numFmtId="0" fontId="36" fillId="26" borderId="0" xfId="1" applyFont="1" applyFill="1" applyAlignment="1">
      <alignment horizontal="left"/>
    </xf>
    <xf numFmtId="0" fontId="36" fillId="26" borderId="0" xfId="1" applyFont="1" applyFill="1" applyAlignment="1">
      <alignment horizontal="right"/>
    </xf>
    <xf numFmtId="185" fontId="36" fillId="26" borderId="0" xfId="11" applyNumberFormat="1" applyFont="1" applyFill="1" applyBorder="1" applyAlignment="1"/>
    <xf numFmtId="0" fontId="48" fillId="26" borderId="0" xfId="1" applyFont="1" applyFill="1"/>
    <xf numFmtId="174" fontId="36" fillId="26" borderId="0" xfId="1" applyNumberFormat="1" applyFont="1" applyFill="1"/>
    <xf numFmtId="195" fontId="48" fillId="26" borderId="0" xfId="1" applyNumberFormat="1" applyFont="1" applyFill="1"/>
    <xf numFmtId="49" fontId="36" fillId="26" borderId="0" xfId="1" applyNumberFormat="1" applyFont="1" applyFill="1" applyAlignment="1">
      <alignment vertical="top" wrapText="1"/>
    </xf>
    <xf numFmtId="2" fontId="36" fillId="26" borderId="0" xfId="1" applyNumberFormat="1" applyFont="1" applyFill="1"/>
    <xf numFmtId="0" fontId="36" fillId="26" borderId="0" xfId="1" applyFont="1" applyFill="1" applyAlignment="1">
      <alignment horizontal="center"/>
    </xf>
    <xf numFmtId="0" fontId="47" fillId="26" borderId="0" xfId="1" applyFont="1" applyFill="1"/>
    <xf numFmtId="168" fontId="36" fillId="26" borderId="57" xfId="11" applyNumberFormat="1" applyFont="1" applyFill="1" applyBorder="1"/>
    <xf numFmtId="0" fontId="47" fillId="26" borderId="0" xfId="1" applyFont="1" applyFill="1" applyAlignment="1">
      <alignment horizontal="center"/>
    </xf>
    <xf numFmtId="167" fontId="36" fillId="26" borderId="0" xfId="1" applyNumberFormat="1" applyFont="1" applyFill="1" applyAlignment="1">
      <alignment horizontal="center"/>
    </xf>
    <xf numFmtId="0" fontId="1" fillId="26" borderId="0" xfId="1" applyFill="1"/>
    <xf numFmtId="0" fontId="47" fillId="26" borderId="5" xfId="1" applyFont="1" applyFill="1" applyBorder="1" applyAlignment="1">
      <alignment vertical="top"/>
    </xf>
    <xf numFmtId="0" fontId="36" fillId="26" borderId="5" xfId="1" applyFont="1" applyFill="1" applyBorder="1" applyAlignment="1">
      <alignment vertical="top" wrapText="1"/>
    </xf>
    <xf numFmtId="0" fontId="36" fillId="26" borderId="5" xfId="1" applyFont="1" applyFill="1" applyBorder="1"/>
    <xf numFmtId="0" fontId="63" fillId="26" borderId="0" xfId="6" applyFont="1" applyFill="1" applyAlignment="1">
      <alignment horizontal="center"/>
    </xf>
    <xf numFmtId="0" fontId="64" fillId="26" borderId="0" xfId="1" applyFont="1" applyFill="1"/>
    <xf numFmtId="203" fontId="64" fillId="26" borderId="0" xfId="6" applyNumberFormat="1" applyFont="1" applyFill="1" applyAlignment="1">
      <alignment horizontal="center"/>
    </xf>
    <xf numFmtId="0" fontId="64" fillId="26" borderId="0" xfId="6" applyFont="1" applyFill="1" applyAlignment="1">
      <alignment horizontal="center"/>
    </xf>
    <xf numFmtId="0" fontId="47" fillId="26" borderId="5" xfId="1" applyFont="1" applyFill="1" applyBorder="1"/>
    <xf numFmtId="199" fontId="47" fillId="26" borderId="0" xfId="1" applyNumberFormat="1" applyFont="1" applyFill="1" applyAlignment="1">
      <alignment horizontal="left"/>
    </xf>
    <xf numFmtId="0" fontId="36" fillId="26" borderId="0" xfId="1" applyFont="1" applyFill="1" applyAlignment="1">
      <alignment vertical="top"/>
    </xf>
    <xf numFmtId="198" fontId="36" fillId="26" borderId="0" xfId="1" applyNumberFormat="1" applyFont="1" applyFill="1" applyAlignment="1">
      <alignment horizontal="left" vertical="center"/>
    </xf>
    <xf numFmtId="170" fontId="36" fillId="26" borderId="0" xfId="1" applyNumberFormat="1" applyFont="1" applyFill="1" applyAlignment="1">
      <alignment horizontal="center" vertical="top"/>
    </xf>
    <xf numFmtId="9" fontId="36" fillId="26" borderId="0" xfId="4" applyFont="1" applyFill="1" applyAlignment="1">
      <alignment horizontal="right" vertical="top"/>
    </xf>
    <xf numFmtId="198" fontId="47" fillId="26" borderId="16" xfId="1" applyNumberFormat="1" applyFont="1" applyFill="1" applyBorder="1" applyAlignment="1">
      <alignment horizontal="left" vertical="center"/>
    </xf>
    <xf numFmtId="170" fontId="47" fillId="26" borderId="16" xfId="1" applyNumberFormat="1" applyFont="1" applyFill="1" applyBorder="1" applyAlignment="1">
      <alignment horizontal="center" vertical="top"/>
    </xf>
    <xf numFmtId="0" fontId="47" fillId="26" borderId="5" xfId="1" applyFont="1" applyFill="1" applyBorder="1" applyAlignment="1">
      <alignment horizontal="left"/>
    </xf>
    <xf numFmtId="0" fontId="36" fillId="26" borderId="5" xfId="1" applyFont="1" applyFill="1" applyBorder="1" applyAlignment="1">
      <alignment horizontal="left"/>
    </xf>
    <xf numFmtId="3" fontId="47" fillId="26" borderId="5" xfId="1" applyNumberFormat="1" applyFont="1" applyFill="1" applyBorder="1" applyAlignment="1">
      <alignment horizontal="left"/>
    </xf>
    <xf numFmtId="3" fontId="47" fillId="26" borderId="5" xfId="11" applyNumberFormat="1" applyFont="1" applyFill="1" applyBorder="1" applyAlignment="1">
      <alignment horizontal="left"/>
    </xf>
    <xf numFmtId="0" fontId="36" fillId="26" borderId="0" xfId="6" applyFont="1" applyFill="1"/>
    <xf numFmtId="3" fontId="36" fillId="26" borderId="0" xfId="1" applyNumberFormat="1" applyFont="1" applyFill="1"/>
    <xf numFmtId="3" fontId="36" fillId="26" borderId="0" xfId="11" applyNumberFormat="1" applyFont="1" applyFill="1" applyBorder="1" applyAlignment="1">
      <alignment horizontal="left"/>
    </xf>
    <xf numFmtId="167" fontId="59" fillId="26" borderId="0" xfId="24" applyNumberFormat="1" applyFont="1" applyFill="1" applyBorder="1" applyAlignment="1">
      <alignment horizontal="right"/>
    </xf>
    <xf numFmtId="0" fontId="36" fillId="26" borderId="0" xfId="6" applyFont="1" applyFill="1" applyAlignment="1">
      <alignment wrapText="1"/>
    </xf>
    <xf numFmtId="3" fontId="36" fillId="26" borderId="0" xfId="11" applyNumberFormat="1" applyFont="1" applyFill="1" applyBorder="1" applyAlignment="1">
      <alignment horizontal="right"/>
    </xf>
    <xf numFmtId="49" fontId="36" fillId="26" borderId="0" xfId="1" applyNumberFormat="1" applyFont="1" applyFill="1" applyAlignment="1">
      <alignment horizontal="left" vertical="top"/>
    </xf>
    <xf numFmtId="0" fontId="1" fillId="26" borderId="5" xfId="1" applyFill="1" applyBorder="1"/>
    <xf numFmtId="0" fontId="36" fillId="26" borderId="0" xfId="1" applyFont="1" applyFill="1" applyAlignment="1">
      <alignment horizontal="left" vertical="top" wrapText="1"/>
    </xf>
    <xf numFmtId="49" fontId="36" fillId="3" borderId="0" xfId="1" applyNumberFormat="1" applyFont="1" applyFill="1" applyAlignment="1">
      <alignment vertical="top" wrapText="1"/>
    </xf>
    <xf numFmtId="0" fontId="52" fillId="26" borderId="0" xfId="1" applyFont="1" applyFill="1"/>
    <xf numFmtId="0" fontId="36" fillId="26" borderId="0" xfId="1" applyFont="1" applyFill="1" applyAlignment="1">
      <alignment vertical="top" wrapText="1"/>
    </xf>
    <xf numFmtId="0" fontId="47" fillId="26" borderId="0" xfId="1" applyFont="1" applyFill="1" applyAlignment="1">
      <alignment vertical="top"/>
    </xf>
    <xf numFmtId="0" fontId="36" fillId="26" borderId="5" xfId="1" applyFont="1" applyFill="1" applyBorder="1" applyAlignment="1">
      <alignment vertical="top"/>
    </xf>
    <xf numFmtId="198" fontId="47" fillId="26" borderId="0" xfId="1" applyNumberFormat="1" applyFont="1" applyFill="1" applyAlignment="1">
      <alignment horizontal="center"/>
    </xf>
    <xf numFmtId="199" fontId="47" fillId="26" borderId="0" xfId="1" applyNumberFormat="1" applyFont="1" applyFill="1" applyAlignment="1">
      <alignment horizontal="center"/>
    </xf>
    <xf numFmtId="170" fontId="36" fillId="26" borderId="0" xfId="1" applyNumberFormat="1" applyFont="1" applyFill="1" applyAlignment="1">
      <alignment horizontal="left" vertical="top"/>
    </xf>
    <xf numFmtId="167" fontId="36" fillId="26" borderId="0" xfId="1" applyNumberFormat="1" applyFont="1" applyFill="1" applyAlignment="1">
      <alignment horizontal="center" vertical="top"/>
    </xf>
    <xf numFmtId="0" fontId="47" fillId="26" borderId="0" xfId="1" applyFont="1" applyFill="1" applyAlignment="1">
      <alignment horizontal="left"/>
    </xf>
    <xf numFmtId="17" fontId="47" fillId="26" borderId="0" xfId="1" applyNumberFormat="1" applyFont="1" applyFill="1" applyAlignment="1">
      <alignment horizontal="left"/>
    </xf>
    <xf numFmtId="0" fontId="47" fillId="26" borderId="5" xfId="1" applyFont="1" applyFill="1" applyBorder="1" applyAlignment="1">
      <alignment horizontal="center" vertical="top" wrapText="1"/>
    </xf>
    <xf numFmtId="167" fontId="36" fillId="26" borderId="0" xfId="4" applyNumberFormat="1" applyFont="1" applyFill="1" applyAlignment="1">
      <alignment horizontal="center"/>
    </xf>
    <xf numFmtId="0" fontId="36" fillId="26" borderId="5" xfId="1" applyFont="1" applyFill="1" applyBorder="1" applyAlignment="1">
      <alignment horizontal="center"/>
    </xf>
    <xf numFmtId="167" fontId="36" fillId="26" borderId="5" xfId="4" applyNumberFormat="1" applyFont="1" applyFill="1" applyBorder="1" applyAlignment="1">
      <alignment horizontal="center"/>
    </xf>
    <xf numFmtId="167" fontId="47" fillId="26" borderId="0" xfId="4" applyNumberFormat="1" applyFont="1" applyFill="1" applyAlignment="1">
      <alignment horizontal="center"/>
    </xf>
    <xf numFmtId="198" fontId="47" fillId="26" borderId="5" xfId="1" applyNumberFormat="1" applyFont="1" applyFill="1" applyBorder="1" applyAlignment="1">
      <alignment horizontal="center" vertical="top" wrapText="1"/>
    </xf>
    <xf numFmtId="2" fontId="36" fillId="26" borderId="0" xfId="1" applyNumberFormat="1" applyFont="1" applyFill="1" applyAlignment="1">
      <alignment vertical="top" wrapText="1"/>
    </xf>
    <xf numFmtId="167" fontId="36" fillId="26" borderId="0" xfId="24" applyNumberFormat="1" applyFont="1" applyFill="1" applyBorder="1"/>
    <xf numFmtId="2" fontId="57" fillId="26" borderId="0" xfId="1" applyNumberFormat="1" applyFont="1" applyFill="1"/>
    <xf numFmtId="9" fontId="57" fillId="26" borderId="0" xfId="4" applyFont="1" applyFill="1" applyBorder="1" applyAlignment="1">
      <alignment horizontal="center" vertical="center"/>
    </xf>
    <xf numFmtId="9" fontId="57" fillId="26" borderId="0" xfId="4" applyFont="1" applyFill="1" applyAlignment="1">
      <alignment horizontal="center" vertical="center"/>
    </xf>
    <xf numFmtId="167" fontId="36" fillId="26" borderId="0" xfId="4" applyNumberFormat="1" applyFont="1" applyFill="1" applyAlignment="1">
      <alignment vertical="center"/>
    </xf>
    <xf numFmtId="0" fontId="44" fillId="16" borderId="0" xfId="1" applyFont="1" applyFill="1"/>
    <xf numFmtId="0" fontId="31" fillId="15" borderId="77" xfId="0" applyFont="1" applyFill="1" applyBorder="1" applyAlignment="1">
      <alignment wrapText="1"/>
    </xf>
    <xf numFmtId="0" fontId="31" fillId="15" borderId="77" xfId="0" applyFont="1" applyFill="1" applyBorder="1" applyAlignment="1">
      <alignment vertical="center"/>
    </xf>
    <xf numFmtId="192" fontId="23" fillId="3" borderId="1" xfId="1" applyNumberFormat="1" applyFont="1" applyFill="1" applyBorder="1"/>
    <xf numFmtId="192" fontId="1" fillId="0" borderId="0" xfId="1" applyNumberFormat="1"/>
    <xf numFmtId="192" fontId="22" fillId="0" borderId="0" xfId="1" applyNumberFormat="1" applyFont="1" applyAlignment="1">
      <alignment horizontal="center"/>
    </xf>
    <xf numFmtId="0" fontId="0" fillId="31" borderId="0" xfId="0" applyFill="1"/>
    <xf numFmtId="0" fontId="80" fillId="27" borderId="0" xfId="0" applyFont="1" applyFill="1" applyAlignment="1">
      <alignment horizontal="center"/>
    </xf>
    <xf numFmtId="0" fontId="80" fillId="27" borderId="0" xfId="0" applyFont="1" applyFill="1" applyAlignment="1">
      <alignment horizontal="left"/>
    </xf>
    <xf numFmtId="0" fontId="80" fillId="30" borderId="0" xfId="0" applyFont="1" applyFill="1"/>
    <xf numFmtId="0" fontId="87" fillId="29" borderId="0" xfId="0" applyFont="1" applyFill="1"/>
    <xf numFmtId="0" fontId="84" fillId="28" borderId="0" xfId="0" applyFont="1" applyFill="1" applyAlignment="1">
      <alignment horizontal="center"/>
    </xf>
    <xf numFmtId="0" fontId="84" fillId="29" borderId="0" xfId="0" applyFont="1" applyFill="1" applyAlignment="1">
      <alignment horizontal="center"/>
    </xf>
    <xf numFmtId="0" fontId="83" fillId="27" borderId="0" xfId="0" applyFont="1" applyFill="1"/>
    <xf numFmtId="0" fontId="86" fillId="31" borderId="0" xfId="0" applyFont="1" applyFill="1"/>
    <xf numFmtId="0" fontId="88" fillId="32" borderId="0" xfId="0" applyFont="1" applyFill="1"/>
    <xf numFmtId="0" fontId="89" fillId="13" borderId="0" xfId="0" applyFont="1" applyFill="1" applyAlignment="1">
      <alignment horizontal="center"/>
    </xf>
    <xf numFmtId="0" fontId="0" fillId="13" borderId="0" xfId="0" applyFill="1"/>
    <xf numFmtId="0" fontId="84" fillId="3" borderId="0" xfId="0" applyFont="1" applyFill="1"/>
    <xf numFmtId="0" fontId="84" fillId="3" borderId="1" xfId="0" applyFont="1" applyFill="1" applyBorder="1"/>
    <xf numFmtId="0" fontId="80" fillId="3" borderId="1" xfId="0" applyFont="1" applyFill="1" applyBorder="1"/>
    <xf numFmtId="2" fontId="80" fillId="3" borderId="1" xfId="0" applyNumberFormat="1" applyFont="1" applyFill="1" applyBorder="1" applyAlignment="1">
      <alignment horizontal="center"/>
    </xf>
    <xf numFmtId="0" fontId="0" fillId="3" borderId="1" xfId="0" applyFill="1" applyBorder="1"/>
    <xf numFmtId="0" fontId="86" fillId="3" borderId="1" xfId="0" applyFont="1" applyFill="1" applyBorder="1"/>
    <xf numFmtId="0" fontId="87" fillId="3" borderId="1" xfId="0" applyFont="1" applyFill="1" applyBorder="1"/>
    <xf numFmtId="3" fontId="90" fillId="3" borderId="1" xfId="0" applyNumberFormat="1" applyFont="1" applyFill="1" applyBorder="1" applyAlignment="1">
      <alignment horizontal="right"/>
    </xf>
    <xf numFmtId="167" fontId="90" fillId="3" borderId="1" xfId="0" applyNumberFormat="1" applyFont="1" applyFill="1" applyBorder="1" applyAlignment="1">
      <alignment horizontal="right"/>
    </xf>
    <xf numFmtId="205" fontId="90" fillId="3" borderId="1" xfId="0" applyNumberFormat="1" applyFont="1" applyFill="1" applyBorder="1" applyAlignment="1">
      <alignment horizontal="right"/>
    </xf>
    <xf numFmtId="2" fontId="91" fillId="3" borderId="1" xfId="0" applyNumberFormat="1" applyFont="1" applyFill="1" applyBorder="1" applyAlignment="1">
      <alignment horizontal="center"/>
    </xf>
    <xf numFmtId="201" fontId="90" fillId="3" borderId="1" xfId="0" applyNumberFormat="1" applyFont="1" applyFill="1" applyBorder="1" applyAlignment="1">
      <alignment horizontal="right"/>
    </xf>
    <xf numFmtId="167" fontId="91" fillId="3" borderId="1" xfId="0" applyNumberFormat="1" applyFont="1" applyFill="1" applyBorder="1" applyAlignment="1">
      <alignment horizontal="right"/>
    </xf>
    <xf numFmtId="0" fontId="92" fillId="3" borderId="1" xfId="0" applyFont="1" applyFill="1" applyBorder="1"/>
    <xf numFmtId="201" fontId="93" fillId="3" borderId="1" xfId="0" applyNumberFormat="1" applyFont="1" applyFill="1" applyBorder="1" applyAlignment="1">
      <alignment horizontal="center"/>
    </xf>
    <xf numFmtId="205" fontId="93" fillId="3" borderId="1" xfId="0" applyNumberFormat="1" applyFont="1" applyFill="1" applyBorder="1" applyAlignment="1">
      <alignment horizontal="center"/>
    </xf>
    <xf numFmtId="0" fontId="90" fillId="3" borderId="1" xfId="0" applyFont="1" applyFill="1" applyBorder="1"/>
    <xf numFmtId="0" fontId="84" fillId="29" borderId="1" xfId="0" applyFont="1" applyFill="1" applyBorder="1"/>
    <xf numFmtId="0" fontId="84" fillId="29" borderId="1" xfId="0" applyFont="1" applyFill="1" applyBorder="1" applyAlignment="1">
      <alignment horizontal="center"/>
    </xf>
    <xf numFmtId="0" fontId="84" fillId="28" borderId="1" xfId="0" applyFont="1" applyFill="1" applyBorder="1"/>
    <xf numFmtId="0" fontId="84" fillId="28" borderId="1" xfId="0" applyFont="1" applyFill="1" applyBorder="1" applyAlignment="1">
      <alignment horizontal="center"/>
    </xf>
    <xf numFmtId="2" fontId="84" fillId="29" borderId="1" xfId="0" applyNumberFormat="1" applyFont="1" applyFill="1" applyBorder="1" applyAlignment="1">
      <alignment horizontal="center"/>
    </xf>
    <xf numFmtId="10" fontId="84" fillId="29" borderId="1" xfId="0" applyNumberFormat="1" applyFont="1" applyFill="1" applyBorder="1" applyAlignment="1">
      <alignment horizontal="center"/>
    </xf>
    <xf numFmtId="10" fontId="84" fillId="28" borderId="1" xfId="0" applyNumberFormat="1" applyFont="1" applyFill="1" applyBorder="1" applyAlignment="1">
      <alignment horizontal="center"/>
    </xf>
    <xf numFmtId="0" fontId="82" fillId="28" borderId="1" xfId="0" applyFont="1" applyFill="1" applyBorder="1"/>
    <xf numFmtId="0" fontId="82" fillId="28" borderId="1" xfId="0" applyFont="1" applyFill="1" applyBorder="1" applyAlignment="1">
      <alignment horizontal="center"/>
    </xf>
    <xf numFmtId="10" fontId="82" fillId="28" borderId="1" xfId="0" applyNumberFormat="1" applyFont="1" applyFill="1" applyBorder="1" applyAlignment="1">
      <alignment horizontal="center"/>
    </xf>
    <xf numFmtId="0" fontId="81" fillId="13" borderId="0" xfId="0" applyFont="1" applyFill="1"/>
    <xf numFmtId="0" fontId="81" fillId="13" borderId="0" xfId="0" applyFont="1" applyFill="1" applyAlignment="1">
      <alignment horizontal="center"/>
    </xf>
    <xf numFmtId="2" fontId="81" fillId="13" borderId="0" xfId="0" applyNumberFormat="1" applyFont="1" applyFill="1" applyAlignment="1">
      <alignment horizontal="center"/>
    </xf>
    <xf numFmtId="0" fontId="84" fillId="3" borderId="1" xfId="0" applyFont="1" applyFill="1" applyBorder="1" applyAlignment="1">
      <alignment horizontal="center"/>
    </xf>
    <xf numFmtId="0" fontId="90" fillId="3" borderId="1" xfId="0" applyFont="1" applyFill="1" applyBorder="1" applyAlignment="1">
      <alignment horizontal="center"/>
    </xf>
    <xf numFmtId="10" fontId="81" fillId="13" borderId="0" xfId="0" applyNumberFormat="1" applyFont="1" applyFill="1" applyAlignment="1">
      <alignment horizontal="center"/>
    </xf>
    <xf numFmtId="10" fontId="84" fillId="29" borderId="4" xfId="0" applyNumberFormat="1" applyFont="1" applyFill="1" applyBorder="1" applyAlignment="1">
      <alignment horizontal="center"/>
    </xf>
    <xf numFmtId="10" fontId="84" fillId="28" borderId="4" xfId="0" applyNumberFormat="1" applyFont="1" applyFill="1" applyBorder="1" applyAlignment="1">
      <alignment horizontal="center"/>
    </xf>
    <xf numFmtId="10" fontId="82" fillId="28" borderId="4" xfId="0" applyNumberFormat="1" applyFont="1" applyFill="1" applyBorder="1" applyAlignment="1">
      <alignment horizontal="center"/>
    </xf>
    <xf numFmtId="0" fontId="80" fillId="27" borderId="1" xfId="0" applyFont="1" applyFill="1" applyBorder="1" applyAlignment="1">
      <alignment horizontal="center"/>
    </xf>
    <xf numFmtId="0" fontId="81" fillId="13" borderId="1" xfId="0" applyFont="1" applyFill="1" applyBorder="1" applyAlignment="1">
      <alignment horizontal="center"/>
    </xf>
    <xf numFmtId="0" fontId="85" fillId="3" borderId="0" xfId="0" applyFont="1" applyFill="1"/>
    <xf numFmtId="201" fontId="85" fillId="3" borderId="0" xfId="0" applyNumberFormat="1" applyFont="1" applyFill="1" applyAlignment="1">
      <alignment horizontal="center"/>
    </xf>
    <xf numFmtId="205" fontId="85" fillId="3" borderId="0" xfId="0" applyNumberFormat="1" applyFont="1" applyFill="1" applyAlignment="1">
      <alignment horizontal="center"/>
    </xf>
    <xf numFmtId="10" fontId="84" fillId="3" borderId="0" xfId="0" applyNumberFormat="1" applyFont="1" applyFill="1" applyAlignment="1">
      <alignment horizontal="right"/>
    </xf>
    <xf numFmtId="0" fontId="84" fillId="3" borderId="0" xfId="0" applyFont="1" applyFill="1" applyAlignment="1">
      <alignment horizontal="right"/>
    </xf>
    <xf numFmtId="0" fontId="63" fillId="26" borderId="5" xfId="1" applyFont="1" applyFill="1" applyBorder="1" applyAlignment="1">
      <alignment horizontal="left"/>
    </xf>
    <xf numFmtId="0" fontId="63" fillId="21" borderId="59" xfId="1" applyFont="1" applyFill="1" applyBorder="1" applyAlignment="1">
      <alignment horizontal="left"/>
    </xf>
    <xf numFmtId="174" fontId="94" fillId="0" borderId="0" xfId="1" applyNumberFormat="1" applyFont="1" applyAlignment="1">
      <alignment horizontal="left"/>
    </xf>
    <xf numFmtId="3" fontId="64" fillId="0" borderId="0" xfId="1" applyNumberFormat="1" applyFont="1" applyAlignment="1">
      <alignment horizontal="left"/>
    </xf>
    <xf numFmtId="0" fontId="63" fillId="21" borderId="16" xfId="1" applyFont="1" applyFill="1" applyBorder="1" applyAlignment="1">
      <alignment horizontal="left"/>
    </xf>
    <xf numFmtId="3" fontId="63" fillId="21" borderId="16" xfId="1" applyNumberFormat="1" applyFont="1" applyFill="1" applyBorder="1" applyAlignment="1">
      <alignment horizontal="left"/>
    </xf>
    <xf numFmtId="0" fontId="63" fillId="26" borderId="0" xfId="1" applyFont="1" applyFill="1" applyAlignment="1">
      <alignment horizontal="left"/>
    </xf>
    <xf numFmtId="3" fontId="64" fillId="0" borderId="0" xfId="1" applyNumberFormat="1" applyFont="1" applyAlignment="1">
      <alignment horizontal="left" vertical="top"/>
    </xf>
    <xf numFmtId="3" fontId="64" fillId="0" borderId="0" xfId="1" applyNumberFormat="1" applyFont="1" applyAlignment="1">
      <alignment horizontal="left" vertical="top" wrapText="1"/>
    </xf>
    <xf numFmtId="3" fontId="63" fillId="21" borderId="16" xfId="1" applyNumberFormat="1" applyFont="1" applyFill="1" applyBorder="1" applyAlignment="1">
      <alignment horizontal="left" vertical="top" wrapText="1"/>
    </xf>
    <xf numFmtId="0" fontId="63" fillId="0" borderId="0" xfId="1" applyFont="1" applyAlignment="1">
      <alignment horizontal="left" vertical="top" wrapText="1"/>
    </xf>
    <xf numFmtId="0" fontId="64" fillId="0" borderId="0" xfId="1" applyFont="1" applyAlignment="1">
      <alignment horizontal="left" vertical="top" wrapText="1"/>
    </xf>
    <xf numFmtId="3" fontId="63" fillId="21" borderId="16" xfId="1" applyNumberFormat="1" applyFont="1" applyFill="1" applyBorder="1" applyAlignment="1">
      <alignment horizontal="left" vertical="top"/>
    </xf>
    <xf numFmtId="0" fontId="64" fillId="0" borderId="0" xfId="1" applyFont="1" applyAlignment="1">
      <alignment horizontal="left" vertical="top"/>
    </xf>
    <xf numFmtId="0" fontId="64" fillId="26" borderId="0" xfId="1" applyFont="1" applyFill="1" applyAlignment="1">
      <alignment horizontal="left"/>
    </xf>
    <xf numFmtId="3" fontId="63" fillId="21" borderId="0" xfId="1" applyNumberFormat="1" applyFont="1" applyFill="1" applyAlignment="1">
      <alignment horizontal="left" vertical="top"/>
    </xf>
    <xf numFmtId="0" fontId="74" fillId="26" borderId="0" xfId="1" applyFont="1" applyFill="1" applyAlignment="1">
      <alignment vertical="top"/>
    </xf>
    <xf numFmtId="0" fontId="74" fillId="26" borderId="0" xfId="1" applyFont="1" applyFill="1" applyAlignment="1">
      <alignment vertical="top" wrapText="1"/>
    </xf>
    <xf numFmtId="3" fontId="75" fillId="0" borderId="0" xfId="1" applyNumberFormat="1" applyFont="1"/>
    <xf numFmtId="0" fontId="75" fillId="0" borderId="0" xfId="1" applyFont="1"/>
    <xf numFmtId="3" fontId="74" fillId="21" borderId="16" xfId="1" applyNumberFormat="1" applyFont="1" applyFill="1" applyBorder="1"/>
    <xf numFmtId="3" fontId="75" fillId="21" borderId="0" xfId="1" applyNumberFormat="1" applyFont="1" applyFill="1"/>
    <xf numFmtId="3" fontId="74" fillId="26" borderId="0" xfId="1" applyNumberFormat="1" applyFont="1" applyFill="1"/>
    <xf numFmtId="9" fontId="75" fillId="0" borderId="0" xfId="19" applyFont="1"/>
    <xf numFmtId="9" fontId="74" fillId="21" borderId="16" xfId="19" applyFont="1" applyFill="1" applyBorder="1"/>
    <xf numFmtId="3" fontId="74" fillId="0" borderId="0" xfId="1" applyNumberFormat="1" applyFont="1"/>
    <xf numFmtId="3" fontId="75" fillId="26" borderId="0" xfId="1" applyNumberFormat="1" applyFont="1" applyFill="1"/>
    <xf numFmtId="2" fontId="75" fillId="0" borderId="0" xfId="19" applyNumberFormat="1" applyFont="1"/>
    <xf numFmtId="168" fontId="75" fillId="0" borderId="0" xfId="1" applyNumberFormat="1" applyFont="1"/>
    <xf numFmtId="0" fontId="74" fillId="26" borderId="0" xfId="1" applyFont="1" applyFill="1"/>
    <xf numFmtId="0" fontId="75" fillId="26" borderId="0" xfId="1" applyFont="1" applyFill="1"/>
    <xf numFmtId="0" fontId="75" fillId="21" borderId="0" xfId="1" applyFont="1" applyFill="1"/>
    <xf numFmtId="9" fontId="75" fillId="21" borderId="0" xfId="19" applyFont="1" applyFill="1"/>
    <xf numFmtId="2" fontId="75" fillId="21" borderId="0" xfId="1" applyNumberFormat="1" applyFont="1" applyFill="1"/>
    <xf numFmtId="0" fontId="75" fillId="0" borderId="0" xfId="1" applyFont="1" applyAlignment="1">
      <alignment vertical="top" wrapText="1"/>
    </xf>
    <xf numFmtId="174" fontId="75" fillId="21" borderId="0" xfId="1" applyNumberFormat="1" applyFont="1" applyFill="1"/>
    <xf numFmtId="0" fontId="74" fillId="0" borderId="0" xfId="1" applyFont="1" applyAlignment="1">
      <alignment horizontal="center"/>
    </xf>
    <xf numFmtId="180" fontId="95" fillId="5" borderId="1" xfId="13" applyNumberFormat="1" applyFont="1" applyFill="1" applyBorder="1" applyAlignment="1">
      <alignment horizontal="right"/>
    </xf>
    <xf numFmtId="168" fontId="95" fillId="5" borderId="0" xfId="14" applyNumberFormat="1" applyFont="1" applyFill="1"/>
    <xf numFmtId="0" fontId="99" fillId="34" borderId="0" xfId="1" applyFont="1" applyFill="1"/>
    <xf numFmtId="0" fontId="100" fillId="35" borderId="0" xfId="1" applyFont="1" applyFill="1"/>
    <xf numFmtId="0" fontId="11" fillId="0" borderId="0" xfId="1" applyFont="1"/>
    <xf numFmtId="0" fontId="5" fillId="7" borderId="0" xfId="1" applyFont="1" applyFill="1"/>
    <xf numFmtId="205" fontId="91" fillId="3" borderId="1" xfId="0" applyNumberFormat="1" applyFont="1" applyFill="1" applyBorder="1" applyAlignment="1">
      <alignment horizontal="right"/>
    </xf>
    <xf numFmtId="0" fontId="101" fillId="37" borderId="0" xfId="0" applyFont="1" applyFill="1"/>
    <xf numFmtId="0" fontId="102" fillId="37" borderId="0" xfId="0" applyFont="1" applyFill="1"/>
    <xf numFmtId="0" fontId="103" fillId="0" borderId="0" xfId="0" applyFont="1"/>
    <xf numFmtId="0" fontId="101" fillId="38" borderId="0" xfId="0" applyFont="1" applyFill="1"/>
    <xf numFmtId="0" fontId="101" fillId="38" borderId="0" xfId="0" applyFont="1" applyFill="1" applyAlignment="1">
      <alignment horizontal="center"/>
    </xf>
    <xf numFmtId="0" fontId="104" fillId="0" borderId="0" xfId="0" applyFont="1"/>
    <xf numFmtId="0" fontId="105" fillId="0" borderId="0" xfId="0" applyFont="1" applyAlignment="1">
      <alignment horizontal="center"/>
    </xf>
    <xf numFmtId="0" fontId="96" fillId="0" borderId="0" xfId="0" applyFont="1" applyAlignment="1">
      <alignment horizontal="center"/>
    </xf>
    <xf numFmtId="205" fontId="96" fillId="0" borderId="0" xfId="0" applyNumberFormat="1" applyFont="1" applyAlignment="1">
      <alignment horizontal="center"/>
    </xf>
    <xf numFmtId="0" fontId="98" fillId="0" borderId="0" xfId="0" applyFont="1" applyAlignment="1">
      <alignment horizontal="center"/>
    </xf>
    <xf numFmtId="0" fontId="106" fillId="0" borderId="0" xfId="0" applyFont="1"/>
    <xf numFmtId="11" fontId="96" fillId="0" borderId="0" xfId="0" applyNumberFormat="1" applyFont="1" applyAlignment="1">
      <alignment horizontal="center"/>
    </xf>
    <xf numFmtId="187" fontId="96" fillId="0" borderId="0" xfId="0" applyNumberFormat="1" applyFont="1" applyAlignment="1">
      <alignment horizontal="center"/>
    </xf>
    <xf numFmtId="167" fontId="96" fillId="0" borderId="0" xfId="0" applyNumberFormat="1" applyFont="1" applyAlignment="1">
      <alignment horizontal="center"/>
    </xf>
    <xf numFmtId="205" fontId="107" fillId="0" borderId="0" xfId="0" applyNumberFormat="1" applyFont="1" applyAlignment="1">
      <alignment horizontal="center"/>
    </xf>
    <xf numFmtId="0" fontId="109" fillId="5" borderId="0" xfId="14" applyFont="1" applyFill="1"/>
    <xf numFmtId="167" fontId="88" fillId="3" borderId="1" xfId="0" applyNumberFormat="1" applyFont="1" applyFill="1" applyBorder="1" applyAlignment="1">
      <alignment horizontal="center"/>
    </xf>
    <xf numFmtId="0" fontId="0" fillId="3" borderId="0" xfId="0" applyFill="1"/>
    <xf numFmtId="0" fontId="110" fillId="5" borderId="0" xfId="14" applyFont="1" applyFill="1"/>
    <xf numFmtId="0" fontId="110" fillId="0" borderId="0" xfId="14" applyFont="1"/>
    <xf numFmtId="174" fontId="95" fillId="6" borderId="1" xfId="1" applyNumberFormat="1" applyFont="1" applyFill="1" applyBorder="1"/>
    <xf numFmtId="166" fontId="111" fillId="3" borderId="1" xfId="21" applyFont="1" applyFill="1" applyBorder="1"/>
    <xf numFmtId="167" fontId="113" fillId="3" borderId="1" xfId="0" applyNumberFormat="1" applyFont="1" applyFill="1" applyBorder="1" applyAlignment="1">
      <alignment horizontal="right"/>
    </xf>
    <xf numFmtId="0" fontId="97" fillId="3" borderId="1" xfId="0" applyFont="1" applyFill="1" applyBorder="1"/>
    <xf numFmtId="205" fontId="97" fillId="3" borderId="1" xfId="0" applyNumberFormat="1" applyFont="1" applyFill="1" applyBorder="1" applyAlignment="1">
      <alignment horizontal="right"/>
    </xf>
    <xf numFmtId="167" fontId="97" fillId="3" borderId="1" xfId="0" applyNumberFormat="1" applyFont="1" applyFill="1" applyBorder="1" applyAlignment="1">
      <alignment horizontal="right"/>
    </xf>
    <xf numFmtId="205" fontId="113" fillId="3" borderId="1" xfId="0" applyNumberFormat="1" applyFont="1" applyFill="1" applyBorder="1" applyAlignment="1">
      <alignment horizontal="right"/>
    </xf>
    <xf numFmtId="205" fontId="114" fillId="3" borderId="1" xfId="0" applyNumberFormat="1" applyFont="1" applyFill="1" applyBorder="1" applyAlignment="1">
      <alignment horizontal="right"/>
    </xf>
    <xf numFmtId="205" fontId="115" fillId="3" borderId="1" xfId="0" applyNumberFormat="1" applyFont="1" applyFill="1" applyBorder="1" applyAlignment="1">
      <alignment horizontal="right"/>
    </xf>
    <xf numFmtId="2" fontId="113" fillId="3" borderId="1" xfId="0" applyNumberFormat="1" applyFont="1" applyFill="1" applyBorder="1" applyAlignment="1">
      <alignment horizontal="right"/>
    </xf>
    <xf numFmtId="2" fontId="115" fillId="3" borderId="1" xfId="0" applyNumberFormat="1" applyFont="1" applyFill="1" applyBorder="1" applyAlignment="1">
      <alignment horizontal="right"/>
    </xf>
    <xf numFmtId="167" fontId="115" fillId="3" borderId="1" xfId="0" applyNumberFormat="1" applyFont="1" applyFill="1" applyBorder="1" applyAlignment="1">
      <alignment horizontal="right"/>
    </xf>
    <xf numFmtId="3" fontId="114" fillId="3" borderId="1" xfId="0" applyNumberFormat="1" applyFont="1" applyFill="1" applyBorder="1" applyAlignment="1">
      <alignment horizontal="right"/>
    </xf>
    <xf numFmtId="0" fontId="97" fillId="33" borderId="0" xfId="0" applyFont="1" applyFill="1"/>
    <xf numFmtId="167" fontId="114" fillId="3" borderId="1" xfId="0" applyNumberFormat="1" applyFont="1" applyFill="1" applyBorder="1" applyAlignment="1">
      <alignment horizontal="right"/>
    </xf>
    <xf numFmtId="10" fontId="97" fillId="13" borderId="0" xfId="0" applyNumberFormat="1" applyFont="1" applyFill="1" applyAlignment="1">
      <alignment horizontal="right"/>
    </xf>
    <xf numFmtId="0" fontId="116" fillId="33" borderId="1" xfId="0" applyFont="1" applyFill="1" applyBorder="1"/>
    <xf numFmtId="3" fontId="95" fillId="0" borderId="1" xfId="1" applyNumberFormat="1" applyFont="1" applyBorder="1"/>
    <xf numFmtId="3" fontId="95" fillId="3" borderId="1" xfId="11" applyNumberFormat="1" applyFont="1" applyFill="1" applyBorder="1" applyProtection="1">
      <protection locked="0"/>
    </xf>
    <xf numFmtId="170" fontId="95" fillId="4" borderId="4" xfId="1" applyNumberFormat="1" applyFont="1" applyFill="1" applyBorder="1"/>
    <xf numFmtId="0" fontId="95" fillId="0" borderId="0" xfId="1" applyFont="1"/>
    <xf numFmtId="174" fontId="95" fillId="0" borderId="0" xfId="1" applyNumberFormat="1" applyFont="1"/>
    <xf numFmtId="168" fontId="95" fillId="0" borderId="0" xfId="1" applyNumberFormat="1" applyFont="1"/>
    <xf numFmtId="0" fontId="117" fillId="5" borderId="0" xfId="14" applyFont="1" applyFill="1"/>
    <xf numFmtId="3" fontId="95" fillId="4" borderId="1" xfId="14" applyNumberFormat="1" applyFont="1" applyFill="1" applyBorder="1" applyAlignment="1">
      <alignment horizontal="right"/>
    </xf>
    <xf numFmtId="167" fontId="95" fillId="4" borderId="1" xfId="12" applyNumberFormat="1" applyFont="1" applyFill="1" applyBorder="1"/>
    <xf numFmtId="10" fontId="95" fillId="5" borderId="1" xfId="12" applyNumberFormat="1" applyFont="1" applyFill="1" applyBorder="1"/>
    <xf numFmtId="174" fontId="111" fillId="3" borderId="1" xfId="1" applyNumberFormat="1" applyFont="1" applyFill="1" applyBorder="1"/>
    <xf numFmtId="184" fontId="111" fillId="3" borderId="1" xfId="21" applyNumberFormat="1" applyFont="1" applyFill="1" applyBorder="1"/>
    <xf numFmtId="167" fontId="111" fillId="3" borderId="1" xfId="20" applyNumberFormat="1" applyFont="1" applyFill="1" applyBorder="1"/>
    <xf numFmtId="192" fontId="118" fillId="3" borderId="1" xfId="1" applyNumberFormat="1" applyFont="1" applyFill="1" applyBorder="1"/>
    <xf numFmtId="9" fontId="111" fillId="3" borderId="1" xfId="19" applyFont="1" applyFill="1" applyBorder="1" applyAlignment="1">
      <alignment horizontal="center"/>
    </xf>
    <xf numFmtId="0" fontId="48" fillId="3" borderId="0" xfId="1" applyFont="1" applyFill="1"/>
    <xf numFmtId="0" fontId="60" fillId="3" borderId="0" xfId="25" applyFont="1" applyFill="1"/>
    <xf numFmtId="0" fontId="60" fillId="3" borderId="0" xfId="25" applyFont="1" applyFill="1" applyAlignment="1">
      <alignment horizontal="center" vertical="top"/>
    </xf>
    <xf numFmtId="0" fontId="60" fillId="3" borderId="0" xfId="25" applyFont="1" applyFill="1" applyAlignment="1">
      <alignment horizontal="center" vertical="center"/>
    </xf>
    <xf numFmtId="0" fontId="41" fillId="3" borderId="0" xfId="25" applyFont="1" applyFill="1"/>
    <xf numFmtId="201" fontId="41" fillId="3" borderId="0" xfId="25" applyNumberFormat="1" applyFont="1" applyFill="1" applyAlignment="1">
      <alignment horizontal="center"/>
    </xf>
    <xf numFmtId="0" fontId="52" fillId="3" borderId="0" xfId="25" applyFont="1" applyFill="1"/>
    <xf numFmtId="201" fontId="52" fillId="3" borderId="0" xfId="25" applyNumberFormat="1" applyFont="1" applyFill="1" applyAlignment="1">
      <alignment horizontal="center"/>
    </xf>
    <xf numFmtId="201" fontId="36" fillId="3" borderId="0" xfId="1" applyNumberFormat="1" applyFont="1" applyFill="1"/>
    <xf numFmtId="202" fontId="41" fillId="3" borderId="0" xfId="25" applyNumberFormat="1" applyFont="1" applyFill="1" applyAlignment="1">
      <alignment horizontal="center"/>
    </xf>
    <xf numFmtId="170" fontId="24" fillId="39" borderId="0" xfId="1" applyNumberFormat="1" applyFont="1" applyFill="1" applyAlignment="1">
      <alignment horizontal="right" vertical="center"/>
    </xf>
    <xf numFmtId="0" fontId="39" fillId="25" borderId="0" xfId="1" applyFont="1" applyFill="1" applyAlignment="1">
      <alignment horizontal="center" vertical="center"/>
    </xf>
    <xf numFmtId="17" fontId="36" fillId="0" borderId="0" xfId="1" applyNumberFormat="1" applyFont="1" applyAlignment="1">
      <alignment horizontal="left" vertical="top" wrapText="1"/>
    </xf>
    <xf numFmtId="0" fontId="78" fillId="3" borderId="0" xfId="1" applyFont="1" applyFill="1" applyAlignment="1">
      <alignment horizontal="center" vertical="top" wrapText="1"/>
    </xf>
    <xf numFmtId="0" fontId="36" fillId="0" borderId="0" xfId="1" applyFont="1" applyAlignment="1">
      <alignment horizontal="left" vertical="top" wrapText="1"/>
    </xf>
    <xf numFmtId="0" fontId="53" fillId="0" borderId="0" xfId="1" applyFont="1" applyAlignment="1">
      <alignment horizontal="left" vertical="top" wrapText="1"/>
    </xf>
    <xf numFmtId="0" fontId="40" fillId="3" borderId="0" xfId="1" applyFont="1" applyFill="1" applyAlignment="1">
      <alignment horizontal="center" vertical="top" textRotation="180"/>
    </xf>
    <xf numFmtId="0" fontId="36" fillId="0" borderId="16" xfId="1" applyFont="1" applyBorder="1" applyAlignment="1">
      <alignment horizontal="left" vertical="top" wrapText="1"/>
    </xf>
    <xf numFmtId="0" fontId="43" fillId="22" borderId="0" xfId="1" applyFont="1" applyFill="1" applyAlignment="1">
      <alignment horizontal="left" vertical="center"/>
    </xf>
    <xf numFmtId="0" fontId="43" fillId="22" borderId="0" xfId="1" applyFont="1" applyFill="1" applyAlignment="1">
      <alignment horizontal="right" vertical="center"/>
    </xf>
    <xf numFmtId="0" fontId="94" fillId="0" borderId="0" xfId="1" applyFont="1" applyAlignment="1">
      <alignment horizontal="left" vertical="top" wrapText="1"/>
    </xf>
    <xf numFmtId="0" fontId="69" fillId="0" borderId="0" xfId="1" applyFont="1" applyAlignment="1">
      <alignment horizontal="justify" vertical="top" wrapText="1"/>
    </xf>
    <xf numFmtId="0" fontId="44" fillId="16" borderId="0" xfId="1" applyFont="1" applyFill="1" applyAlignment="1">
      <alignment horizontal="center"/>
    </xf>
    <xf numFmtId="0" fontId="36" fillId="0" borderId="0" xfId="1" applyFont="1" applyAlignment="1">
      <alignment horizontal="justify" vertical="center" wrapText="1"/>
    </xf>
    <xf numFmtId="0" fontId="36" fillId="0" borderId="0" xfId="1" applyFont="1" applyAlignment="1">
      <alignment horizontal="justify" vertical="top" wrapText="1"/>
    </xf>
    <xf numFmtId="0" fontId="36" fillId="0" borderId="0" xfId="1" applyFont="1" applyAlignment="1">
      <alignment horizontal="justify" wrapText="1"/>
    </xf>
    <xf numFmtId="0" fontId="24" fillId="0" borderId="0" xfId="1" applyFont="1" applyAlignment="1">
      <alignment horizontal="left" vertical="top" wrapText="1"/>
    </xf>
    <xf numFmtId="0" fontId="36" fillId="0" borderId="0" xfId="1" applyFont="1" applyAlignment="1">
      <alignment horizontal="left" wrapText="1"/>
    </xf>
    <xf numFmtId="0" fontId="24" fillId="3" borderId="0" xfId="1" applyFont="1" applyFill="1" applyAlignment="1">
      <alignment horizontal="left" vertical="top" wrapText="1"/>
    </xf>
    <xf numFmtId="0" fontId="36" fillId="3" borderId="0" xfId="1" applyFont="1" applyFill="1" applyAlignment="1">
      <alignment horizontal="left" vertical="top" wrapText="1"/>
    </xf>
    <xf numFmtId="196" fontId="36" fillId="26" borderId="0" xfId="1" applyNumberFormat="1" applyFont="1" applyFill="1" applyAlignment="1">
      <alignment horizontal="left" vertical="center"/>
    </xf>
    <xf numFmtId="197" fontId="36" fillId="26" borderId="0" xfId="1" applyNumberFormat="1" applyFont="1" applyFill="1" applyAlignment="1">
      <alignment horizontal="left" vertical="center"/>
    </xf>
    <xf numFmtId="0" fontId="36" fillId="26" borderId="59" xfId="1" applyFont="1" applyFill="1" applyBorder="1" applyAlignment="1">
      <alignment horizontal="center"/>
    </xf>
    <xf numFmtId="174" fontId="36" fillId="26" borderId="0" xfId="1" applyNumberFormat="1" applyFont="1" applyFill="1" applyAlignment="1">
      <alignment horizontal="center"/>
    </xf>
    <xf numFmtId="9" fontId="36" fillId="26" borderId="0" xfId="1" applyNumberFormat="1" applyFont="1" applyFill="1" applyAlignment="1">
      <alignment horizontal="center"/>
    </xf>
    <xf numFmtId="0" fontId="36" fillId="26" borderId="0" xfId="1" applyFont="1" applyFill="1" applyAlignment="1">
      <alignment horizontal="center"/>
    </xf>
    <xf numFmtId="0" fontId="37" fillId="25" borderId="0" xfId="1" applyFont="1" applyFill="1" applyAlignment="1">
      <alignment horizontal="center" vertical="center"/>
    </xf>
    <xf numFmtId="0" fontId="108" fillId="22" borderId="0" xfId="1" applyFont="1" applyFill="1" applyAlignment="1">
      <alignment horizontal="left" vertical="center"/>
    </xf>
    <xf numFmtId="0" fontId="42" fillId="22" borderId="0" xfId="1" applyFont="1" applyFill="1" applyAlignment="1">
      <alignment horizontal="left" vertical="center"/>
    </xf>
    <xf numFmtId="0" fontId="2" fillId="3" borderId="0" xfId="1" applyFont="1" applyFill="1" applyAlignment="1">
      <alignment horizontal="center" vertical="center" wrapText="1"/>
    </xf>
    <xf numFmtId="167" fontId="23" fillId="14" borderId="4" xfId="20" applyNumberFormat="1" applyFont="1" applyFill="1" applyBorder="1" applyAlignment="1">
      <alignment horizontal="center"/>
    </xf>
    <xf numFmtId="167" fontId="23" fillId="14" borderId="3" xfId="20" applyNumberFormat="1" applyFont="1" applyFill="1" applyBorder="1" applyAlignment="1">
      <alignment horizontal="center"/>
    </xf>
    <xf numFmtId="167" fontId="23" fillId="14" borderId="2" xfId="20" applyNumberFormat="1" applyFont="1" applyFill="1" applyBorder="1" applyAlignment="1">
      <alignment horizontal="center"/>
    </xf>
    <xf numFmtId="0" fontId="21" fillId="3" borderId="4" xfId="1" applyFont="1" applyFill="1" applyBorder="1" applyAlignment="1">
      <alignment horizontal="left"/>
    </xf>
    <xf numFmtId="0" fontId="21" fillId="3" borderId="3" xfId="1" applyFont="1" applyFill="1" applyBorder="1" applyAlignment="1">
      <alignment horizontal="left"/>
    </xf>
    <xf numFmtId="0" fontId="21" fillId="3" borderId="2" xfId="1" applyFont="1" applyFill="1" applyBorder="1" applyAlignment="1">
      <alignment horizontal="left"/>
    </xf>
    <xf numFmtId="0" fontId="2" fillId="3" borderId="0" xfId="1" applyFont="1" applyFill="1" applyAlignment="1">
      <alignment horizontal="left" vertical="top" wrapText="1"/>
    </xf>
    <xf numFmtId="0" fontId="21" fillId="3" borderId="1" xfId="1" applyFont="1" applyFill="1" applyBorder="1" applyAlignment="1">
      <alignment horizontal="left"/>
    </xf>
    <xf numFmtId="0" fontId="21" fillId="14" borderId="1" xfId="1" applyFont="1" applyFill="1" applyBorder="1" applyAlignment="1">
      <alignment horizontal="left" vertical="top"/>
    </xf>
    <xf numFmtId="0" fontId="23" fillId="3" borderId="4" xfId="1" applyFont="1" applyFill="1" applyBorder="1" applyAlignment="1">
      <alignment horizontal="left"/>
    </xf>
    <xf numFmtId="0" fontId="23" fillId="3" borderId="3" xfId="1" applyFont="1" applyFill="1" applyBorder="1" applyAlignment="1">
      <alignment horizontal="left"/>
    </xf>
    <xf numFmtId="0" fontId="23" fillId="3" borderId="2" xfId="1" applyFont="1" applyFill="1" applyBorder="1" applyAlignment="1">
      <alignment horizontal="left"/>
    </xf>
    <xf numFmtId="9" fontId="23" fillId="3" borderId="4" xfId="1" applyNumberFormat="1" applyFont="1" applyFill="1" applyBorder="1"/>
    <xf numFmtId="0" fontId="23" fillId="3" borderId="2" xfId="1" applyFont="1" applyFill="1" applyBorder="1"/>
    <xf numFmtId="2" fontId="23" fillId="3" borderId="4" xfId="1" applyNumberFormat="1" applyFont="1" applyFill="1" applyBorder="1"/>
    <xf numFmtId="0" fontId="23" fillId="3" borderId="4" xfId="1" applyFont="1" applyFill="1" applyBorder="1" applyAlignment="1">
      <alignment horizontal="center"/>
    </xf>
    <xf numFmtId="0" fontId="23" fillId="3" borderId="2" xfId="1" applyFont="1" applyFill="1" applyBorder="1" applyAlignment="1">
      <alignment horizontal="center"/>
    </xf>
    <xf numFmtId="0" fontId="21" fillId="13" borderId="1" xfId="1" applyFont="1" applyFill="1" applyBorder="1" applyAlignment="1">
      <alignment horizontal="center"/>
    </xf>
    <xf numFmtId="0" fontId="2" fillId="3" borderId="0" xfId="1" applyFont="1" applyFill="1" applyAlignment="1">
      <alignment horizontal="left" vertical="center" wrapText="1"/>
    </xf>
    <xf numFmtId="0" fontId="21" fillId="3" borderId="1" xfId="1" applyFont="1" applyFill="1" applyBorder="1" applyAlignment="1">
      <alignment horizontal="center"/>
    </xf>
    <xf numFmtId="193" fontId="23" fillId="3" borderId="1" xfId="1" applyNumberFormat="1" applyFont="1" applyFill="1" applyBorder="1" applyAlignment="1">
      <alignment horizontal="center"/>
    </xf>
    <xf numFmtId="192" fontId="23" fillId="14" borderId="4" xfId="1" applyNumberFormat="1" applyFont="1" applyFill="1" applyBorder="1" applyAlignment="1">
      <alignment horizontal="center"/>
    </xf>
    <xf numFmtId="0" fontId="23" fillId="14" borderId="2" xfId="1" applyFont="1" applyFill="1" applyBorder="1" applyAlignment="1">
      <alignment horizontal="center"/>
    </xf>
    <xf numFmtId="3" fontId="23" fillId="3" borderId="4" xfId="1" applyNumberFormat="1" applyFont="1" applyFill="1" applyBorder="1"/>
    <xf numFmtId="0" fontId="2" fillId="0" borderId="0" xfId="1" applyFont="1" applyAlignment="1">
      <alignment horizontal="center"/>
    </xf>
    <xf numFmtId="0" fontId="2" fillId="0" borderId="0" xfId="1" applyFont="1" applyAlignment="1">
      <alignment horizontal="center" wrapText="1"/>
    </xf>
    <xf numFmtId="0" fontId="21" fillId="16" borderId="4" xfId="1" applyFont="1" applyFill="1" applyBorder="1"/>
    <xf numFmtId="0" fontId="21" fillId="16" borderId="2" xfId="1" applyFont="1" applyFill="1" applyBorder="1"/>
    <xf numFmtId="14" fontId="29" fillId="16" borderId="4" xfId="1" applyNumberFormat="1" applyFont="1" applyFill="1" applyBorder="1" applyAlignment="1">
      <alignment horizontal="center"/>
    </xf>
    <xf numFmtId="14" fontId="29" fillId="16" borderId="2" xfId="1" applyNumberFormat="1" applyFont="1" applyFill="1" applyBorder="1" applyAlignment="1">
      <alignment horizontal="center"/>
    </xf>
    <xf numFmtId="194" fontId="21" fillId="16" borderId="4" xfId="1" applyNumberFormat="1" applyFont="1" applyFill="1" applyBorder="1" applyAlignment="1">
      <alignment horizontal="center"/>
    </xf>
    <xf numFmtId="194" fontId="21" fillId="16" borderId="2" xfId="1" applyNumberFormat="1" applyFont="1" applyFill="1" applyBorder="1" applyAlignment="1">
      <alignment horizontal="center"/>
    </xf>
    <xf numFmtId="0" fontId="20" fillId="18" borderId="1" xfId="1" applyFont="1" applyFill="1" applyBorder="1" applyAlignment="1">
      <alignment horizontal="center" vertical="center" wrapText="1"/>
    </xf>
    <xf numFmtId="0" fontId="20" fillId="18" borderId="55" xfId="1" applyFont="1" applyFill="1" applyBorder="1" applyAlignment="1">
      <alignment horizontal="center" vertical="center" wrapText="1"/>
    </xf>
    <xf numFmtId="0" fontId="20" fillId="18" borderId="53" xfId="1" applyFont="1" applyFill="1" applyBorder="1" applyAlignment="1">
      <alignment horizontal="center" vertical="center" wrapText="1"/>
    </xf>
    <xf numFmtId="0" fontId="2" fillId="13" borderId="14" xfId="1" applyFont="1" applyFill="1" applyBorder="1" applyAlignment="1">
      <alignment horizontal="center" wrapText="1"/>
    </xf>
    <xf numFmtId="0" fontId="2" fillId="13" borderId="0" xfId="1" applyFont="1" applyFill="1" applyAlignment="1">
      <alignment horizontal="center" wrapText="1"/>
    </xf>
    <xf numFmtId="0" fontId="2" fillId="13" borderId="0" xfId="1" applyFont="1" applyFill="1" applyAlignment="1">
      <alignment horizontal="center" vertical="center" wrapText="1"/>
    </xf>
    <xf numFmtId="0" fontId="112" fillId="18" borderId="1" xfId="1" applyFont="1" applyFill="1" applyBorder="1" applyAlignment="1">
      <alignment horizontal="center" vertical="center" wrapText="1"/>
    </xf>
    <xf numFmtId="0" fontId="18" fillId="18" borderId="1" xfId="1" applyFont="1" applyFill="1" applyBorder="1" applyAlignment="1">
      <alignment horizontal="center" vertical="center" wrapText="1"/>
    </xf>
    <xf numFmtId="0" fontId="1" fillId="21" borderId="8" xfId="6" applyFill="1" applyBorder="1" applyAlignment="1">
      <alignment horizontal="center"/>
    </xf>
    <xf numFmtId="0" fontId="27" fillId="19" borderId="11" xfId="23" applyFont="1" applyFill="1" applyBorder="1" applyAlignment="1">
      <alignment horizontal="center" vertical="center" wrapText="1"/>
    </xf>
    <xf numFmtId="0" fontId="27" fillId="19" borderId="25" xfId="23" applyFont="1" applyFill="1" applyBorder="1" applyAlignment="1">
      <alignment horizontal="center" vertical="center" wrapText="1"/>
    </xf>
    <xf numFmtId="0" fontId="27" fillId="19" borderId="33" xfId="23" applyFont="1" applyFill="1" applyBorder="1" applyAlignment="1">
      <alignment horizontal="center" vertical="center" wrapText="1"/>
    </xf>
    <xf numFmtId="0" fontId="27" fillId="19" borderId="9" xfId="23" applyFont="1" applyFill="1" applyBorder="1" applyAlignment="1">
      <alignment horizontal="center" vertical="center" wrapText="1"/>
    </xf>
    <xf numFmtId="0" fontId="27" fillId="19" borderId="8" xfId="23" applyFont="1" applyFill="1" applyBorder="1" applyAlignment="1">
      <alignment horizontal="center" vertical="center" wrapText="1"/>
    </xf>
    <xf numFmtId="0" fontId="27" fillId="19" borderId="7" xfId="23" applyFont="1" applyFill="1" applyBorder="1" applyAlignment="1">
      <alignment horizontal="center" vertical="center" wrapText="1"/>
    </xf>
    <xf numFmtId="0" fontId="27" fillId="19" borderId="23" xfId="23" applyFont="1" applyFill="1" applyBorder="1" applyAlignment="1">
      <alignment horizontal="center" vertical="center" wrapText="1"/>
    </xf>
    <xf numFmtId="0" fontId="27" fillId="19" borderId="22" xfId="23" applyFont="1" applyFill="1" applyBorder="1" applyAlignment="1">
      <alignment horizontal="center" vertical="center" wrapText="1"/>
    </xf>
    <xf numFmtId="0" fontId="27" fillId="19" borderId="21" xfId="23" applyFont="1" applyFill="1" applyBorder="1" applyAlignment="1">
      <alignment horizontal="center" vertical="center" wrapText="1"/>
    </xf>
    <xf numFmtId="0" fontId="22" fillId="16" borderId="6" xfId="23" quotePrefix="1" applyFont="1" applyFill="1" applyBorder="1" applyAlignment="1">
      <alignment horizontal="center" vertical="center" wrapText="1"/>
    </xf>
    <xf numFmtId="0" fontId="26" fillId="16" borderId="0" xfId="23" applyFont="1" applyFill="1" applyAlignment="1">
      <alignment horizontal="center" vertical="center" wrapText="1"/>
    </xf>
    <xf numFmtId="0" fontId="26" fillId="16" borderId="10" xfId="23" applyFont="1" applyFill="1" applyBorder="1" applyAlignment="1">
      <alignment horizontal="center" vertical="center" wrapText="1"/>
    </xf>
    <xf numFmtId="0" fontId="26" fillId="16" borderId="6" xfId="23" applyFont="1" applyFill="1" applyBorder="1" applyAlignment="1">
      <alignment horizontal="center" vertical="center" wrapText="1"/>
    </xf>
    <xf numFmtId="0" fontId="26" fillId="16" borderId="9" xfId="23" applyFont="1" applyFill="1" applyBorder="1" applyAlignment="1">
      <alignment horizontal="center" vertical="center" wrapText="1"/>
    </xf>
    <xf numFmtId="0" fontId="26" fillId="16" borderId="8" xfId="23" applyFont="1" applyFill="1" applyBorder="1" applyAlignment="1">
      <alignment horizontal="center" vertical="center" wrapText="1"/>
    </xf>
    <xf numFmtId="0" fontId="26" fillId="16" borderId="7" xfId="23" applyFont="1" applyFill="1" applyBorder="1" applyAlignment="1">
      <alignment horizontal="center" vertical="center" wrapText="1"/>
    </xf>
    <xf numFmtId="0" fontId="22" fillId="16" borderId="11" xfId="23" quotePrefix="1" applyFont="1" applyFill="1" applyBorder="1" applyAlignment="1">
      <alignment horizontal="center" vertical="center" wrapText="1"/>
    </xf>
    <xf numFmtId="0" fontId="26" fillId="16" borderId="25" xfId="23" applyFont="1" applyFill="1" applyBorder="1" applyAlignment="1">
      <alignment horizontal="center" vertical="center" wrapText="1"/>
    </xf>
    <xf numFmtId="0" fontId="26" fillId="16" borderId="33" xfId="23" applyFont="1" applyFill="1" applyBorder="1" applyAlignment="1">
      <alignment horizontal="center" vertical="center" wrapText="1"/>
    </xf>
    <xf numFmtId="0" fontId="20" fillId="18" borderId="71" xfId="6" applyFont="1" applyFill="1" applyBorder="1" applyAlignment="1">
      <alignment horizontal="center"/>
    </xf>
    <xf numFmtId="0" fontId="20" fillId="18" borderId="70" xfId="6" applyFont="1" applyFill="1" applyBorder="1" applyAlignment="1">
      <alignment horizontal="center"/>
    </xf>
    <xf numFmtId="0" fontId="20" fillId="18" borderId="69" xfId="6" applyFont="1" applyFill="1" applyBorder="1" applyAlignment="1">
      <alignment horizontal="center"/>
    </xf>
    <xf numFmtId="0" fontId="36" fillId="3" borderId="0" xfId="1" applyFont="1" applyFill="1" applyBorder="1"/>
    <xf numFmtId="168" fontId="119" fillId="41" borderId="0" xfId="13" applyNumberFormat="1" applyFont="1" applyFill="1" applyBorder="1"/>
    <xf numFmtId="0" fontId="120" fillId="40" borderId="0" xfId="1" applyFont="1" applyFill="1" applyAlignment="1">
      <alignment horizontal="left" vertical="top" wrapText="1"/>
    </xf>
    <xf numFmtId="0" fontId="120" fillId="39" borderId="0" xfId="1" applyFont="1" applyFill="1" applyAlignment="1">
      <alignment horizontal="center"/>
    </xf>
    <xf numFmtId="170" fontId="120" fillId="39" borderId="0" xfId="1" applyNumberFormat="1" applyFont="1" applyFill="1" applyAlignment="1">
      <alignment horizontal="center" vertical="top"/>
    </xf>
    <xf numFmtId="203" fontId="121" fillId="39" borderId="0" xfId="6" applyNumberFormat="1" applyFont="1" applyFill="1" applyAlignment="1">
      <alignment horizontal="center"/>
    </xf>
    <xf numFmtId="0" fontId="121" fillId="39" borderId="0" xfId="1" applyFont="1" applyFill="1" applyAlignment="1">
      <alignment horizontal="center"/>
    </xf>
    <xf numFmtId="0" fontId="121" fillId="39" borderId="0" xfId="6" applyFont="1" applyFill="1" applyAlignment="1">
      <alignment horizontal="center"/>
    </xf>
    <xf numFmtId="0" fontId="120" fillId="40" borderId="0" xfId="1" applyFont="1" applyFill="1" applyAlignment="1">
      <alignment horizontal="left"/>
    </xf>
    <xf numFmtId="0" fontId="120" fillId="40" borderId="16" xfId="1" applyFont="1" applyFill="1" applyBorder="1" applyAlignment="1">
      <alignment horizontal="left" vertical="top" wrapText="1"/>
    </xf>
    <xf numFmtId="0" fontId="118" fillId="39" borderId="0" xfId="1" applyFont="1" applyFill="1" applyAlignment="1">
      <alignment horizontal="center"/>
    </xf>
    <xf numFmtId="170" fontId="118" fillId="39" borderId="79" xfId="1" applyNumberFormat="1" applyFont="1" applyFill="1" applyBorder="1" applyAlignment="1">
      <alignment horizontal="center" vertical="center"/>
    </xf>
    <xf numFmtId="196" fontId="120" fillId="39" borderId="0" xfId="1" applyNumberFormat="1" applyFont="1" applyFill="1" applyAlignment="1">
      <alignment horizontal="left" vertical="center"/>
    </xf>
    <xf numFmtId="197" fontId="120" fillId="39" borderId="0" xfId="1" applyNumberFormat="1" applyFont="1" applyFill="1" applyAlignment="1">
      <alignment horizontal="left" vertical="center"/>
    </xf>
    <xf numFmtId="174" fontId="120" fillId="39" borderId="0" xfId="1" applyNumberFormat="1" applyFont="1" applyFill="1" applyAlignment="1">
      <alignment horizontal="center"/>
    </xf>
    <xf numFmtId="170" fontId="120" fillId="39" borderId="0" xfId="1" applyNumberFormat="1" applyFont="1" applyFill="1" applyAlignment="1">
      <alignment horizontal="center" vertical="center"/>
    </xf>
    <xf numFmtId="0" fontId="124" fillId="3" borderId="0" xfId="1" applyFont="1" applyFill="1"/>
    <xf numFmtId="49" fontId="118" fillId="39" borderId="0" xfId="1" applyNumberFormat="1" applyFont="1" applyFill="1" applyAlignment="1">
      <alignment horizontal="center" vertical="top"/>
    </xf>
    <xf numFmtId="0" fontId="118" fillId="39" borderId="0" xfId="1" applyFont="1" applyFill="1" applyAlignment="1">
      <alignment horizontal="center" vertical="top" textRotation="180"/>
    </xf>
    <xf numFmtId="201" fontId="120" fillId="39" borderId="0" xfId="1" applyNumberFormat="1" applyFont="1" applyFill="1" applyAlignment="1">
      <alignment horizontal="center"/>
    </xf>
    <xf numFmtId="201" fontId="137" fillId="39" borderId="0" xfId="24" applyNumberFormat="1" applyFont="1" applyFill="1" applyBorder="1" applyAlignment="1">
      <alignment horizontal="center"/>
    </xf>
    <xf numFmtId="201" fontId="120" fillId="39" borderId="0" xfId="24" applyNumberFormat="1" applyFont="1" applyFill="1" applyBorder="1" applyAlignment="1">
      <alignment horizontal="center"/>
    </xf>
    <xf numFmtId="167" fontId="120" fillId="39" borderId="0" xfId="1" applyNumberFormat="1" applyFont="1" applyFill="1" applyAlignment="1">
      <alignment horizontal="center"/>
    </xf>
    <xf numFmtId="167" fontId="120" fillId="39" borderId="0" xfId="24" applyNumberFormat="1" applyFont="1" applyFill="1" applyBorder="1" applyAlignment="1">
      <alignment horizontal="center"/>
    </xf>
    <xf numFmtId="0" fontId="118" fillId="39" borderId="0" xfId="1" applyFont="1" applyFill="1" applyAlignment="1">
      <alignment horizontal="center" vertical="top"/>
    </xf>
    <xf numFmtId="191" fontId="135" fillId="39" borderId="0" xfId="1" applyNumberFormat="1" applyFont="1" applyFill="1" applyAlignment="1">
      <alignment horizontal="center" vertical="top"/>
    </xf>
    <xf numFmtId="167" fontId="136" fillId="26" borderId="0" xfId="1" applyNumberFormat="1" applyFont="1" applyFill="1" applyAlignment="1">
      <alignment horizontal="center" vertical="top"/>
    </xf>
    <xf numFmtId="0" fontId="135" fillId="39" borderId="0" xfId="1" applyFont="1" applyFill="1" applyAlignment="1">
      <alignment horizontal="center"/>
    </xf>
    <xf numFmtId="198" fontId="118" fillId="43" borderId="0" xfId="1" applyNumberFormat="1" applyFont="1" applyFill="1" applyAlignment="1">
      <alignment horizontal="center" vertical="top" wrapText="1"/>
    </xf>
    <xf numFmtId="199" fontId="135" fillId="43" borderId="0" xfId="1" applyNumberFormat="1" applyFont="1" applyFill="1" applyAlignment="1">
      <alignment horizontal="center" vertical="top" wrapText="1"/>
    </xf>
    <xf numFmtId="199" fontId="118" fillId="43" borderId="0" xfId="1" applyNumberFormat="1" applyFont="1" applyFill="1" applyAlignment="1">
      <alignment horizontal="center" vertical="top" wrapText="1"/>
    </xf>
    <xf numFmtId="0" fontId="63" fillId="26" borderId="16" xfId="6" applyFont="1" applyFill="1" applyBorder="1" applyAlignment="1">
      <alignment horizontal="center"/>
    </xf>
    <xf numFmtId="0" fontId="122" fillId="39" borderId="0" xfId="6" applyFont="1" applyFill="1" applyAlignment="1">
      <alignment horizontal="center"/>
    </xf>
    <xf numFmtId="0" fontId="123" fillId="39" borderId="0" xfId="6" applyFont="1" applyFill="1" applyAlignment="1">
      <alignment horizontal="center"/>
    </xf>
    <xf numFmtId="0" fontId="64" fillId="26" borderId="0" xfId="6" applyFont="1" applyFill="1" applyAlignment="1">
      <alignment horizontal="center"/>
    </xf>
    <xf numFmtId="0" fontId="135" fillId="39" borderId="79" xfId="1" applyNumberFormat="1" applyFont="1" applyFill="1" applyBorder="1" applyAlignment="1">
      <alignment horizontal="center" vertical="center"/>
    </xf>
    <xf numFmtId="49" fontId="118" fillId="39" borderId="16" xfId="1" applyNumberFormat="1" applyFont="1" applyFill="1" applyBorder="1" applyAlignment="1">
      <alignment horizontal="center" vertical="top"/>
    </xf>
    <xf numFmtId="170" fontId="36" fillId="26" borderId="0" xfId="1" applyNumberFormat="1" applyFont="1" applyFill="1" applyAlignment="1">
      <alignment horizontal="center"/>
    </xf>
    <xf numFmtId="0" fontId="36" fillId="3" borderId="0" xfId="1" applyFont="1" applyFill="1" applyAlignment="1">
      <alignment vertical="top"/>
    </xf>
    <xf numFmtId="0" fontId="125" fillId="3" borderId="0" xfId="0" applyFont="1" applyFill="1" applyAlignment="1">
      <alignment horizontal="center"/>
    </xf>
    <xf numFmtId="0" fontId="49" fillId="3" borderId="0" xfId="1" applyFont="1" applyFill="1" applyAlignment="1">
      <alignment horizontal="center" vertical="top"/>
    </xf>
    <xf numFmtId="0" fontId="124" fillId="3" borderId="0" xfId="0" applyFont="1" applyFill="1" applyAlignment="1">
      <alignment horizontal="center"/>
    </xf>
    <xf numFmtId="0" fontId="129" fillId="3" borderId="0" xfId="0" applyFont="1" applyFill="1" applyAlignment="1">
      <alignment horizontal="center"/>
    </xf>
    <xf numFmtId="0" fontId="127" fillId="3" borderId="0" xfId="0" applyFont="1" applyFill="1"/>
    <xf numFmtId="167" fontId="133" fillId="3" borderId="0" xfId="0" applyNumberFormat="1" applyFont="1" applyFill="1" applyAlignment="1">
      <alignment horizontal="center"/>
    </xf>
    <xf numFmtId="167" fontId="134" fillId="3" borderId="0" xfId="0" applyNumberFormat="1" applyFont="1" applyFill="1" applyAlignment="1">
      <alignment horizontal="center"/>
    </xf>
    <xf numFmtId="0" fontId="128" fillId="3" borderId="0" xfId="0" applyFont="1" applyFill="1"/>
    <xf numFmtId="0" fontId="129" fillId="3" borderId="0" xfId="0" applyFont="1" applyFill="1"/>
    <xf numFmtId="0" fontId="130" fillId="3" borderId="0" xfId="0" applyFont="1" applyFill="1"/>
    <xf numFmtId="0" fontId="131" fillId="3" borderId="0" xfId="0" applyFont="1" applyFill="1"/>
    <xf numFmtId="0" fontId="132" fillId="3" borderId="0" xfId="0" applyFont="1" applyFill="1"/>
    <xf numFmtId="0" fontId="126" fillId="3" borderId="0" xfId="0" applyFont="1" applyFill="1"/>
    <xf numFmtId="0" fontId="140" fillId="27" borderId="85" xfId="0" applyFont="1" applyFill="1" applyBorder="1" applyAlignment="1">
      <alignment horizontal="center" vertical="top"/>
    </xf>
    <xf numFmtId="0" fontId="140" fillId="27" borderId="84" xfId="0" applyFont="1" applyFill="1" applyBorder="1" applyAlignment="1">
      <alignment horizontal="left" vertical="top"/>
    </xf>
    <xf numFmtId="0" fontId="140" fillId="27" borderId="84" xfId="0" applyFont="1" applyFill="1" applyBorder="1" applyAlignment="1">
      <alignment horizontal="center" vertical="top"/>
    </xf>
    <xf numFmtId="0" fontId="140" fillId="27" borderId="90" xfId="0" applyFont="1" applyFill="1" applyBorder="1" applyAlignment="1">
      <alignment horizontal="left" vertical="top"/>
    </xf>
    <xf numFmtId="0" fontId="140" fillId="42" borderId="86" xfId="0" applyFont="1" applyFill="1" applyBorder="1" applyAlignment="1">
      <alignment horizontal="left" vertical="top"/>
    </xf>
    <xf numFmtId="0" fontId="0" fillId="0" borderId="82" xfId="0" applyBorder="1" applyAlignment="1">
      <alignment vertical="top" wrapText="1"/>
    </xf>
    <xf numFmtId="0" fontId="0" fillId="0" borderId="91" xfId="0" applyBorder="1" applyAlignment="1">
      <alignment vertical="top" wrapText="1"/>
    </xf>
    <xf numFmtId="0" fontId="127" fillId="44" borderId="87" xfId="0" applyFont="1" applyFill="1" applyBorder="1" applyAlignment="1">
      <alignment horizontal="center" vertical="top"/>
    </xf>
    <xf numFmtId="0" fontId="141" fillId="44" borderId="0" xfId="0" applyFont="1" applyFill="1" applyBorder="1" applyAlignment="1">
      <alignment vertical="top" wrapText="1"/>
    </xf>
    <xf numFmtId="0" fontId="141" fillId="44" borderId="0" xfId="0" applyFont="1" applyFill="1" applyBorder="1" applyAlignment="1">
      <alignment horizontal="center" vertical="top" wrapText="1"/>
    </xf>
    <xf numFmtId="0" fontId="142" fillId="44" borderId="92" xfId="0" applyFont="1" applyFill="1" applyBorder="1" applyAlignment="1">
      <alignment vertical="top" wrapText="1"/>
    </xf>
    <xf numFmtId="0" fontId="127" fillId="40" borderId="88" xfId="0" applyFont="1" applyFill="1" applyBorder="1" applyAlignment="1">
      <alignment horizontal="center" vertical="top"/>
    </xf>
    <xf numFmtId="0" fontId="141" fillId="40" borderId="81" xfId="0" applyFont="1" applyFill="1" applyBorder="1" applyAlignment="1">
      <alignment vertical="top" wrapText="1"/>
    </xf>
    <xf numFmtId="0" fontId="141" fillId="40" borderId="81" xfId="0" applyFont="1" applyFill="1" applyBorder="1" applyAlignment="1">
      <alignment horizontal="center" vertical="top" wrapText="1"/>
    </xf>
    <xf numFmtId="0" fontId="142" fillId="40" borderId="93" xfId="0" applyFont="1" applyFill="1" applyBorder="1" applyAlignment="1">
      <alignment vertical="top" wrapText="1"/>
    </xf>
    <xf numFmtId="0" fontId="127" fillId="44" borderId="88" xfId="0" applyFont="1" applyFill="1" applyBorder="1" applyAlignment="1">
      <alignment horizontal="center" vertical="top"/>
    </xf>
    <xf numFmtId="0" fontId="141" fillId="44" borderId="81" xfId="0" applyFont="1" applyFill="1" applyBorder="1" applyAlignment="1">
      <alignment vertical="top" wrapText="1"/>
    </xf>
    <xf numFmtId="0" fontId="141" fillId="44" borderId="81" xfId="0" applyFont="1" applyFill="1" applyBorder="1" applyAlignment="1">
      <alignment horizontal="center" vertical="top" wrapText="1"/>
    </xf>
    <xf numFmtId="0" fontId="142" fillId="44" borderId="93" xfId="0" applyFont="1" applyFill="1" applyBorder="1" applyAlignment="1">
      <alignment vertical="top" wrapText="1"/>
    </xf>
    <xf numFmtId="0" fontId="140" fillId="42" borderId="89" xfId="0" applyFont="1" applyFill="1" applyBorder="1" applyAlignment="1">
      <alignment horizontal="left" vertical="top"/>
    </xf>
    <xf numFmtId="0" fontId="0" fillId="0" borderId="83" xfId="0" applyBorder="1" applyAlignment="1">
      <alignment vertical="top" wrapText="1"/>
    </xf>
    <xf numFmtId="0" fontId="0" fillId="0" borderId="94" xfId="0" applyBorder="1" applyAlignment="1">
      <alignment vertical="top" wrapText="1"/>
    </xf>
    <xf numFmtId="0" fontId="128" fillId="45" borderId="87" xfId="0" applyFont="1" applyFill="1" applyBorder="1" applyAlignment="1">
      <alignment horizontal="center" vertical="top"/>
    </xf>
    <xf numFmtId="0" fontId="141" fillId="45" borderId="0" xfId="0" applyFont="1" applyFill="1" applyBorder="1" applyAlignment="1">
      <alignment vertical="top" wrapText="1"/>
    </xf>
    <xf numFmtId="17" fontId="141" fillId="45" borderId="0" xfId="0" applyNumberFormat="1" applyFont="1" applyFill="1" applyBorder="1" applyAlignment="1">
      <alignment horizontal="center" vertical="top" wrapText="1"/>
    </xf>
    <xf numFmtId="0" fontId="142" fillId="45" borderId="92" xfId="0" applyFont="1" applyFill="1" applyBorder="1" applyAlignment="1">
      <alignment vertical="top" wrapText="1"/>
    </xf>
    <xf numFmtId="0" fontId="128" fillId="40" borderId="88" xfId="0" applyFont="1" applyFill="1" applyBorder="1" applyAlignment="1">
      <alignment horizontal="center" vertical="top"/>
    </xf>
    <xf numFmtId="0" fontId="128" fillId="45" borderId="88" xfId="0" applyFont="1" applyFill="1" applyBorder="1" applyAlignment="1">
      <alignment horizontal="center" vertical="top"/>
    </xf>
    <xf numFmtId="0" fontId="141" fillId="45" borderId="81" xfId="0" applyFont="1" applyFill="1" applyBorder="1" applyAlignment="1">
      <alignment vertical="top" wrapText="1"/>
    </xf>
    <xf numFmtId="0" fontId="141" fillId="45" borderId="81" xfId="0" applyFont="1" applyFill="1" applyBorder="1" applyAlignment="1">
      <alignment horizontal="center" vertical="top" wrapText="1"/>
    </xf>
    <xf numFmtId="17" fontId="141" fillId="45" borderId="81" xfId="0" applyNumberFormat="1" applyFont="1" applyFill="1" applyBorder="1" applyAlignment="1">
      <alignment horizontal="center" vertical="top" wrapText="1"/>
    </xf>
    <xf numFmtId="0" fontId="142" fillId="45" borderId="93" xfId="0" applyFont="1" applyFill="1" applyBorder="1" applyAlignment="1">
      <alignment vertical="top" wrapText="1"/>
    </xf>
    <xf numFmtId="17" fontId="141" fillId="40" borderId="81" xfId="0" applyNumberFormat="1" applyFont="1" applyFill="1" applyBorder="1" applyAlignment="1">
      <alignment horizontal="center" vertical="top" wrapText="1"/>
    </xf>
    <xf numFmtId="0" fontId="129" fillId="47" borderId="87" xfId="0" applyFont="1" applyFill="1" applyBorder="1" applyAlignment="1">
      <alignment horizontal="center" vertical="top"/>
    </xf>
    <xf numFmtId="0" fontId="141" fillId="47" borderId="0" xfId="0" applyFont="1" applyFill="1" applyBorder="1" applyAlignment="1">
      <alignment vertical="top" wrapText="1"/>
    </xf>
    <xf numFmtId="0" fontId="141" fillId="47" borderId="0" xfId="0" applyFont="1" applyFill="1" applyBorder="1" applyAlignment="1">
      <alignment horizontal="center" vertical="top" wrapText="1"/>
    </xf>
    <xf numFmtId="0" fontId="142" fillId="47" borderId="92" xfId="0" applyFont="1" applyFill="1" applyBorder="1" applyAlignment="1">
      <alignment vertical="top" wrapText="1"/>
    </xf>
    <xf numFmtId="0" fontId="129" fillId="40" borderId="88" xfId="0" applyFont="1" applyFill="1" applyBorder="1" applyAlignment="1">
      <alignment horizontal="center" vertical="top"/>
    </xf>
    <xf numFmtId="0" fontId="129" fillId="47" borderId="88" xfId="0" applyFont="1" applyFill="1" applyBorder="1" applyAlignment="1">
      <alignment horizontal="center" vertical="top"/>
    </xf>
    <xf numFmtId="0" fontId="141" fillId="47" borderId="81" xfId="0" applyFont="1" applyFill="1" applyBorder="1" applyAlignment="1">
      <alignment vertical="top" wrapText="1"/>
    </xf>
    <xf numFmtId="0" fontId="141" fillId="47" borderId="81" xfId="0" applyFont="1" applyFill="1" applyBorder="1" applyAlignment="1">
      <alignment horizontal="center" vertical="top" wrapText="1"/>
    </xf>
    <xf numFmtId="0" fontId="143" fillId="47" borderId="93" xfId="0" applyFont="1" applyFill="1" applyBorder="1" applyAlignment="1">
      <alignment vertical="top" wrapText="1"/>
    </xf>
    <xf numFmtId="0" fontId="130" fillId="48" borderId="87" xfId="0" applyFont="1" applyFill="1" applyBorder="1" applyAlignment="1">
      <alignment horizontal="center" vertical="top"/>
    </xf>
    <xf numFmtId="0" fontId="141" fillId="48" borderId="0" xfId="0" applyFont="1" applyFill="1" applyBorder="1" applyAlignment="1">
      <alignment vertical="top" wrapText="1"/>
    </xf>
    <xf numFmtId="17" fontId="141" fillId="48" borderId="0" xfId="0" applyNumberFormat="1" applyFont="1" applyFill="1" applyBorder="1" applyAlignment="1">
      <alignment horizontal="center" vertical="top" wrapText="1"/>
    </xf>
    <xf numFmtId="0" fontId="142" fillId="48" borderId="92" xfId="0" applyFont="1" applyFill="1" applyBorder="1" applyAlignment="1">
      <alignment vertical="top" wrapText="1"/>
    </xf>
    <xf numFmtId="0" fontId="130" fillId="40" borderId="88" xfId="0" applyFont="1" applyFill="1" applyBorder="1" applyAlignment="1">
      <alignment horizontal="center" vertical="top"/>
    </xf>
    <xf numFmtId="0" fontId="130" fillId="48" borderId="88" xfId="0" applyFont="1" applyFill="1" applyBorder="1" applyAlignment="1">
      <alignment horizontal="center" vertical="top"/>
    </xf>
    <xf numFmtId="0" fontId="141" fillId="48" borderId="81" xfId="0" applyFont="1" applyFill="1" applyBorder="1" applyAlignment="1">
      <alignment vertical="top" wrapText="1"/>
    </xf>
    <xf numFmtId="17" fontId="141" fillId="48" borderId="81" xfId="0" applyNumberFormat="1" applyFont="1" applyFill="1" applyBorder="1" applyAlignment="1">
      <alignment horizontal="center" vertical="top" wrapText="1"/>
    </xf>
    <xf numFmtId="0" fontId="142" fillId="48" borderId="93" xfId="0" applyFont="1" applyFill="1" applyBorder="1" applyAlignment="1">
      <alignment vertical="top" wrapText="1"/>
    </xf>
    <xf numFmtId="0" fontId="141" fillId="48" borderId="81" xfId="0" applyFont="1" applyFill="1" applyBorder="1" applyAlignment="1">
      <alignment horizontal="center" vertical="top" wrapText="1"/>
    </xf>
    <xf numFmtId="0" fontId="140" fillId="27" borderId="87" xfId="0" applyFont="1" applyFill="1" applyBorder="1" applyAlignment="1">
      <alignment horizontal="center" vertical="top"/>
    </xf>
    <xf numFmtId="0" fontId="140" fillId="46" borderId="0" xfId="0" applyFont="1" applyFill="1" applyBorder="1" applyAlignment="1">
      <alignment horizontal="center" vertical="top" wrapText="1"/>
    </xf>
    <xf numFmtId="0" fontId="140" fillId="49" borderId="92" xfId="0" applyFont="1" applyFill="1" applyBorder="1" applyAlignment="1">
      <alignment horizontal="center" vertical="top" wrapText="1"/>
    </xf>
    <xf numFmtId="0" fontId="144" fillId="52" borderId="87" xfId="0" applyFont="1" applyFill="1" applyBorder="1" applyAlignment="1">
      <alignment horizontal="center" vertical="top"/>
    </xf>
    <xf numFmtId="0" fontId="0" fillId="52" borderId="0" xfId="0" applyFill="1" applyBorder="1" applyAlignment="1">
      <alignment vertical="top" wrapText="1"/>
    </xf>
    <xf numFmtId="0" fontId="145" fillId="48" borderId="0" xfId="0" applyFont="1" applyFill="1" applyBorder="1" applyAlignment="1">
      <alignment horizontal="center" vertical="top" wrapText="1"/>
    </xf>
    <xf numFmtId="0" fontId="140" fillId="50" borderId="92" xfId="0" applyFont="1" applyFill="1" applyBorder="1" applyAlignment="1">
      <alignment horizontal="center" vertical="top" wrapText="1"/>
    </xf>
    <xf numFmtId="0" fontId="0" fillId="52" borderId="87" xfId="0" applyFill="1" applyBorder="1" applyAlignment="1">
      <alignment vertical="top"/>
    </xf>
    <xf numFmtId="0" fontId="0" fillId="0" borderId="0" xfId="0" applyBorder="1" applyAlignment="1">
      <alignment vertical="top" wrapText="1"/>
    </xf>
    <xf numFmtId="0" fontId="143" fillId="53" borderId="92" xfId="0" applyFont="1" applyFill="1" applyBorder="1" applyAlignment="1">
      <alignment horizontal="center" vertical="top" wrapText="1"/>
    </xf>
    <xf numFmtId="0" fontId="0" fillId="40" borderId="87" xfId="0" applyFill="1" applyBorder="1" applyAlignment="1">
      <alignment vertical="top"/>
    </xf>
    <xf numFmtId="0" fontId="0" fillId="0" borderId="92" xfId="0" applyBorder="1" applyAlignment="1">
      <alignment vertical="top" wrapText="1"/>
    </xf>
    <xf numFmtId="0" fontId="146" fillId="36" borderId="87" xfId="0" applyFont="1" applyFill="1" applyBorder="1" applyAlignment="1">
      <alignment horizontal="left" vertical="top"/>
    </xf>
    <xf numFmtId="0" fontId="0" fillId="0" borderId="0" xfId="0" applyAlignment="1">
      <alignment horizontal="left"/>
    </xf>
    <xf numFmtId="0" fontId="1" fillId="0" borderId="0" xfId="23" applyAlignment="1">
      <alignment horizontal="left"/>
    </xf>
    <xf numFmtId="0" fontId="0" fillId="0" borderId="95" xfId="0" applyBorder="1" applyAlignment="1">
      <alignment horizontal="left" vertical="top" wrapText="1"/>
    </xf>
    <xf numFmtId="0" fontId="1" fillId="3" borderId="0" xfId="23" applyFill="1" applyAlignment="1">
      <alignment horizontal="left"/>
    </xf>
    <xf numFmtId="0" fontId="139" fillId="27" borderId="0" xfId="0" applyFont="1" applyFill="1" applyAlignment="1">
      <alignment horizontal="center"/>
    </xf>
    <xf numFmtId="0" fontId="138" fillId="42" borderId="0" xfId="0" applyFont="1" applyFill="1" applyAlignment="1">
      <alignment horizontal="center"/>
    </xf>
    <xf numFmtId="0" fontId="141" fillId="51" borderId="0" xfId="0" applyFont="1" applyFill="1" applyBorder="1" applyAlignment="1">
      <alignment horizontal="center" vertical="top" wrapText="1"/>
    </xf>
    <xf numFmtId="0" fontId="141" fillId="51" borderId="80" xfId="0" applyFont="1" applyFill="1" applyBorder="1" applyAlignment="1">
      <alignment horizontal="center" vertical="top" wrapText="1"/>
    </xf>
    <xf numFmtId="0" fontId="40" fillId="3" borderId="0" xfId="1" applyFont="1" applyFill="1" applyBorder="1" applyAlignment="1">
      <alignment vertical="top" textRotation="180"/>
    </xf>
    <xf numFmtId="0" fontId="36" fillId="0" borderId="0" xfId="1" applyFont="1" applyBorder="1"/>
    <xf numFmtId="0" fontId="1" fillId="0" borderId="0" xfId="6" applyBorder="1"/>
    <xf numFmtId="0" fontId="40" fillId="3" borderId="0" xfId="1" applyFont="1" applyFill="1" applyBorder="1" applyAlignment="1">
      <alignment horizontal="center" vertical="top" textRotation="180"/>
    </xf>
  </cellXfs>
  <cellStyles count="27">
    <cellStyle name="Comma 2" xfId="3" xr:uid="{C2EB84FD-1CA2-4727-A367-F9CF7816A525}"/>
    <cellStyle name="Comma 2 2" xfId="11" xr:uid="{4ADF539A-48A5-4129-8365-1BFFDAFEF6B9}"/>
    <cellStyle name="Comma 21" xfId="7" xr:uid="{7C040F69-F8B4-4649-AF48-5C54A9D16D83}"/>
    <cellStyle name="Comma 21 2" xfId="16" xr:uid="{75CA4A66-FEA7-4320-9299-9704BE5669FC}"/>
    <cellStyle name="Currency 2" xfId="2" xr:uid="{ED7F0C4C-881F-40D7-A49E-CBD64D774ACB}"/>
    <cellStyle name="Currency 2 2" xfId="13" xr:uid="{8C911A34-EC7B-4D9A-81CC-796E8889799B}"/>
    <cellStyle name="Currency 3" xfId="10" xr:uid="{0B0A96DE-196B-4056-BDE8-964EC75E6BBF}"/>
    <cellStyle name="Currency 3 2" xfId="17" xr:uid="{53C018D2-B3C2-4EA0-8EBF-D30453D501E2}"/>
    <cellStyle name="Lien hypertexte 2" xfId="26" xr:uid="{EA0B842A-45D8-4401-9D67-2A5CF204B42D}"/>
    <cellStyle name="Milliers 2" xfId="21" xr:uid="{8F702892-6767-4BA1-92A0-17FCB2A0FBA6}"/>
    <cellStyle name="Monétaire 2" xfId="22" xr:uid="{464D7253-0628-4314-97A3-186744760DD6}"/>
    <cellStyle name="Normal" xfId="0" builtinId="0"/>
    <cellStyle name="Normal 16" xfId="6" xr:uid="{4F094712-1C99-44B0-937A-638835C235FA}"/>
    <cellStyle name="Normal 16 2" xfId="14" xr:uid="{1F446427-87B4-436C-A095-6E65B81091EA}"/>
    <cellStyle name="Normal 2" xfId="1" xr:uid="{EDB79B91-8C5B-472E-AB6A-A7BCE85CE400}"/>
    <cellStyle name="Normal 2 2" xfId="23" xr:uid="{48C59477-051C-4840-82CA-9409A8B85486}"/>
    <cellStyle name="Normal 3" xfId="25" xr:uid="{CFB72256-92BB-4686-B707-7834C07D695B}"/>
    <cellStyle name="Percent" xfId="19" builtinId="5"/>
    <cellStyle name="Percent 2" xfId="4" xr:uid="{D90A4213-3791-488D-8708-8E9EA2F0D80C}"/>
    <cellStyle name="Percent 2 2" xfId="8" xr:uid="{DD5384A0-4D5B-4FB0-84FF-DD4B518B3A21}"/>
    <cellStyle name="Percent 2 2 2" xfId="12" xr:uid="{D661FC57-AF6D-4529-B815-709D8479872A}"/>
    <cellStyle name="Percent 2 3" xfId="24" xr:uid="{891224FE-38B9-4C19-B866-2F28C01501D0}"/>
    <cellStyle name="Percent 21" xfId="5" xr:uid="{7F0BBF1F-8B1C-4E29-B7DD-03783C41B9C8}"/>
    <cellStyle name="Percent 21 2" xfId="15" xr:uid="{CD93A26D-35E4-45C5-AACE-49FF9A115B76}"/>
    <cellStyle name="Percent 4" xfId="9" xr:uid="{82DFFAC2-788C-4398-8FA0-884FA26E71AA}"/>
    <cellStyle name="Percent 4 2" xfId="18" xr:uid="{5BA39035-24C7-4178-B69A-3B49426B9873}"/>
    <cellStyle name="Pourcentage 2" xfId="20" xr:uid="{CFC838D9-1213-4DB9-A557-BEFC415364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E97132"/>
                </a:solidFill>
                <a:latin typeface="+mn-lt"/>
                <a:ea typeface="+mn-ea"/>
                <a:cs typeface="+mn-cs"/>
              </a:defRPr>
            </a:pPr>
            <a:r>
              <a:rPr lang="en-US"/>
              <a:t>Revenue &amp; EBIT (2020–2025 Prelim*)</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E97132"/>
              </a:solidFill>
              <a:latin typeface="+mn-lt"/>
              <a:ea typeface="+mn-ea"/>
              <a:cs typeface="+mn-cs"/>
            </a:defRPr>
          </a:pPr>
          <a:endParaRPr lang="en-US"/>
        </a:p>
      </c:txPr>
    </c:title>
    <c:autoTitleDeleted val="0"/>
    <c:plotArea>
      <c:layout/>
      <c:barChart>
        <c:barDir val="col"/>
        <c:grouping val="clustered"/>
        <c:varyColors val="0"/>
        <c:ser>
          <c:idx val="0"/>
          <c:order val="0"/>
          <c:tx>
            <c:v>Revenue (€M)</c:v>
          </c:tx>
          <c:spPr>
            <a:solidFill>
              <a:srgbClr val="E97132"/>
            </a:solidFill>
            <a:ln>
              <a:noFill/>
            </a:ln>
            <a:effectLst/>
          </c:spPr>
          <c:invertIfNegative val="0"/>
          <c:cat>
            <c:numRef>
              <c:f>'Investment Ferragamo'!$B$66:$G$66</c:f>
              <c:numCache>
                <c:formatCode>@</c:formatCode>
                <c:ptCount val="6"/>
                <c:pt idx="0">
                  <c:v>2020</c:v>
                </c:pt>
                <c:pt idx="1">
                  <c:v>2021</c:v>
                </c:pt>
                <c:pt idx="2">
                  <c:v>2022</c:v>
                </c:pt>
                <c:pt idx="3">
                  <c:v>2023</c:v>
                </c:pt>
                <c:pt idx="4">
                  <c:v>2024</c:v>
                </c:pt>
                <c:pt idx="5" formatCode="General">
                  <c:v>2025</c:v>
                </c:pt>
              </c:numCache>
            </c:numRef>
          </c:cat>
          <c:val>
            <c:numRef>
              <c:f>'Investment Ferragamo'!$B$67:$G$67</c:f>
              <c:numCache>
                <c:formatCode>_(* #,##0_);_(* \(#,##0\);_(* "-"_);_(@_)</c:formatCode>
                <c:ptCount val="6"/>
                <c:pt idx="0">
                  <c:v>876.5</c:v>
                </c:pt>
                <c:pt idx="1">
                  <c:v>1136</c:v>
                </c:pt>
                <c:pt idx="2">
                  <c:v>1252</c:v>
                </c:pt>
                <c:pt idx="3">
                  <c:v>1156.3</c:v>
                </c:pt>
                <c:pt idx="4">
                  <c:v>1035.0999999999999</c:v>
                </c:pt>
                <c:pt idx="5" formatCode="General">
                  <c:v>977</c:v>
                </c:pt>
              </c:numCache>
            </c:numRef>
          </c:val>
          <c:extLst>
            <c:ext xmlns:c16="http://schemas.microsoft.com/office/drawing/2014/chart" uri="{C3380CC4-5D6E-409C-BE32-E72D297353CC}">
              <c16:uniqueId val="{00000000-94E5-4253-A3F8-0674B7E56D94}"/>
            </c:ext>
          </c:extLst>
        </c:ser>
        <c:ser>
          <c:idx val="1"/>
          <c:order val="1"/>
          <c:tx>
            <c:v>EBIT (€M)</c:v>
          </c:tx>
          <c:spPr>
            <a:solidFill>
              <a:srgbClr val="1F3864"/>
            </a:solidFill>
            <a:ln>
              <a:noFill/>
            </a:ln>
            <a:effectLst/>
          </c:spPr>
          <c:invertIfNegative val="0"/>
          <c:cat>
            <c:numRef>
              <c:f>'Investment Ferragamo'!$B$66:$G$66</c:f>
              <c:numCache>
                <c:formatCode>@</c:formatCode>
                <c:ptCount val="6"/>
                <c:pt idx="0">
                  <c:v>2020</c:v>
                </c:pt>
                <c:pt idx="1">
                  <c:v>2021</c:v>
                </c:pt>
                <c:pt idx="2">
                  <c:v>2022</c:v>
                </c:pt>
                <c:pt idx="3">
                  <c:v>2023</c:v>
                </c:pt>
                <c:pt idx="4">
                  <c:v>2024</c:v>
                </c:pt>
                <c:pt idx="5" formatCode="General">
                  <c:v>2025</c:v>
                </c:pt>
              </c:numCache>
            </c:numRef>
          </c:cat>
          <c:val>
            <c:numRef>
              <c:f>'Investment Ferragamo'!$B$68:$G$68</c:f>
              <c:numCache>
                <c:formatCode>_(* #,##0_);_(* \(#,##0\);_(* "-"_);_(@_)</c:formatCode>
                <c:ptCount val="6"/>
                <c:pt idx="0">
                  <c:v>-31.2</c:v>
                </c:pt>
                <c:pt idx="1">
                  <c:v>141.19999999999999</c:v>
                </c:pt>
                <c:pt idx="2">
                  <c:v>133.4</c:v>
                </c:pt>
                <c:pt idx="3">
                  <c:v>72</c:v>
                </c:pt>
                <c:pt idx="4">
                  <c:v>-49</c:v>
                </c:pt>
                <c:pt idx="5">
                  <c:v>-50</c:v>
                </c:pt>
              </c:numCache>
            </c:numRef>
          </c:val>
          <c:extLst>
            <c:ext xmlns:c16="http://schemas.microsoft.com/office/drawing/2014/chart" uri="{C3380CC4-5D6E-409C-BE32-E72D297353CC}">
              <c16:uniqueId val="{00000001-94E5-4253-A3F8-0674B7E56D94}"/>
            </c:ext>
          </c:extLst>
        </c:ser>
        <c:ser>
          <c:idx val="2"/>
          <c:order val="2"/>
          <c:tx>
            <c:v>FCF</c:v>
          </c:tx>
          <c:spPr>
            <a:solidFill>
              <a:schemeClr val="accent3"/>
            </a:solidFill>
            <a:ln>
              <a:noFill/>
            </a:ln>
            <a:effectLst/>
          </c:spPr>
          <c:invertIfNegative val="0"/>
          <c:cat>
            <c:numRef>
              <c:f>'Investment Ferragamo'!$B$66:$G$66</c:f>
              <c:numCache>
                <c:formatCode>@</c:formatCode>
                <c:ptCount val="6"/>
                <c:pt idx="0">
                  <c:v>2020</c:v>
                </c:pt>
                <c:pt idx="1">
                  <c:v>2021</c:v>
                </c:pt>
                <c:pt idx="2">
                  <c:v>2022</c:v>
                </c:pt>
                <c:pt idx="3">
                  <c:v>2023</c:v>
                </c:pt>
                <c:pt idx="4">
                  <c:v>2024</c:v>
                </c:pt>
                <c:pt idx="5" formatCode="General">
                  <c:v>2025</c:v>
                </c:pt>
              </c:numCache>
            </c:numRef>
          </c:cat>
          <c:val>
            <c:numRef>
              <c:f>'Investment Ferragamo'!$B$71:$G$71</c:f>
              <c:numCache>
                <c:formatCode>_(* #,##0_);_(* \(#,##0\);_(* "-"_);_(@_)</c:formatCode>
                <c:ptCount val="6"/>
                <c:pt idx="0">
                  <c:v>50.9</c:v>
                </c:pt>
                <c:pt idx="1">
                  <c:v>345.2</c:v>
                </c:pt>
                <c:pt idx="2">
                  <c:v>211.1</c:v>
                </c:pt>
                <c:pt idx="3">
                  <c:v>45.5</c:v>
                </c:pt>
                <c:pt idx="4">
                  <c:v>99.6</c:v>
                </c:pt>
                <c:pt idx="5">
                  <c:v>-55</c:v>
                </c:pt>
              </c:numCache>
            </c:numRef>
          </c:val>
          <c:extLst>
            <c:ext xmlns:c16="http://schemas.microsoft.com/office/drawing/2014/chart" uri="{C3380CC4-5D6E-409C-BE32-E72D297353CC}">
              <c16:uniqueId val="{0000000A-7BBE-420F-B785-07A6F87B8D4D}"/>
            </c:ext>
          </c:extLst>
        </c:ser>
        <c:dLbls>
          <c:showLegendKey val="0"/>
          <c:showVal val="0"/>
          <c:showCatName val="0"/>
          <c:showSerName val="0"/>
          <c:showPercent val="0"/>
          <c:showBubbleSize val="0"/>
        </c:dLbls>
        <c:gapWidth val="219"/>
        <c:overlap val="-27"/>
        <c:axId val="639867104"/>
        <c:axId val="639868544"/>
      </c:barChart>
      <c:catAx>
        <c:axId val="639867104"/>
        <c:scaling>
          <c:orientation val="minMax"/>
        </c:scaling>
        <c:delete val="0"/>
        <c:axPos val="b"/>
        <c:numFmt formatCode="@"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39868544"/>
        <c:crosses val="autoZero"/>
        <c:auto val="1"/>
        <c:lblAlgn val="ctr"/>
        <c:lblOffset val="100"/>
        <c:noMultiLvlLbl val="1"/>
      </c:catAx>
      <c:valAx>
        <c:axId val="63986854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39867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Revenue by Product Line (2025)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'Investment Ferragamo'!$A$94:$A$97</c:f>
              <c:strCache>
                <c:ptCount val="4"/>
                <c:pt idx="0">
                  <c:v>Footwear</c:v>
                </c:pt>
                <c:pt idx="1">
                  <c:v>Leather Goods</c:v>
                </c:pt>
                <c:pt idx="2">
                  <c:v>Apparel</c:v>
                </c:pt>
                <c:pt idx="3">
                  <c:v>Other Products (Silk, etc.)</c:v>
                </c:pt>
              </c:strCache>
            </c:strRef>
          </c:cat>
          <c:val>
            <c:numRef>
              <c:f>'Investment Ferragamo'!$G$94:$G$97</c:f>
              <c:numCache>
                <c:formatCode>_(* #,##0_);_(* \(#,##0\);_(* "-"_);_(@_)</c:formatCode>
                <c:ptCount val="4"/>
                <c:pt idx="0">
                  <c:v>410</c:v>
                </c:pt>
                <c:pt idx="1">
                  <c:v>410</c:v>
                </c:pt>
                <c:pt idx="2">
                  <c:v>73</c:v>
                </c:pt>
                <c:pt idx="3">
                  <c:v>84</c:v>
                </c:pt>
              </c:numCache>
            </c:numRef>
          </c:val>
          <c:extLst>
            <c:ext xmlns:c16="http://schemas.microsoft.com/office/drawing/2014/chart" uri="{C3380CC4-5D6E-409C-BE32-E72D297353CC}">
              <c16:uniqueId val="{00000000-3CDD-4E6D-ADEB-598EC250AECE}"/>
            </c:ext>
          </c:extLst>
        </c:ser>
        <c:ser>
          <c:idx val="1"/>
          <c:order val="1"/>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'Investment Ferragamo'!$A$94:$A$97</c:f>
              <c:strCache>
                <c:ptCount val="4"/>
                <c:pt idx="0">
                  <c:v>Footwear</c:v>
                </c:pt>
                <c:pt idx="1">
                  <c:v>Leather Goods</c:v>
                </c:pt>
                <c:pt idx="2">
                  <c:v>Apparel</c:v>
                </c:pt>
                <c:pt idx="3">
                  <c:v>Other Products (Silk, etc.)</c:v>
                </c:pt>
              </c:strCache>
            </c:strRef>
          </c:cat>
          <c:val>
            <c:numRef>
              <c:f>'Investment Ferragamo'!$A$92</c:f>
              <c:numCache>
                <c:formatCode>General</c:formatCode>
                <c:ptCount val="1"/>
                <c:pt idx="0">
                  <c:v>0</c:v>
                </c:pt>
              </c:numCache>
            </c:numRef>
          </c:val>
          <c:extLst>
            <c:ext xmlns:c16="http://schemas.microsoft.com/office/drawing/2014/chart" uri="{C3380CC4-5D6E-409C-BE32-E72D297353CC}">
              <c16:uniqueId val="{00000001-3CDD-4E6D-ADEB-598EC250AEC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FCF</a:t>
            </a:r>
            <a:r>
              <a:rPr lang="en-IN" baseline="0"/>
              <a:t>  YIELD 2024-2026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spPr>
            <a:ln w="28575" cap="rnd">
              <a:solidFill>
                <a:schemeClr val="accent2"/>
              </a:solidFill>
              <a:round/>
            </a:ln>
            <a:effectLst/>
          </c:spPr>
          <c:marker>
            <c:symbol val="none"/>
          </c:marker>
          <c:cat>
            <c:strRef>
              <c:f>'Investment Ferragamo'!$D$159:$F$159</c:f>
              <c:strCache>
                <c:ptCount val="3"/>
                <c:pt idx="0">
                  <c:v>2024A</c:v>
                </c:pt>
                <c:pt idx="1">
                  <c:v>2025E*</c:v>
                </c:pt>
                <c:pt idx="2">
                  <c:v>2026E</c:v>
                </c:pt>
              </c:strCache>
            </c:strRef>
          </c:cat>
          <c:val>
            <c:numRef>
              <c:f>'Investment Ferragamo'!$D$165:$F$165</c:f>
              <c:numCache>
                <c:formatCode>0.0%</c:formatCode>
                <c:ptCount val="3"/>
                <c:pt idx="0">
                  <c:v>3.5000000000000003E-2</c:v>
                </c:pt>
                <c:pt idx="1">
                  <c:v>-3.5000000000000003E-2</c:v>
                </c:pt>
                <c:pt idx="2">
                  <c:v>4.4999999999999998E-2</c:v>
                </c:pt>
              </c:numCache>
            </c:numRef>
          </c:val>
          <c:smooth val="0"/>
          <c:extLst>
            <c:ext xmlns:c16="http://schemas.microsoft.com/office/drawing/2014/chart" uri="{C3380CC4-5D6E-409C-BE32-E72D297353CC}">
              <c16:uniqueId val="{00000003-1096-415F-84FD-0E98543455FC}"/>
            </c:ext>
          </c:extLst>
        </c:ser>
        <c:ser>
          <c:idx val="0"/>
          <c:order val="1"/>
          <c:spPr>
            <a:ln w="28575" cap="rnd">
              <a:solidFill>
                <a:schemeClr val="accent1"/>
              </a:solidFill>
              <a:round/>
            </a:ln>
            <a:effectLst/>
          </c:spPr>
          <c:marker>
            <c:symbol val="none"/>
          </c:marker>
          <c:cat>
            <c:strRef>
              <c:f>'Investment Ferragamo'!$D$159:$F$159</c:f>
              <c:strCache>
                <c:ptCount val="3"/>
                <c:pt idx="0">
                  <c:v>2024A</c:v>
                </c:pt>
                <c:pt idx="1">
                  <c:v>2025E*</c:v>
                </c:pt>
                <c:pt idx="2">
                  <c:v>2026E</c:v>
                </c:pt>
              </c:strCache>
            </c:strRef>
          </c:cat>
          <c:val>
            <c:numRef>
              <c:f>'[2]Investment Ferragamo'!$J$157</c:f>
              <c:numCache>
                <c:formatCode>General</c:formatCode>
                <c:ptCount val="1"/>
                <c:pt idx="0">
                  <c:v>0</c:v>
                </c:pt>
              </c:numCache>
            </c:numRef>
          </c:val>
          <c:smooth val="0"/>
          <c:extLst>
            <c:ext xmlns:c16="http://schemas.microsoft.com/office/drawing/2014/chart" uri="{C3380CC4-5D6E-409C-BE32-E72D297353CC}">
              <c16:uniqueId val="{00000004-1096-415F-84FD-0E98543455FC}"/>
            </c:ext>
          </c:extLst>
        </c:ser>
        <c:dLbls>
          <c:showLegendKey val="0"/>
          <c:showVal val="0"/>
          <c:showCatName val="0"/>
          <c:showSerName val="0"/>
          <c:showPercent val="0"/>
          <c:showBubbleSize val="0"/>
        </c:dLbls>
        <c:smooth val="0"/>
        <c:axId val="960446719"/>
        <c:axId val="959845359"/>
      </c:lineChart>
      <c:catAx>
        <c:axId val="96044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59845359"/>
        <c:crosses val="autoZero"/>
        <c:auto val="1"/>
        <c:lblAlgn val="ctr"/>
        <c:lblOffset val="100"/>
        <c:noMultiLvlLbl val="0"/>
      </c:catAx>
      <c:valAx>
        <c:axId val="959845359"/>
        <c:scaling>
          <c:orientation val="minMax"/>
        </c:scaling>
        <c:delete val="0"/>
        <c:axPos val="l"/>
        <c:majorGridlines>
          <c:spPr>
            <a:ln w="9525" cap="flat" cmpd="sng" algn="ctr">
              <a:no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60446719"/>
        <c:crosses val="autoZero"/>
        <c:crossBetween val="between"/>
      </c:valAx>
      <c:spPr>
        <a:solidFill>
          <a:schemeClr val="tx2">
            <a:lumMod val="10000"/>
            <a:lumOff val="90000"/>
          </a:schemeClr>
        </a:solid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5.png"/><Relationship Id="rId7" Type="http://schemas.openxmlformats.org/officeDocument/2006/relationships/chart" Target="../charts/chart1.xml"/><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9"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538369</xdr:colOff>
      <xdr:row>15</xdr:row>
      <xdr:rowOff>0</xdr:rowOff>
    </xdr:from>
    <xdr:to>
      <xdr:col>7</xdr:col>
      <xdr:colOff>496957</xdr:colOff>
      <xdr:row>17</xdr:row>
      <xdr:rowOff>138043</xdr:rowOff>
    </xdr:to>
    <xdr:cxnSp macro="">
      <xdr:nvCxnSpPr>
        <xdr:cNvPr id="2" name="Straight Arrow Connector 2">
          <a:extLst>
            <a:ext uri="{FF2B5EF4-FFF2-40B4-BE49-F238E27FC236}">
              <a16:creationId xmlns:a16="http://schemas.microsoft.com/office/drawing/2014/main" id="{A2E10D76-205C-43F1-A3BA-3D45864032CD}"/>
            </a:ext>
          </a:extLst>
        </xdr:cNvPr>
        <xdr:cNvCxnSpPr/>
      </xdr:nvCxnSpPr>
      <xdr:spPr>
        <a:xfrm>
          <a:off x="1757569" y="2428875"/>
          <a:ext cx="3006588" cy="46189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497509</xdr:colOff>
      <xdr:row>20</xdr:row>
      <xdr:rowOff>13805</xdr:rowOff>
    </xdr:from>
    <xdr:to>
      <xdr:col>8</xdr:col>
      <xdr:colOff>27609</xdr:colOff>
      <xdr:row>21</xdr:row>
      <xdr:rowOff>152400</xdr:rowOff>
    </xdr:to>
    <xdr:cxnSp macro="">
      <xdr:nvCxnSpPr>
        <xdr:cNvPr id="3" name="Straight Arrow Connector 3">
          <a:extLst>
            <a:ext uri="{FF2B5EF4-FFF2-40B4-BE49-F238E27FC236}">
              <a16:creationId xmlns:a16="http://schemas.microsoft.com/office/drawing/2014/main" id="{84732820-8833-4A9A-AE9C-2666FE41AD2D}"/>
            </a:ext>
          </a:extLst>
        </xdr:cNvPr>
        <xdr:cNvCxnSpPr/>
      </xdr:nvCxnSpPr>
      <xdr:spPr>
        <a:xfrm flipV="1">
          <a:off x="2935909" y="3252305"/>
          <a:ext cx="1968500" cy="30052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579782</xdr:colOff>
      <xdr:row>15</xdr:row>
      <xdr:rowOff>0</xdr:rowOff>
    </xdr:from>
    <xdr:to>
      <xdr:col>7</xdr:col>
      <xdr:colOff>593587</xdr:colOff>
      <xdr:row>17</xdr:row>
      <xdr:rowOff>151847</xdr:rowOff>
    </xdr:to>
    <xdr:cxnSp macro="">
      <xdr:nvCxnSpPr>
        <xdr:cNvPr id="4" name="Straight Arrow Connector 5">
          <a:extLst>
            <a:ext uri="{FF2B5EF4-FFF2-40B4-BE49-F238E27FC236}">
              <a16:creationId xmlns:a16="http://schemas.microsoft.com/office/drawing/2014/main" id="{84FDB400-B1DF-4752-AD75-5A981CE3BE3D}"/>
            </a:ext>
          </a:extLst>
        </xdr:cNvPr>
        <xdr:cNvCxnSpPr/>
      </xdr:nvCxnSpPr>
      <xdr:spPr>
        <a:xfrm flipH="1">
          <a:off x="4846982" y="2428875"/>
          <a:ext cx="13805" cy="47569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41413</xdr:colOff>
      <xdr:row>14</xdr:row>
      <xdr:rowOff>151848</xdr:rowOff>
    </xdr:from>
    <xdr:to>
      <xdr:col>13</xdr:col>
      <xdr:colOff>41413</xdr:colOff>
      <xdr:row>17</xdr:row>
      <xdr:rowOff>124239</xdr:rowOff>
    </xdr:to>
    <xdr:cxnSp macro="">
      <xdr:nvCxnSpPr>
        <xdr:cNvPr id="5" name="Straight Arrow Connector 9">
          <a:extLst>
            <a:ext uri="{FF2B5EF4-FFF2-40B4-BE49-F238E27FC236}">
              <a16:creationId xmlns:a16="http://schemas.microsoft.com/office/drawing/2014/main" id="{D4877621-C227-41D6-BF33-42B702981043}"/>
            </a:ext>
          </a:extLst>
        </xdr:cNvPr>
        <xdr:cNvCxnSpPr/>
      </xdr:nvCxnSpPr>
      <xdr:spPr>
        <a:xfrm flipH="1">
          <a:off x="4918213" y="2418798"/>
          <a:ext cx="3048000" cy="45816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82827</xdr:colOff>
      <xdr:row>20</xdr:row>
      <xdr:rowOff>13805</xdr:rowOff>
    </xdr:from>
    <xdr:to>
      <xdr:col>11</xdr:col>
      <xdr:colOff>82826</xdr:colOff>
      <xdr:row>22</xdr:row>
      <xdr:rowOff>0</xdr:rowOff>
    </xdr:to>
    <xdr:cxnSp macro="">
      <xdr:nvCxnSpPr>
        <xdr:cNvPr id="6" name="Straight Arrow Connector 12">
          <a:extLst>
            <a:ext uri="{FF2B5EF4-FFF2-40B4-BE49-F238E27FC236}">
              <a16:creationId xmlns:a16="http://schemas.microsoft.com/office/drawing/2014/main" id="{A482D66F-9F53-4EDD-946A-A98D1A52C850}"/>
            </a:ext>
          </a:extLst>
        </xdr:cNvPr>
        <xdr:cNvCxnSpPr/>
      </xdr:nvCxnSpPr>
      <xdr:spPr>
        <a:xfrm flipH="1" flipV="1">
          <a:off x="4959627" y="3252305"/>
          <a:ext cx="1828799" cy="31004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363326</xdr:colOff>
      <xdr:row>4</xdr:row>
      <xdr:rowOff>137475</xdr:rowOff>
    </xdr:from>
    <xdr:to>
      <xdr:col>13</xdr:col>
      <xdr:colOff>2619474</xdr:colOff>
      <xdr:row>27</xdr:row>
      <xdr:rowOff>15712</xdr:rowOff>
    </xdr:to>
    <xdr:pic>
      <xdr:nvPicPr>
        <xdr:cNvPr id="2" name="Picture 1">
          <a:extLst>
            <a:ext uri="{FF2B5EF4-FFF2-40B4-BE49-F238E27FC236}">
              <a16:creationId xmlns:a16="http://schemas.microsoft.com/office/drawing/2014/main" id="{5960317A-59BF-85DC-FCC3-189BA2F776E8}"/>
            </a:ext>
          </a:extLst>
        </xdr:cNvPr>
        <xdr:cNvPicPr>
          <a:picLocks noChangeAspect="1"/>
        </xdr:cNvPicPr>
      </xdr:nvPicPr>
      <xdr:blipFill>
        <a:blip xmlns:r="http://schemas.openxmlformats.org/officeDocument/2006/relationships" r:embed="rId1"/>
        <a:stretch>
          <a:fillRect/>
        </a:stretch>
      </xdr:blipFill>
      <xdr:spPr>
        <a:xfrm>
          <a:off x="9073300" y="775748"/>
          <a:ext cx="6743700" cy="3619500"/>
        </a:xfrm>
        <a:prstGeom prst="rect">
          <a:avLst/>
        </a:prstGeom>
        <a:solidFill>
          <a:srgbClr val="000000">
            <a:shade val="95000"/>
          </a:srgbClr>
        </a:solidFill>
        <a:ln w="444500" cap="sq">
          <a:solidFill>
            <a:srgbClr val="000000"/>
          </a:solidFill>
          <a:miter lim="800000"/>
        </a:ln>
        <a:effectLst>
          <a:outerShdw blurRad="254000" dist="190500" dir="2700000" sy="90000" algn="bl" rotWithShape="0">
            <a:srgbClr val="000000">
              <a:alpha val="40000"/>
            </a:srgbClr>
          </a:outerShdw>
        </a:effectLst>
      </xdr:spPr>
    </xdr:pic>
    <xdr:clientData/>
  </xdr:twoCellAnchor>
  <xdr:twoCellAnchor editAs="oneCell">
    <xdr:from>
      <xdr:col>0</xdr:col>
      <xdr:colOff>88375</xdr:colOff>
      <xdr:row>13</xdr:row>
      <xdr:rowOff>68737</xdr:rowOff>
    </xdr:from>
    <xdr:to>
      <xdr:col>5</xdr:col>
      <xdr:colOff>520081</xdr:colOff>
      <xdr:row>56</xdr:row>
      <xdr:rowOff>58917</xdr:rowOff>
    </xdr:to>
    <xdr:pic>
      <xdr:nvPicPr>
        <xdr:cNvPr id="4" name="Picture 3">
          <a:extLst>
            <a:ext uri="{FF2B5EF4-FFF2-40B4-BE49-F238E27FC236}">
              <a16:creationId xmlns:a16="http://schemas.microsoft.com/office/drawing/2014/main" id="{EC27ED0A-1ABA-1A62-0D46-D7A5E61BE7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375" y="2160309"/>
          <a:ext cx="8454309" cy="6834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289942</xdr:colOff>
      <xdr:row>15</xdr:row>
      <xdr:rowOff>18698</xdr:rowOff>
    </xdr:from>
    <xdr:to>
      <xdr:col>12</xdr:col>
      <xdr:colOff>109704</xdr:colOff>
      <xdr:row>25</xdr:row>
      <xdr:rowOff>102096</xdr:rowOff>
    </xdr:to>
    <xdr:pic>
      <xdr:nvPicPr>
        <xdr:cNvPr id="11" name="Picture 10">
          <a:extLst>
            <a:ext uri="{FF2B5EF4-FFF2-40B4-BE49-F238E27FC236}">
              <a16:creationId xmlns:a16="http://schemas.microsoft.com/office/drawing/2014/main" id="{22B7E4C6-157F-70FB-A276-ED056759FA8F}"/>
            </a:ext>
          </a:extLst>
        </xdr:cNvPr>
        <xdr:cNvPicPr>
          <a:picLocks noChangeAspect="1"/>
        </xdr:cNvPicPr>
      </xdr:nvPicPr>
      <xdr:blipFill>
        <a:blip xmlns:r="http://schemas.openxmlformats.org/officeDocument/2006/relationships" r:embed="rId1"/>
        <a:stretch>
          <a:fillRect/>
        </a:stretch>
      </xdr:blipFill>
      <xdr:spPr>
        <a:xfrm>
          <a:off x="3750692" y="2410531"/>
          <a:ext cx="3393057" cy="1565065"/>
        </a:xfrm>
        <a:prstGeom prst="rect">
          <a:avLst/>
        </a:prstGeom>
      </xdr:spPr>
    </xdr:pic>
    <xdr:clientData/>
  </xdr:twoCellAnchor>
  <xdr:twoCellAnchor editAs="oneCell">
    <xdr:from>
      <xdr:col>7</xdr:col>
      <xdr:colOff>13782</xdr:colOff>
      <xdr:row>33</xdr:row>
      <xdr:rowOff>28157</xdr:rowOff>
    </xdr:from>
    <xdr:to>
      <xdr:col>12</xdr:col>
      <xdr:colOff>105833</xdr:colOff>
      <xdr:row>43</xdr:row>
      <xdr:rowOff>21165</xdr:rowOff>
    </xdr:to>
    <xdr:pic>
      <xdr:nvPicPr>
        <xdr:cNvPr id="12" name="Picture 11">
          <a:extLst>
            <a:ext uri="{FF2B5EF4-FFF2-40B4-BE49-F238E27FC236}">
              <a16:creationId xmlns:a16="http://schemas.microsoft.com/office/drawing/2014/main" id="{AA132706-6E36-48A8-2102-F68821D40386}"/>
            </a:ext>
          </a:extLst>
        </xdr:cNvPr>
        <xdr:cNvPicPr>
          <a:picLocks noChangeAspect="1"/>
        </xdr:cNvPicPr>
      </xdr:nvPicPr>
      <xdr:blipFill>
        <a:blip xmlns:r="http://schemas.openxmlformats.org/officeDocument/2006/relationships" r:embed="rId2"/>
        <a:stretch>
          <a:fillRect/>
        </a:stretch>
      </xdr:blipFill>
      <xdr:spPr>
        <a:xfrm>
          <a:off x="3802615" y="5086990"/>
          <a:ext cx="3182385" cy="1474675"/>
        </a:xfrm>
        <a:prstGeom prst="rect">
          <a:avLst/>
        </a:prstGeom>
      </xdr:spPr>
    </xdr:pic>
    <xdr:clientData/>
  </xdr:twoCellAnchor>
  <xdr:twoCellAnchor editAs="oneCell">
    <xdr:from>
      <xdr:col>2</xdr:col>
      <xdr:colOff>340730</xdr:colOff>
      <xdr:row>128</xdr:row>
      <xdr:rowOff>116148</xdr:rowOff>
    </xdr:from>
    <xdr:to>
      <xdr:col>10</xdr:col>
      <xdr:colOff>902881</xdr:colOff>
      <xdr:row>142</xdr:row>
      <xdr:rowOff>101756</xdr:rowOff>
    </xdr:to>
    <xdr:pic>
      <xdr:nvPicPr>
        <xdr:cNvPr id="16" name="Picture 15">
          <a:extLst>
            <a:ext uri="{FF2B5EF4-FFF2-40B4-BE49-F238E27FC236}">
              <a16:creationId xmlns:a16="http://schemas.microsoft.com/office/drawing/2014/main" id="{582801CF-6178-4FA0-ADEB-05A14758B9C1}"/>
            </a:ext>
          </a:extLst>
        </xdr:cNvPr>
        <xdr:cNvPicPr>
          <a:picLocks noChangeAspect="1"/>
        </xdr:cNvPicPr>
      </xdr:nvPicPr>
      <xdr:blipFill rotWithShape="1">
        <a:blip xmlns:r="http://schemas.openxmlformats.org/officeDocument/2006/relationships" r:embed="rId3"/>
        <a:srcRect l="341"/>
        <a:stretch>
          <a:fillRect/>
        </a:stretch>
      </xdr:blipFill>
      <xdr:spPr>
        <a:xfrm>
          <a:off x="1633962" y="21024685"/>
          <a:ext cx="4325687" cy="2246827"/>
        </a:xfrm>
        <a:prstGeom prst="rect">
          <a:avLst/>
        </a:prstGeom>
      </xdr:spPr>
    </xdr:pic>
    <xdr:clientData/>
  </xdr:twoCellAnchor>
  <xdr:twoCellAnchor editAs="oneCell">
    <xdr:from>
      <xdr:col>19</xdr:col>
      <xdr:colOff>123264</xdr:colOff>
      <xdr:row>38</xdr:row>
      <xdr:rowOff>56028</xdr:rowOff>
    </xdr:from>
    <xdr:to>
      <xdr:col>23</xdr:col>
      <xdr:colOff>454269</xdr:colOff>
      <xdr:row>46</xdr:row>
      <xdr:rowOff>33616</xdr:rowOff>
    </xdr:to>
    <xdr:pic>
      <xdr:nvPicPr>
        <xdr:cNvPr id="3" name="Picture 2">
          <a:extLst>
            <a:ext uri="{FF2B5EF4-FFF2-40B4-BE49-F238E27FC236}">
              <a16:creationId xmlns:a16="http://schemas.microsoft.com/office/drawing/2014/main" id="{B9518303-C0FE-771A-D876-E3ACEC53DBE6}"/>
            </a:ext>
          </a:extLst>
        </xdr:cNvPr>
        <xdr:cNvPicPr>
          <a:picLocks noChangeAspect="1"/>
        </xdr:cNvPicPr>
      </xdr:nvPicPr>
      <xdr:blipFill>
        <a:blip xmlns:r="http://schemas.openxmlformats.org/officeDocument/2006/relationships" r:embed="rId4"/>
        <a:stretch>
          <a:fillRect/>
        </a:stretch>
      </xdr:blipFill>
      <xdr:spPr>
        <a:xfrm>
          <a:off x="10130117" y="6152028"/>
          <a:ext cx="2817479" cy="1232647"/>
        </a:xfrm>
        <a:prstGeom prst="rect">
          <a:avLst/>
        </a:prstGeom>
      </xdr:spPr>
    </xdr:pic>
    <xdr:clientData/>
  </xdr:twoCellAnchor>
  <xdr:twoCellAnchor editAs="oneCell">
    <xdr:from>
      <xdr:col>28</xdr:col>
      <xdr:colOff>91856</xdr:colOff>
      <xdr:row>61</xdr:row>
      <xdr:rowOff>160118</xdr:rowOff>
    </xdr:from>
    <xdr:to>
      <xdr:col>43</xdr:col>
      <xdr:colOff>674078</xdr:colOff>
      <xdr:row>114</xdr:row>
      <xdr:rowOff>90936</xdr:rowOff>
    </xdr:to>
    <xdr:pic>
      <xdr:nvPicPr>
        <xdr:cNvPr id="5" name="Picture 4">
          <a:extLst>
            <a:ext uri="{FF2B5EF4-FFF2-40B4-BE49-F238E27FC236}">
              <a16:creationId xmlns:a16="http://schemas.microsoft.com/office/drawing/2014/main" id="{91EAD4F5-5DD7-4AFC-3F21-5363A1238343}"/>
            </a:ext>
          </a:extLst>
        </xdr:cNvPr>
        <xdr:cNvPicPr>
          <a:picLocks noChangeAspect="1"/>
        </xdr:cNvPicPr>
      </xdr:nvPicPr>
      <xdr:blipFill>
        <a:blip xmlns:r="http://schemas.openxmlformats.org/officeDocument/2006/relationships" r:embed="rId5"/>
        <a:stretch>
          <a:fillRect/>
        </a:stretch>
      </xdr:blipFill>
      <xdr:spPr>
        <a:xfrm>
          <a:off x="13514779" y="9421349"/>
          <a:ext cx="6722184" cy="8222802"/>
        </a:xfrm>
        <a:prstGeom prst="rect">
          <a:avLst/>
        </a:prstGeom>
      </xdr:spPr>
    </xdr:pic>
    <xdr:clientData/>
  </xdr:twoCellAnchor>
  <xdr:twoCellAnchor editAs="oneCell">
    <xdr:from>
      <xdr:col>40</xdr:col>
      <xdr:colOff>138052</xdr:colOff>
      <xdr:row>62</xdr:row>
      <xdr:rowOff>37793</xdr:rowOff>
    </xdr:from>
    <xdr:to>
      <xdr:col>43</xdr:col>
      <xdr:colOff>123400</xdr:colOff>
      <xdr:row>67</xdr:row>
      <xdr:rowOff>35737</xdr:rowOff>
    </xdr:to>
    <xdr:pic>
      <xdr:nvPicPr>
        <xdr:cNvPr id="35" name="Picture 34">
          <a:extLst>
            <a:ext uri="{FF2B5EF4-FFF2-40B4-BE49-F238E27FC236}">
              <a16:creationId xmlns:a16="http://schemas.microsoft.com/office/drawing/2014/main" id="{1D7AC697-5AAF-62A7-0118-6B93863E5C8D}"/>
            </a:ext>
          </a:extLst>
        </xdr:cNvPr>
        <xdr:cNvPicPr>
          <a:picLocks noChangeAspect="1"/>
        </xdr:cNvPicPr>
      </xdr:nvPicPr>
      <xdr:blipFill>
        <a:blip xmlns:r="http://schemas.openxmlformats.org/officeDocument/2006/relationships" r:embed="rId6"/>
        <a:stretch>
          <a:fillRect/>
        </a:stretch>
      </xdr:blipFill>
      <xdr:spPr>
        <a:xfrm>
          <a:off x="19204763" y="9746609"/>
          <a:ext cx="720611" cy="816760"/>
        </a:xfrm>
        <a:prstGeom prst="rect">
          <a:avLst/>
        </a:prstGeom>
      </xdr:spPr>
    </xdr:pic>
    <xdr:clientData/>
  </xdr:twoCellAnchor>
  <xdr:twoCellAnchor>
    <xdr:from>
      <xdr:col>7</xdr:col>
      <xdr:colOff>458956</xdr:colOff>
      <xdr:row>63</xdr:row>
      <xdr:rowOff>25556</xdr:rowOff>
    </xdr:from>
    <xdr:to>
      <xdr:col>12</xdr:col>
      <xdr:colOff>263293</xdr:colOff>
      <xdr:row>74</xdr:row>
      <xdr:rowOff>108415</xdr:rowOff>
    </xdr:to>
    <xdr:graphicFrame macro="">
      <xdr:nvGraphicFramePr>
        <xdr:cNvPr id="2" name="Chart 1">
          <a:extLst>
            <a:ext uri="{FF2B5EF4-FFF2-40B4-BE49-F238E27FC236}">
              <a16:creationId xmlns:a16="http://schemas.microsoft.com/office/drawing/2014/main" id="{4D56DD24-E36C-4B19-22E3-628486BC4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79763</xdr:colOff>
      <xdr:row>98</xdr:row>
      <xdr:rowOff>57150</xdr:rowOff>
    </xdr:from>
    <xdr:to>
      <xdr:col>12</xdr:col>
      <xdr:colOff>178110</xdr:colOff>
      <xdr:row>112</xdr:row>
      <xdr:rowOff>116158</xdr:rowOff>
    </xdr:to>
    <xdr:graphicFrame macro="">
      <xdr:nvGraphicFramePr>
        <xdr:cNvPr id="18" name="Chart 17">
          <a:extLst>
            <a:ext uri="{FF2B5EF4-FFF2-40B4-BE49-F238E27FC236}">
              <a16:creationId xmlns:a16="http://schemas.microsoft.com/office/drawing/2014/main" id="{861875C3-387B-C3D2-47F8-37F84755FC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64275</xdr:colOff>
      <xdr:row>157</xdr:row>
      <xdr:rowOff>2943</xdr:rowOff>
    </xdr:from>
    <xdr:to>
      <xdr:col>10</xdr:col>
      <xdr:colOff>1409391</xdr:colOff>
      <xdr:row>165</xdr:row>
      <xdr:rowOff>38719</xdr:rowOff>
    </xdr:to>
    <xdr:graphicFrame macro="">
      <xdr:nvGraphicFramePr>
        <xdr:cNvPr id="19" name="Chart 18">
          <a:extLst>
            <a:ext uri="{FF2B5EF4-FFF2-40B4-BE49-F238E27FC236}">
              <a16:creationId xmlns:a16="http://schemas.microsoft.com/office/drawing/2014/main" id="{D938ED58-13F1-5CF9-0B0B-60FA30EAB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74085</xdr:colOff>
      <xdr:row>2</xdr:row>
      <xdr:rowOff>31751</xdr:rowOff>
    </xdr:from>
    <xdr:to>
      <xdr:col>3</xdr:col>
      <xdr:colOff>1915583</xdr:colOff>
      <xdr:row>3</xdr:row>
      <xdr:rowOff>116417</xdr:rowOff>
    </xdr:to>
    <xdr:pic>
      <xdr:nvPicPr>
        <xdr:cNvPr id="8" name="Picture 7" descr="Imaginex Management Co — Italian Chamber of Commerce in Hong Kong &amp; Macao |  Business &amp; Trade Development">
          <a:extLst>
            <a:ext uri="{FF2B5EF4-FFF2-40B4-BE49-F238E27FC236}">
              <a16:creationId xmlns:a16="http://schemas.microsoft.com/office/drawing/2014/main" id="{ED77789A-F406-4F9B-A58F-7772167E7A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49502" y="359834"/>
          <a:ext cx="1841498" cy="9419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127000</xdr:colOff>
      <xdr:row>3</xdr:row>
      <xdr:rowOff>243416</xdr:rowOff>
    </xdr:from>
    <xdr:to>
      <xdr:col>3</xdr:col>
      <xdr:colOff>1915583</xdr:colOff>
      <xdr:row>3</xdr:row>
      <xdr:rowOff>690562</xdr:rowOff>
    </xdr:to>
    <xdr:pic>
      <xdr:nvPicPr>
        <xdr:cNvPr id="10" name="Picture 9">
          <a:extLst>
            <a:ext uri="{FF2B5EF4-FFF2-40B4-BE49-F238E27FC236}">
              <a16:creationId xmlns:a16="http://schemas.microsoft.com/office/drawing/2014/main" id="{F1A25722-AB89-AE4B-6F0C-5830607DC0A6}"/>
            </a:ext>
          </a:extLst>
        </xdr:cNvPr>
        <xdr:cNvPicPr>
          <a:picLocks noChangeAspect="1"/>
        </xdr:cNvPicPr>
      </xdr:nvPicPr>
      <xdr:blipFill>
        <a:blip xmlns:r="http://schemas.openxmlformats.org/officeDocument/2006/relationships" r:embed="rId2"/>
        <a:stretch>
          <a:fillRect/>
        </a:stretch>
      </xdr:blipFill>
      <xdr:spPr>
        <a:xfrm>
          <a:off x="2402417" y="1428749"/>
          <a:ext cx="1788583" cy="447146"/>
        </a:xfrm>
        <a:prstGeom prst="rect">
          <a:avLst/>
        </a:prstGeom>
      </xdr:spPr>
    </xdr:pic>
    <xdr:clientData/>
  </xdr:twoCellAnchor>
  <xdr:twoCellAnchor editAs="oneCell">
    <xdr:from>
      <xdr:col>3</xdr:col>
      <xdr:colOff>205319</xdr:colOff>
      <xdr:row>3</xdr:row>
      <xdr:rowOff>893234</xdr:rowOff>
    </xdr:from>
    <xdr:to>
      <xdr:col>3</xdr:col>
      <xdr:colOff>2046817</xdr:colOff>
      <xdr:row>4</xdr:row>
      <xdr:rowOff>702733</xdr:rowOff>
    </xdr:to>
    <xdr:pic>
      <xdr:nvPicPr>
        <xdr:cNvPr id="11" name="Picture 10" descr="Imaginex Management Co — Italian Chamber of Commerce in Hong Kong &amp; Macao |  Business &amp; Trade Development">
          <a:extLst>
            <a:ext uri="{FF2B5EF4-FFF2-40B4-BE49-F238E27FC236}">
              <a16:creationId xmlns:a16="http://schemas.microsoft.com/office/drawing/2014/main" id="{23503D95-186C-4D99-9AB9-FB576F3489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80736" y="2078567"/>
          <a:ext cx="1841498" cy="9419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97194</xdr:colOff>
      <xdr:row>37</xdr:row>
      <xdr:rowOff>77755</xdr:rowOff>
    </xdr:from>
    <xdr:to>
      <xdr:col>3</xdr:col>
      <xdr:colOff>1001097</xdr:colOff>
      <xdr:row>43</xdr:row>
      <xdr:rowOff>38878</xdr:rowOff>
    </xdr:to>
    <xdr:sp macro="" textlink="">
      <xdr:nvSpPr>
        <xdr:cNvPr id="2" name="TextBox 1">
          <a:extLst>
            <a:ext uri="{FF2B5EF4-FFF2-40B4-BE49-F238E27FC236}">
              <a16:creationId xmlns:a16="http://schemas.microsoft.com/office/drawing/2014/main" id="{3DDBB0AB-0B53-FDB4-33A2-6984DC8D6D32}"/>
            </a:ext>
          </a:extLst>
        </xdr:cNvPr>
        <xdr:cNvSpPr txBox="1"/>
      </xdr:nvSpPr>
      <xdr:spPr>
        <a:xfrm>
          <a:off x="97194" y="8446148"/>
          <a:ext cx="6269005" cy="11274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All financial statement data is sourced from official Ferragamo Group IR publications (group.ferragamo.com). Market data (price, EV, consensus) is sourced from public platforms as of March 2026 and is subject to change. Forecast assumptions (revenue growth, margins, CAPEX, WACC) are proprietary analyst estimates and do not constitute financial advice. FY2025 full P&amp;L results are due 10 March 2026 and may materially revise estimates. Values marked ‘ASSUMED’ or ‘UNCONFIRMED’ carry higher uncertainty. This model is for educational purposes only — see Legal Disclaimer sheet.</a:t>
          </a:r>
          <a:r>
            <a:rPr lang="en-IN">
              <a:effectLst/>
            </a:rPr>
            <a:t> </a:t>
          </a:r>
          <a:r>
            <a:rPr lang="en-IN" sz="1100" b="0" i="0" u="none" strike="noStrike">
              <a:solidFill>
                <a:schemeClr val="dk1"/>
              </a:solidFill>
              <a:effectLst/>
              <a:latin typeface="+mn-lt"/>
              <a:ea typeface="+mn-ea"/>
              <a:cs typeface="+mn-cs"/>
            </a:rPr>
            <a:t> </a:t>
          </a:r>
          <a:r>
            <a:rPr lang="en-IN">
              <a:effectLst/>
            </a:rPr>
            <a:t> </a:t>
          </a:r>
          <a:r>
            <a:rPr lang="en-IN" sz="1100" b="0" i="0" u="none" strike="noStrike">
              <a:solidFill>
                <a:schemeClr val="dk1"/>
              </a:solidFill>
              <a:effectLst/>
              <a:latin typeface="+mn-lt"/>
              <a:ea typeface="+mn-ea"/>
              <a:cs typeface="+mn-cs"/>
            </a:rPr>
            <a:t> </a:t>
          </a:r>
          <a:r>
            <a:rPr lang="en-IN">
              <a:effectLst/>
            </a:rPr>
            <a:t> </a:t>
          </a:r>
          <a:r>
            <a:rPr lang="en-IN" sz="1100" b="0" i="0" u="none" strike="noStrike">
              <a:solidFill>
                <a:schemeClr val="dk1"/>
              </a:solidFill>
              <a:effectLst/>
              <a:latin typeface="+mn-lt"/>
              <a:ea typeface="+mn-ea"/>
              <a:cs typeface="+mn-cs"/>
            </a:rPr>
            <a:t> </a:t>
          </a:r>
          <a:r>
            <a:rPr lang="en-IN">
              <a:effectLst/>
            </a:rPr>
            <a:t> </a:t>
          </a:r>
          <a:r>
            <a:rPr lang="en-IN" sz="1100" b="0" i="0" u="none" strike="noStrike">
              <a:solidFill>
                <a:schemeClr val="dk1"/>
              </a:solidFill>
              <a:effectLst/>
              <a:latin typeface="+mn-lt"/>
              <a:ea typeface="+mn-ea"/>
              <a:cs typeface="+mn-cs"/>
            </a:rPr>
            <a:t> </a:t>
          </a:r>
          <a:r>
            <a:rPr lang="en-IN">
              <a:effectLst/>
            </a:rPr>
            <a:t> </a:t>
          </a:r>
          <a:r>
            <a:rPr lang="en-IN" sz="1100" b="0" i="0" u="none" strike="noStrike">
              <a:solidFill>
                <a:schemeClr val="dk1"/>
              </a:solidFill>
              <a:effectLst/>
              <a:latin typeface="+mn-lt"/>
              <a:ea typeface="+mn-ea"/>
              <a:cs typeface="+mn-cs"/>
            </a:rPr>
            <a:t> </a:t>
          </a:r>
          <a:r>
            <a:rPr lang="en-IN">
              <a:effectLst/>
            </a:rPr>
            <a:t> </a:t>
          </a:r>
          <a:r>
            <a:rPr lang="en-IN" sz="1100" b="0" i="0" u="none" strike="noStrike">
              <a:solidFill>
                <a:schemeClr val="dk1"/>
              </a:solidFill>
              <a:effectLst/>
              <a:latin typeface="+mn-lt"/>
              <a:ea typeface="+mn-ea"/>
              <a:cs typeface="+mn-cs"/>
            </a:rPr>
            <a:t> </a:t>
          </a:r>
          <a:r>
            <a:rPr lang="en-IN">
              <a:effectLst/>
            </a:rPr>
            <a:t> </a:t>
          </a:r>
          <a:endParaRPr lang="en-IN" sz="1100"/>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Valuation%20Model%202025%20-%20Pernod%20Ricard.xlsx" TargetMode="External"/><Relationship Id="rId2" Type="http://schemas.openxmlformats.org/officeDocument/2006/relationships/externalLinkPath" Target="file:///C:\Users\Aryan%20s%20kothari\Downloads\Valuation%20Model%202025%20-%20Pernod%20Ricard.xlsx" TargetMode="External"/><Relationship Id="rId1" Type="http://schemas.openxmlformats.org/officeDocument/2006/relationships/externalLinkPath" Target="/Users/Aryan%20s%20kothari/Downloads/Valuation%20Model%202025%20-%20Pernod%20Ricar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ryan%20s%20kothari\Desktop\Research%20Note%20for%20Ferragamo%20S.p.A.xlsx" TargetMode="External"/><Relationship Id="rId1" Type="http://schemas.openxmlformats.org/officeDocument/2006/relationships/externalLinkPath" Target="Research%20Note%20for%20Ferragamo%20S.p.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
      <sheetName val="Analysis"/>
      <sheetName val="Forecast Development"/>
      <sheetName val="Forecasts"/>
      <sheetName val="Valuation"/>
      <sheetName val="Comps"/>
      <sheetName val="Beta"/>
      <sheetName val="Porter"/>
      <sheetName val="Calculations"/>
      <sheetName val="Table &amp; Charts "/>
      <sheetName val="Output Sheet"/>
      <sheetName val="References"/>
      <sheetName val="Investment Reco"/>
      <sheetName val="Investment Reco. Master (2)"/>
    </sheetNames>
    <sheetDataSet>
      <sheetData sheetId="0"/>
      <sheetData sheetId="1"/>
      <sheetData sheetId="2"/>
      <sheetData sheetId="3">
        <row r="27">
          <cell r="A27" t="str">
            <v xml:space="preserve">  Gross Profit</v>
          </cell>
        </row>
        <row r="43">
          <cell r="A43" t="str">
            <v xml:space="preserve">Structure costs </v>
          </cell>
        </row>
        <row r="55">
          <cell r="A55" t="str">
            <v xml:space="preserve">  Operating Profit</v>
          </cell>
        </row>
        <row r="59">
          <cell r="A59" t="str">
            <v>Interest income</v>
          </cell>
        </row>
        <row r="71">
          <cell r="A71" t="str">
            <v xml:space="preserve">  Income before Tax</v>
          </cell>
          <cell r="B71">
            <v>2702</v>
          </cell>
          <cell r="C71">
            <v>2938</v>
          </cell>
          <cell r="D71">
            <v>2287</v>
          </cell>
          <cell r="E71">
            <v>2461.4988013963575</v>
          </cell>
          <cell r="F71">
            <v>2507.5936454242824</v>
          </cell>
          <cell r="G71">
            <v>2573.9926203727691</v>
          </cell>
          <cell r="H71">
            <v>2641.8174621214243</v>
          </cell>
          <cell r="I71">
            <v>2711.0957293676888</v>
          </cell>
          <cell r="J71">
            <v>2765.3176439550425</v>
          </cell>
        </row>
        <row r="84">
          <cell r="A84" t="str">
            <v xml:space="preserve">  Net Income </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vestment Ferragamo"/>
    </sheetNames>
    <sheetDataSet>
      <sheetData sheetId="0">
        <row r="157">
          <cell r="J157" t="str">
            <v>FCF Yield (2024-2026)</v>
          </cell>
        </row>
        <row r="159">
          <cell r="D159" t="str">
            <v>2024A</v>
          </cell>
          <cell r="E159" t="str">
            <v>2025E</v>
          </cell>
          <cell r="F159" t="str">
            <v>2026E</v>
          </cell>
        </row>
        <row r="165">
          <cell r="D165">
            <v>3.5000000000000003E-2</v>
          </cell>
          <cell r="E165">
            <v>0.02</v>
          </cell>
          <cell r="F165">
            <v>4.4999999999999998E-2</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68E3668-0162-4C73-B362-550151383CD9}">
  <we:reference id="wa200009404" version="1.0.0.5" store="en-US" storeType="OMEX"/>
  <we:alternateReferences>
    <we:reference id="wa200009404" version="1.0.0.5" store="en-US" storeType="OMEX"/>
  </we:alternateReferences>
  <we:properties>
    <we:property name="Office.AutoShowTaskpaneWithDocument" value="true"/>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5EB95-405F-4884-AC00-E4AD11D81C11}">
  <dimension ref="A1:M60"/>
  <sheetViews>
    <sheetView workbookViewId="0">
      <pane ySplit="9" topLeftCell="A56" activePane="bottomLeft" state="frozen"/>
      <selection pane="bottomLeft" activeCell="J8" sqref="J8"/>
    </sheetView>
  </sheetViews>
  <sheetFormatPr defaultRowHeight="15"/>
  <sheetData>
    <row r="1" spans="1:13" ht="27.95" customHeight="1">
      <c r="A1" s="957" t="s">
        <v>1483</v>
      </c>
    </row>
    <row r="2" spans="1:13" ht="21.95" customHeight="1">
      <c r="A2" s="958" t="s">
        <v>1484</v>
      </c>
      <c r="B2" s="958" t="s">
        <v>1485</v>
      </c>
      <c r="C2" s="958" t="s">
        <v>1486</v>
      </c>
    </row>
    <row r="4" spans="1:13">
      <c r="A4" s="960" t="s">
        <v>1487</v>
      </c>
      <c r="B4" s="959" t="s">
        <v>1488</v>
      </c>
      <c r="C4" s="960" t="s">
        <v>1319</v>
      </c>
      <c r="D4" s="960" t="s">
        <v>1320</v>
      </c>
      <c r="E4" s="960" t="s">
        <v>682</v>
      </c>
      <c r="F4" s="960" t="s">
        <v>449</v>
      </c>
      <c r="G4" s="960" t="s">
        <v>448</v>
      </c>
      <c r="H4" s="960" t="s">
        <v>447</v>
      </c>
      <c r="I4" s="960" t="s">
        <v>446</v>
      </c>
      <c r="J4" s="960" t="s">
        <v>445</v>
      </c>
      <c r="K4" s="960" t="s">
        <v>1489</v>
      </c>
      <c r="L4" s="960" t="s">
        <v>1490</v>
      </c>
      <c r="M4" s="960" t="s">
        <v>1491</v>
      </c>
    </row>
    <row r="5" spans="1:13" ht="32.1" customHeight="1">
      <c r="A5" s="962" t="s">
        <v>1492</v>
      </c>
      <c r="B5" s="961" t="s">
        <v>1493</v>
      </c>
      <c r="C5" s="964">
        <f>'Forecasts '!B239</f>
        <v>0</v>
      </c>
      <c r="D5" s="964">
        <f>'Forecasts '!C239</f>
        <v>0</v>
      </c>
      <c r="E5" s="964">
        <f>'Forecasts '!D239</f>
        <v>0</v>
      </c>
      <c r="F5" s="964">
        <f>'Forecasts '!E239</f>
        <v>0</v>
      </c>
      <c r="G5" s="964">
        <f>'Forecasts '!F239</f>
        <v>0</v>
      </c>
      <c r="H5" s="964">
        <f>'Forecasts '!G239</f>
        <v>0</v>
      </c>
      <c r="I5" s="964">
        <f>'Forecasts '!H239</f>
        <v>0</v>
      </c>
      <c r="J5" s="964">
        <f>'Forecasts '!I239</f>
        <v>0</v>
      </c>
      <c r="K5" s="965" t="str">
        <f>IF(AND(ABS(C5)&lt;1,ABS(D5)&lt;1,ABS(E5)&lt;1,ABS(F5)&lt;1,ABS(G5)&lt;1,ABS(H5)&lt;1,ABS(I5)&lt;1,ABS(J5)&lt;1),"✓ PASS","✗ FAIL")</f>
        <v>✓ PASS</v>
      </c>
      <c r="L5" s="966" t="s">
        <v>1494</v>
      </c>
      <c r="M5" s="966" t="s">
        <v>1505</v>
      </c>
    </row>
    <row r="6" spans="1:13" ht="32.1" customHeight="1">
      <c r="A6" s="962" t="s">
        <v>1495</v>
      </c>
      <c r="B6" s="961" t="s">
        <v>1496</v>
      </c>
      <c r="C6" s="963" t="s">
        <v>1169</v>
      </c>
      <c r="D6" s="967">
        <f>'Forecasts '!C310</f>
        <v>0</v>
      </c>
      <c r="E6" s="967">
        <f>'Forecasts '!D310</f>
        <v>0</v>
      </c>
      <c r="F6" s="967">
        <f>'Forecasts '!E310</f>
        <v>1.5279510989785194E-10</v>
      </c>
      <c r="G6" s="967">
        <f>'Forecasts '!F310</f>
        <v>-2.1827872842550278E-11</v>
      </c>
      <c r="H6" s="967">
        <f>'Forecasts '!G310</f>
        <v>-2.9831426218152046E-10</v>
      </c>
      <c r="I6" s="967">
        <f>'Forecasts '!H310</f>
        <v>-1.3460521586239338E-10</v>
      </c>
      <c r="J6" s="967">
        <f>'Forecasts '!I310</f>
        <v>3.7834979593753815E-10</v>
      </c>
      <c r="K6" s="965" t="str">
        <f>IF(AND(ABS(D6)&lt;0.001,ABS(E6)&lt;0.001,ABS(F6)&lt;0.001,ABS(G6)&lt;0.001,ABS(H6)&lt;0.001,ABS(I6)&lt;0.001,ABS(J6)&lt;0.001),"✓ PASS","✗ FAIL")</f>
        <v>✓ PASS</v>
      </c>
      <c r="L6" s="966" t="s">
        <v>1497</v>
      </c>
      <c r="M6" s="966" t="s">
        <v>1506</v>
      </c>
    </row>
    <row r="7" spans="1:13" ht="32.1" customHeight="1">
      <c r="A7" s="962" t="s">
        <v>1498</v>
      </c>
      <c r="B7" s="961" t="s">
        <v>1499</v>
      </c>
      <c r="C7" s="970" t="s">
        <v>1511</v>
      </c>
      <c r="D7" s="964">
        <f>'Forecasts '!C77-'Forecasts '!C273</f>
        <v>0</v>
      </c>
      <c r="E7" s="964">
        <f>'Forecasts '!D77-'Forecasts '!D273</f>
        <v>0</v>
      </c>
      <c r="F7" s="964">
        <f>'Forecasts '!E77-'Forecasts '!E273</f>
        <v>0</v>
      </c>
      <c r="G7" s="964">
        <f>'Forecasts '!F77-'Forecasts '!F273</f>
        <v>0</v>
      </c>
      <c r="H7" s="964">
        <f>'Forecasts '!G77-'Forecasts '!G273</f>
        <v>0</v>
      </c>
      <c r="I7" s="964">
        <f>'Forecasts '!H77-'Forecasts '!H273</f>
        <v>0</v>
      </c>
      <c r="J7" s="964">
        <f>'Forecasts '!I77-'Forecasts '!I273</f>
        <v>0</v>
      </c>
      <c r="K7" s="965" t="str">
        <f>IF(AND(ABS(D7)&lt;1,ABS(E7)&lt;1,ABS(F7)&lt;1,ABS(G7)&lt;1,ABS(H7)&lt;1,ABS(I7)&lt;1,ABS(J7)&lt;1),"✓ PASS","✗ FAIL")</f>
        <v>✓ PASS</v>
      </c>
      <c r="L7" s="966" t="s">
        <v>1494</v>
      </c>
      <c r="M7" s="966" t="s">
        <v>1507</v>
      </c>
    </row>
    <row r="8" spans="1:13">
      <c r="A8" s="962" t="s">
        <v>1500</v>
      </c>
      <c r="B8" s="961" t="s">
        <v>1501</v>
      </c>
      <c r="C8" s="963" t="s">
        <v>1169</v>
      </c>
      <c r="D8" s="963" t="s">
        <v>1169</v>
      </c>
      <c r="E8" s="963" t="s">
        <v>1169</v>
      </c>
      <c r="F8" s="968">
        <f>ABS('Valuation '!F4-'Valuation '!F5)</f>
        <v>3.0599022206061477E-3</v>
      </c>
      <c r="G8" s="968">
        <f>ABS('Valuation '!F4-'Valuation '!F6)</f>
        <v>3.05990222060748E-3</v>
      </c>
      <c r="H8" s="968">
        <f>ABS('Valuation '!F5-'Valuation '!F6)</f>
        <v>1.3322676295501878E-15</v>
      </c>
      <c r="I8" s="963" t="s">
        <v>1169</v>
      </c>
      <c r="J8" s="963" t="s">
        <v>1169</v>
      </c>
      <c r="K8" s="965" t="str">
        <f>IF(AND(ABS(F8)&lt;0.1,ABS(G8)&lt;0.1,ABS(H8)&lt;0.1),"✓ PASS","✗ FAIL")</f>
        <v>✓ PASS</v>
      </c>
      <c r="L8" s="966" t="s">
        <v>1508</v>
      </c>
      <c r="M8" s="966" t="s">
        <v>1509</v>
      </c>
    </row>
    <row r="9" spans="1:13" ht="20.100000000000001" customHeight="1">
      <c r="A9" s="962" t="s">
        <v>1502</v>
      </c>
      <c r="B9" s="961" t="s">
        <v>1503</v>
      </c>
      <c r="C9" s="963" t="s">
        <v>1169</v>
      </c>
      <c r="D9" s="963" t="s">
        <v>1169</v>
      </c>
      <c r="E9" s="963" t="s">
        <v>1169</v>
      </c>
      <c r="F9" s="969">
        <f>'Valuation '!F53-'Valuation '!F23</f>
        <v>3.545595070660168E-2</v>
      </c>
      <c r="G9" s="963" t="s">
        <v>1169</v>
      </c>
      <c r="H9" s="963" t="s">
        <v>1169</v>
      </c>
      <c r="I9" s="963" t="s">
        <v>1169</v>
      </c>
      <c r="J9" s="963" t="s">
        <v>1169</v>
      </c>
      <c r="K9" s="965" t="str">
        <f>IF('Valuation '!F53&gt;'Valuation '!F23,"✓ PASS","✗ FAIL")</f>
        <v>✓ PASS</v>
      </c>
      <c r="L9" s="966" t="s">
        <v>1504</v>
      </c>
      <c r="M9" s="966" t="s">
        <v>1510</v>
      </c>
    </row>
    <row r="10" spans="1:13" ht="18" customHeight="1"/>
    <row r="11" spans="1:13" ht="38.1" customHeight="1"/>
    <row r="12" spans="1:13" ht="38.1" customHeight="1"/>
    <row r="13" spans="1:13" ht="38.1" customHeight="1"/>
    <row r="14" spans="1:13" ht="38.1" customHeight="1"/>
    <row r="15" spans="1:13" ht="42" customHeight="1"/>
    <row r="16" spans="1:13" ht="18" customHeight="1"/>
    <row r="17" ht="38.1" customHeight="1"/>
    <row r="18" ht="38.1" customHeight="1"/>
    <row r="19" ht="38.1" customHeight="1"/>
    <row r="20" ht="38.1" customHeight="1"/>
    <row r="21" ht="42" customHeight="1"/>
    <row r="22" ht="18" customHeight="1"/>
    <row r="23" ht="38.1" customHeight="1"/>
    <row r="24" ht="38.1" customHeight="1"/>
    <row r="25" ht="38.1" customHeight="1"/>
    <row r="26" ht="38.1" customHeight="1"/>
    <row r="27" ht="38.1" customHeight="1"/>
    <row r="28" ht="42" customHeight="1"/>
    <row r="29" ht="18" customHeight="1"/>
    <row r="30" ht="38.1" customHeight="1"/>
    <row r="31" ht="38.1" customHeight="1"/>
    <row r="32" ht="38.1" customHeight="1"/>
    <row r="33" ht="38.1" customHeight="1"/>
    <row r="34" ht="38.1" customHeight="1"/>
    <row r="36" ht="18" customHeight="1"/>
    <row r="37" ht="42" customHeight="1"/>
    <row r="38" ht="42" customHeight="1"/>
    <row r="39" ht="42" customHeight="1"/>
    <row r="40" ht="42" customHeight="1"/>
    <row r="41" ht="42" customHeight="1"/>
    <row r="42" ht="42" customHeight="1"/>
    <row r="43" ht="42" customHeight="1"/>
    <row r="45" ht="18" customHeight="1"/>
    <row r="46" ht="42" customHeight="1"/>
    <row r="47" ht="42" customHeight="1"/>
    <row r="49" ht="18" customHeight="1"/>
    <row r="50" ht="36" customHeight="1"/>
    <row r="51" ht="36" customHeight="1"/>
    <row r="52" ht="36" customHeight="1"/>
    <row r="53" ht="36" customHeight="1"/>
    <row r="54" ht="36" customHeight="1"/>
    <row r="55" ht="36" customHeight="1"/>
    <row r="56" ht="36" customHeight="1"/>
    <row r="57" ht="36" customHeight="1"/>
    <row r="59" ht="21.95" customHeight="1"/>
    <row r="60" ht="30" customHeight="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04087-8FB3-47C1-8D0B-C1D3DDF4D681}">
  <dimension ref="A1:J22"/>
  <sheetViews>
    <sheetView topLeftCell="D1" workbookViewId="0">
      <pane ySplit="1" topLeftCell="A2" activePane="bottomLeft" state="frozen"/>
      <selection pane="bottomLeft" activeCell="J8" sqref="J8"/>
    </sheetView>
  </sheetViews>
  <sheetFormatPr defaultRowHeight="15"/>
  <cols>
    <col min="1" max="1" width="19" customWidth="1"/>
    <col min="2" max="10" width="30.42578125" customWidth="1"/>
  </cols>
  <sheetData>
    <row r="1" spans="1:10" ht="21.95" customHeight="1">
      <c r="A1" s="956" t="s">
        <v>1314</v>
      </c>
      <c r="B1" s="956" t="s">
        <v>1349</v>
      </c>
      <c r="C1" s="956" t="s">
        <v>1350</v>
      </c>
      <c r="D1" s="956" t="s">
        <v>1387</v>
      </c>
      <c r="E1" s="956" t="s">
        <v>1388</v>
      </c>
      <c r="F1" s="956" t="s">
        <v>1389</v>
      </c>
      <c r="G1" s="956" t="s">
        <v>1351</v>
      </c>
      <c r="H1" s="956" t="s">
        <v>1390</v>
      </c>
      <c r="I1" s="956" t="s">
        <v>1391</v>
      </c>
      <c r="J1" s="956" t="s">
        <v>1315</v>
      </c>
    </row>
    <row r="2" spans="1:10" ht="54.95" customHeight="1">
      <c r="A2" t="s">
        <v>1316</v>
      </c>
      <c r="B2" t="s">
        <v>1392</v>
      </c>
      <c r="C2" t="s">
        <v>1393</v>
      </c>
      <c r="D2" s="537">
        <v>18939</v>
      </c>
      <c r="E2" t="s">
        <v>1394</v>
      </c>
      <c r="F2" t="s">
        <v>1395</v>
      </c>
      <c r="G2" t="s">
        <v>1396</v>
      </c>
      <c r="H2" t="s">
        <v>1397</v>
      </c>
      <c r="I2" t="s">
        <v>1398</v>
      </c>
      <c r="J2" t="s">
        <v>1317</v>
      </c>
    </row>
    <row r="3" spans="1:10" ht="54.95" customHeight="1">
      <c r="A3" t="s">
        <v>1316</v>
      </c>
      <c r="B3" t="s">
        <v>1399</v>
      </c>
      <c r="C3" t="s">
        <v>1400</v>
      </c>
      <c r="D3" s="538">
        <v>5.3800000000000001E-2</v>
      </c>
      <c r="E3" t="s">
        <v>1401</v>
      </c>
      <c r="F3" t="s">
        <v>1402</v>
      </c>
      <c r="G3" t="s">
        <v>1396</v>
      </c>
      <c r="H3" t="s">
        <v>1403</v>
      </c>
      <c r="I3" t="s">
        <v>1404</v>
      </c>
      <c r="J3" t="s">
        <v>1317</v>
      </c>
    </row>
    <row r="4" spans="1:10" ht="54.95" customHeight="1">
      <c r="A4" t="s">
        <v>1316</v>
      </c>
      <c r="B4" t="s">
        <v>1405</v>
      </c>
      <c r="C4" t="s">
        <v>1250</v>
      </c>
      <c r="D4" s="538">
        <v>6.5199999999999994E-2</v>
      </c>
      <c r="E4" t="s">
        <v>1406</v>
      </c>
      <c r="F4" t="s">
        <v>1407</v>
      </c>
      <c r="G4" t="s">
        <v>1396</v>
      </c>
      <c r="H4" t="s">
        <v>1408</v>
      </c>
      <c r="I4" t="s">
        <v>1409</v>
      </c>
      <c r="J4" t="s">
        <v>1317</v>
      </c>
    </row>
    <row r="5" spans="1:10" ht="54.95" customHeight="1">
      <c r="A5" t="s">
        <v>1316</v>
      </c>
      <c r="B5" t="s">
        <v>1410</v>
      </c>
      <c r="C5" t="s">
        <v>1251</v>
      </c>
      <c r="D5" s="538">
        <v>-1.14E-2</v>
      </c>
      <c r="E5" t="s">
        <v>1411</v>
      </c>
      <c r="F5" t="s">
        <v>1412</v>
      </c>
      <c r="G5" t="s">
        <v>1396</v>
      </c>
      <c r="H5" t="s">
        <v>1413</v>
      </c>
      <c r="I5" t="s">
        <v>1414</v>
      </c>
      <c r="J5" t="s">
        <v>1317</v>
      </c>
    </row>
    <row r="6" spans="1:10" ht="54.95" customHeight="1">
      <c r="A6" t="s">
        <v>1318</v>
      </c>
      <c r="B6" t="s">
        <v>1415</v>
      </c>
      <c r="C6" t="s">
        <v>1416</v>
      </c>
      <c r="D6" t="s">
        <v>1417</v>
      </c>
      <c r="E6" t="s">
        <v>1418</v>
      </c>
      <c r="F6" t="s">
        <v>1419</v>
      </c>
      <c r="G6" t="s">
        <v>1396</v>
      </c>
      <c r="H6" t="s">
        <v>1420</v>
      </c>
      <c r="I6" t="s">
        <v>1421</v>
      </c>
      <c r="J6" t="s">
        <v>1422</v>
      </c>
    </row>
    <row r="7" spans="1:10" ht="54.95" customHeight="1">
      <c r="A7" t="s">
        <v>1316</v>
      </c>
      <c r="B7" t="s">
        <v>1423</v>
      </c>
      <c r="C7" t="s">
        <v>1424</v>
      </c>
      <c r="D7" t="s">
        <v>1425</v>
      </c>
      <c r="E7" t="s">
        <v>1426</v>
      </c>
      <c r="F7" t="s">
        <v>1427</v>
      </c>
      <c r="G7" t="s">
        <v>1428</v>
      </c>
      <c r="H7" t="s">
        <v>1429</v>
      </c>
      <c r="I7" t="s">
        <v>1430</v>
      </c>
      <c r="J7" t="s">
        <v>1431</v>
      </c>
    </row>
    <row r="8" spans="1:10" ht="54.95" customHeight="1">
      <c r="A8" t="s">
        <v>1432</v>
      </c>
      <c r="B8" t="s">
        <v>1433</v>
      </c>
      <c r="C8" t="s">
        <v>1434</v>
      </c>
      <c r="D8" t="s">
        <v>1435</v>
      </c>
      <c r="E8" t="s">
        <v>1436</v>
      </c>
      <c r="F8" t="s">
        <v>1437</v>
      </c>
      <c r="G8" t="s">
        <v>1428</v>
      </c>
      <c r="H8" t="s">
        <v>1438</v>
      </c>
      <c r="I8" t="s">
        <v>1439</v>
      </c>
      <c r="J8" t="s">
        <v>1440</v>
      </c>
    </row>
    <row r="9" spans="1:10" ht="54.95" customHeight="1">
      <c r="A9" t="s">
        <v>1432</v>
      </c>
      <c r="B9" t="s">
        <v>1441</v>
      </c>
      <c r="C9" t="s">
        <v>1442</v>
      </c>
      <c r="D9" t="s">
        <v>1443</v>
      </c>
      <c r="E9" t="s">
        <v>1444</v>
      </c>
      <c r="F9" t="s">
        <v>1445</v>
      </c>
      <c r="G9" t="s">
        <v>1446</v>
      </c>
      <c r="H9" t="s">
        <v>1447</v>
      </c>
      <c r="I9" t="s">
        <v>1448</v>
      </c>
      <c r="J9" t="s">
        <v>1449</v>
      </c>
    </row>
    <row r="10" spans="1:10" ht="54.95" customHeight="1">
      <c r="A10" t="s">
        <v>207</v>
      </c>
      <c r="B10" t="s">
        <v>1450</v>
      </c>
      <c r="C10" t="s">
        <v>1451</v>
      </c>
      <c r="D10" t="s">
        <v>1452</v>
      </c>
      <c r="E10" t="s">
        <v>1453</v>
      </c>
      <c r="F10" t="s">
        <v>1454</v>
      </c>
      <c r="G10" t="s">
        <v>1396</v>
      </c>
      <c r="H10" t="s">
        <v>1455</v>
      </c>
      <c r="I10" t="s">
        <v>1456</v>
      </c>
      <c r="J10" t="s">
        <v>1317</v>
      </c>
    </row>
    <row r="11" spans="1:10" ht="54.95" customHeight="1">
      <c r="A11" t="s">
        <v>1138</v>
      </c>
      <c r="B11" t="s">
        <v>1457</v>
      </c>
      <c r="C11" t="s">
        <v>1458</v>
      </c>
      <c r="D11" t="s">
        <v>1459</v>
      </c>
      <c r="E11" t="s">
        <v>1460</v>
      </c>
      <c r="F11" t="s">
        <v>1461</v>
      </c>
      <c r="G11" t="s">
        <v>1462</v>
      </c>
      <c r="H11" t="s">
        <v>1463</v>
      </c>
      <c r="I11" t="s">
        <v>1464</v>
      </c>
      <c r="J11" t="s">
        <v>1465</v>
      </c>
    </row>
    <row r="12" spans="1:10" ht="54.95" customHeight="1">
      <c r="A12" t="s">
        <v>1316</v>
      </c>
      <c r="B12" t="s">
        <v>1466</v>
      </c>
      <c r="C12" t="s">
        <v>1090</v>
      </c>
      <c r="D12" t="s">
        <v>1467</v>
      </c>
      <c r="E12" t="s">
        <v>1468</v>
      </c>
      <c r="F12" t="s">
        <v>1469</v>
      </c>
      <c r="G12" t="s">
        <v>1470</v>
      </c>
      <c r="H12" t="s">
        <v>1471</v>
      </c>
      <c r="I12" t="s">
        <v>1472</v>
      </c>
      <c r="J12" t="s">
        <v>1473</v>
      </c>
    </row>
    <row r="13" spans="1:10" ht="54.95" customHeight="1">
      <c r="A13" t="s">
        <v>207</v>
      </c>
      <c r="B13" t="s">
        <v>1474</v>
      </c>
      <c r="C13" t="s">
        <v>1475</v>
      </c>
      <c r="D13" t="s">
        <v>1476</v>
      </c>
      <c r="E13" t="s">
        <v>1477</v>
      </c>
      <c r="F13" t="s">
        <v>1478</v>
      </c>
      <c r="G13" t="s">
        <v>1479</v>
      </c>
      <c r="H13" t="s">
        <v>1480</v>
      </c>
      <c r="I13" t="s">
        <v>1481</v>
      </c>
      <c r="J13" t="s">
        <v>1482</v>
      </c>
    </row>
    <row r="14" spans="1:10" ht="54.95" customHeight="1"/>
    <row r="15" spans="1:10" ht="54.95" customHeight="1"/>
    <row r="16" spans="1:10" ht="54.95" customHeight="1"/>
    <row r="17" ht="54.95" customHeight="1"/>
    <row r="18" ht="54.95" customHeight="1"/>
    <row r="19" ht="54.95" customHeight="1"/>
    <row r="20" ht="54.95" customHeight="1"/>
    <row r="21" ht="54.95" customHeight="1"/>
    <row r="22" ht="20.100000000000001"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0809C-C255-4ED8-B2A8-A14A89BB2044}">
  <sheetPr>
    <tabColor rgb="FF1F3864"/>
  </sheetPr>
  <dimension ref="A1:NF46"/>
  <sheetViews>
    <sheetView zoomScale="105" zoomScaleNormal="145" workbookViewId="0">
      <pane ySplit="3" topLeftCell="A22" activePane="bottomLeft" state="frozen"/>
      <selection pane="bottomLeft" activeCell="B27" sqref="A4:D41"/>
    </sheetView>
  </sheetViews>
  <sheetFormatPr defaultRowHeight="15"/>
  <cols>
    <col min="1" max="1" width="38.140625" customWidth="1"/>
    <col min="2" max="4" width="15.28515625" customWidth="1"/>
    <col min="5" max="5" width="3.42578125" customWidth="1"/>
    <col min="6" max="6" width="34.28515625" customWidth="1"/>
    <col min="7" max="9" width="15.28515625" customWidth="1"/>
    <col min="10" max="10" width="3.42578125" customWidth="1"/>
    <col min="11" max="11" width="17.140625" customWidth="1"/>
    <col min="12" max="13" width="15.28515625" customWidth="1"/>
  </cols>
  <sheetData>
    <row r="1" spans="1:370" ht="30" customHeight="1">
      <c r="A1" s="864" t="s">
        <v>1252</v>
      </c>
      <c r="B1" s="864"/>
      <c r="C1" s="864"/>
      <c r="D1" s="864"/>
      <c r="E1" s="864"/>
      <c r="F1" s="864"/>
      <c r="G1" s="864"/>
      <c r="H1" s="864"/>
      <c r="I1" s="864"/>
      <c r="J1" s="864"/>
      <c r="K1" s="864"/>
      <c r="L1" s="864"/>
      <c r="M1" s="864"/>
    </row>
    <row r="2" spans="1:370" s="868" customFormat="1" ht="18" customHeight="1">
      <c r="A2" s="867" t="s">
        <v>1530</v>
      </c>
      <c r="B2" s="867"/>
      <c r="C2" s="867"/>
      <c r="D2" s="867"/>
      <c r="E2" s="867"/>
      <c r="F2" s="867"/>
      <c r="G2" s="867"/>
      <c r="H2" s="867"/>
      <c r="I2" s="867"/>
      <c r="J2" s="867"/>
      <c r="K2" s="867"/>
      <c r="L2" s="867"/>
      <c r="M2" s="867"/>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row>
    <row r="3" spans="1:370" ht="5.0999999999999996" customHeight="1">
      <c r="A3" s="865"/>
      <c r="B3" s="865"/>
      <c r="C3" s="865"/>
      <c r="D3" s="865"/>
      <c r="E3" s="865"/>
      <c r="F3" s="865"/>
      <c r="G3" s="865"/>
      <c r="H3" s="865"/>
      <c r="I3" s="865"/>
      <c r="J3" s="865"/>
      <c r="K3" s="865"/>
      <c r="L3" s="865"/>
      <c r="M3" s="865"/>
    </row>
    <row r="4" spans="1:370" ht="15" customHeight="1">
      <c r="A4" s="860" t="s">
        <v>1253</v>
      </c>
      <c r="B4" s="858" t="s">
        <v>682</v>
      </c>
      <c r="C4" s="858" t="s">
        <v>681</v>
      </c>
      <c r="D4" s="858" t="s">
        <v>680</v>
      </c>
      <c r="E4" s="860"/>
      <c r="F4" s="860" t="s">
        <v>1262</v>
      </c>
      <c r="G4" s="858" t="s">
        <v>1263</v>
      </c>
      <c r="H4" s="858" t="s">
        <v>1264</v>
      </c>
      <c r="I4" s="858" t="s">
        <v>1265</v>
      </c>
      <c r="J4" s="858"/>
      <c r="K4" s="858"/>
      <c r="L4" s="858" t="s">
        <v>1266</v>
      </c>
      <c r="M4" s="858" t="s">
        <v>1267</v>
      </c>
    </row>
    <row r="5" spans="1:370" ht="15" customHeight="1">
      <c r="A5" s="870" t="s">
        <v>1124</v>
      </c>
      <c r="B5" s="876">
        <v>1035106</v>
      </c>
      <c r="C5" s="876">
        <f>'Forecasts '!E14</f>
        <v>1046253.44</v>
      </c>
      <c r="D5" s="876">
        <f>'Forecasts '!F14</f>
        <v>1083489.8600999999</v>
      </c>
      <c r="F5" s="870" t="s">
        <v>1268</v>
      </c>
      <c r="G5" s="885">
        <v>3.45</v>
      </c>
      <c r="H5" s="885">
        <v>7.02</v>
      </c>
      <c r="I5" s="885">
        <v>11.8</v>
      </c>
      <c r="J5" s="885"/>
      <c r="K5" s="885"/>
      <c r="L5" s="885">
        <v>0.5</v>
      </c>
      <c r="M5" s="885">
        <v>3.51</v>
      </c>
    </row>
    <row r="6" spans="1:370" ht="15" customHeight="1">
      <c r="A6" s="870" t="s">
        <v>1254</v>
      </c>
      <c r="B6" s="978">
        <v>-0.1048</v>
      </c>
      <c r="C6" s="877">
        <v>1.0699999999999999E-2</v>
      </c>
      <c r="D6" s="877">
        <v>3.5499999999999997E-2</v>
      </c>
      <c r="F6" s="979" t="s">
        <v>1312</v>
      </c>
      <c r="G6" s="885">
        <v>5.0999999999999996</v>
      </c>
      <c r="H6" s="885">
        <v>9.75</v>
      </c>
      <c r="I6" s="885">
        <v>14.6</v>
      </c>
      <c r="J6" s="885"/>
      <c r="K6" s="885"/>
      <c r="L6" s="885">
        <v>0.25</v>
      </c>
      <c r="M6" s="885">
        <v>2.44</v>
      </c>
    </row>
    <row r="7" spans="1:370" ht="15" customHeight="1">
      <c r="A7" s="870" t="s">
        <v>1156</v>
      </c>
      <c r="B7" s="876">
        <v>740008</v>
      </c>
      <c r="C7" s="876">
        <v>748071</v>
      </c>
      <c r="D7" s="876">
        <v>774695</v>
      </c>
      <c r="F7" s="870" t="s">
        <v>1269</v>
      </c>
      <c r="G7" s="885">
        <v>4.3</v>
      </c>
      <c r="H7" s="885">
        <v>8.4</v>
      </c>
      <c r="I7" s="885">
        <v>12.8</v>
      </c>
      <c r="J7" s="885"/>
      <c r="K7" s="885"/>
      <c r="L7" s="885">
        <v>0.25</v>
      </c>
      <c r="M7" s="885">
        <v>2.1</v>
      </c>
    </row>
    <row r="8" spans="1:370" ht="15" customHeight="1">
      <c r="A8" s="870" t="s">
        <v>1230</v>
      </c>
      <c r="B8" s="877">
        <v>0.71489999999999998</v>
      </c>
      <c r="C8" s="877">
        <v>0.71499999999999997</v>
      </c>
      <c r="D8" s="877">
        <v>0.71499999999999997</v>
      </c>
      <c r="F8" s="896" t="s">
        <v>1270</v>
      </c>
      <c r="G8" s="897"/>
      <c r="H8" s="897">
        <v>8.0500000000000007</v>
      </c>
      <c r="I8" s="897"/>
      <c r="J8" s="897"/>
      <c r="K8" s="897"/>
      <c r="L8" s="897"/>
      <c r="M8" s="898">
        <v>8.0500000000000007</v>
      </c>
    </row>
    <row r="9" spans="1:370" ht="15" customHeight="1">
      <c r="A9" s="870" t="s">
        <v>1234</v>
      </c>
      <c r="B9" s="980">
        <v>215218</v>
      </c>
      <c r="C9" s="955">
        <f>'Forecasts '!E48-'Forecasts '!E30</f>
        <v>249008.31871999998</v>
      </c>
      <c r="D9" s="878">
        <f>'Forecasts '!F48-'Forecasts '!F30</f>
        <v>257870.5867037999</v>
      </c>
      <c r="F9" s="870" t="s">
        <v>1229</v>
      </c>
      <c r="G9" s="899"/>
      <c r="H9" s="900">
        <v>6.82</v>
      </c>
      <c r="I9" s="863"/>
      <c r="J9" s="863"/>
      <c r="K9" s="863"/>
      <c r="L9" s="863"/>
      <c r="M9" s="863"/>
    </row>
    <row r="10" spans="1:370" ht="15" customHeight="1">
      <c r="A10" s="870" t="s">
        <v>1231</v>
      </c>
      <c r="B10" s="981">
        <v>0.2079</v>
      </c>
      <c r="C10" s="877">
        <f>C9/'Forecasts '!E14</f>
        <v>0.23799999999999999</v>
      </c>
      <c r="D10" s="877">
        <f>D9/'Forecasts '!F14</f>
        <v>0.23799999999999993</v>
      </c>
      <c r="F10" s="870" t="s">
        <v>1271</v>
      </c>
      <c r="G10" s="899"/>
      <c r="H10" s="972">
        <v>0.18</v>
      </c>
      <c r="I10" s="862"/>
      <c r="J10" s="862"/>
      <c r="K10" s="862"/>
      <c r="L10" s="862"/>
      <c r="M10" s="862"/>
    </row>
    <row r="11" spans="1:370" ht="13.5" customHeight="1">
      <c r="A11" s="870" t="s">
        <v>1126</v>
      </c>
      <c r="B11" s="982">
        <v>-49001</v>
      </c>
      <c r="C11" s="983">
        <f>'Forecasts '!E48</f>
        <v>-22991.488529999981</v>
      </c>
      <c r="D11" s="984">
        <f>'Forecasts '!F48</f>
        <v>-13476.504158700049</v>
      </c>
      <c r="E11" s="865"/>
      <c r="F11" s="865"/>
      <c r="G11" s="865"/>
      <c r="H11" s="865"/>
      <c r="I11" s="865"/>
      <c r="J11" s="865"/>
      <c r="K11" s="865"/>
      <c r="L11" s="865"/>
      <c r="M11" s="865"/>
    </row>
    <row r="12" spans="1:370" ht="15" customHeight="1">
      <c r="A12" s="870" t="s">
        <v>53</v>
      </c>
      <c r="B12" s="982">
        <v>-68069</v>
      </c>
      <c r="C12" s="983">
        <f>'Forecasts '!E90</f>
        <v>-38957.234766449983</v>
      </c>
      <c r="D12" s="984">
        <f>'Forecasts '!F90</f>
        <v>-31223.901365904039</v>
      </c>
      <c r="F12" s="860" t="s">
        <v>1272</v>
      </c>
      <c r="G12" s="860"/>
      <c r="H12" s="860"/>
      <c r="I12" s="860"/>
      <c r="J12" s="860"/>
      <c r="K12" s="860"/>
      <c r="L12" s="860"/>
      <c r="M12" s="860"/>
    </row>
    <row r="13" spans="1:370" ht="15" customHeight="1">
      <c r="A13" s="870" t="s">
        <v>1236</v>
      </c>
      <c r="B13" s="985">
        <v>-0.40300000000000002</v>
      </c>
      <c r="C13" s="986">
        <f>'Forecasts '!E90/'Valuation '!F19</f>
        <v>-0.2308029786506901</v>
      </c>
      <c r="D13" s="986">
        <f>'Forecasts '!F90/'Valuation '!F19</f>
        <v>-0.18498667791873949</v>
      </c>
      <c r="F13" s="859" t="s">
        <v>1273</v>
      </c>
      <c r="G13" s="858" t="s">
        <v>677</v>
      </c>
      <c r="H13" s="858" t="s">
        <v>1274</v>
      </c>
      <c r="I13" s="858" t="s">
        <v>1275</v>
      </c>
      <c r="J13" s="858"/>
      <c r="K13" s="858" t="s">
        <v>1276</v>
      </c>
      <c r="L13" s="858" t="s">
        <v>1277</v>
      </c>
      <c r="M13" s="905"/>
    </row>
    <row r="14" spans="1:370" ht="15" customHeight="1">
      <c r="A14" s="870" t="s">
        <v>1235</v>
      </c>
      <c r="B14" s="978">
        <v>-6.5799999999999997E-2</v>
      </c>
      <c r="C14" s="987">
        <f>'Forecasts '!E90/'Forecasts '!E14</f>
        <v>-3.723498846173446E-2</v>
      </c>
      <c r="D14" s="987">
        <f>'Forecasts '!F90/'Forecasts '!F14</f>
        <v>-2.881789900924615E-2</v>
      </c>
      <c r="E14" s="865"/>
      <c r="F14" s="896" t="s">
        <v>1278</v>
      </c>
      <c r="G14" s="897" t="s">
        <v>1232</v>
      </c>
      <c r="H14" s="897" t="s">
        <v>1233</v>
      </c>
      <c r="I14" s="897" t="s">
        <v>1279</v>
      </c>
      <c r="J14" s="897"/>
      <c r="K14" s="901">
        <v>0.10199999999999999</v>
      </c>
      <c r="L14" s="901">
        <v>1.2E-2</v>
      </c>
      <c r="M14" s="906"/>
    </row>
    <row r="15" spans="1:370" ht="15" customHeight="1">
      <c r="A15" s="871" t="s">
        <v>1237</v>
      </c>
      <c r="B15" s="872" t="s">
        <v>682</v>
      </c>
      <c r="C15" s="879" t="s">
        <v>681</v>
      </c>
      <c r="D15" s="879" t="s">
        <v>680</v>
      </c>
      <c r="F15" s="890" t="s">
        <v>1280</v>
      </c>
      <c r="G15" s="890" t="s">
        <v>1281</v>
      </c>
      <c r="H15" s="890" t="s">
        <v>1282</v>
      </c>
      <c r="I15" s="890" t="s">
        <v>1283</v>
      </c>
      <c r="J15" s="887"/>
      <c r="K15" s="891">
        <v>5.8000000000000003E-2</v>
      </c>
      <c r="L15" s="902">
        <v>1.9E-2</v>
      </c>
      <c r="M15" s="887"/>
    </row>
    <row r="16" spans="1:370" ht="15" customHeight="1">
      <c r="A16" s="870" t="s">
        <v>1238</v>
      </c>
      <c r="B16" s="876">
        <v>1744841</v>
      </c>
      <c r="C16" s="876">
        <v>1775000</v>
      </c>
      <c r="D16" s="876">
        <v>1810000</v>
      </c>
      <c r="E16" s="857"/>
      <c r="F16" s="888" t="s">
        <v>749</v>
      </c>
      <c r="G16" s="889" t="s">
        <v>1284</v>
      </c>
      <c r="H16" s="889" t="s">
        <v>1285</v>
      </c>
      <c r="I16" s="889" t="s">
        <v>1286</v>
      </c>
      <c r="J16" s="889"/>
      <c r="K16" s="892">
        <v>6.3E-2</v>
      </c>
      <c r="L16" s="903">
        <v>3.4000000000000002E-2</v>
      </c>
      <c r="M16" s="889"/>
    </row>
    <row r="17" spans="1:13" ht="15" customHeight="1">
      <c r="A17" s="870" t="s">
        <v>1255</v>
      </c>
      <c r="B17" s="876">
        <v>238194</v>
      </c>
      <c r="C17" s="876">
        <v>257094</v>
      </c>
      <c r="D17" s="876">
        <v>270340</v>
      </c>
      <c r="E17" s="860"/>
      <c r="F17" s="886" t="s">
        <v>1287</v>
      </c>
      <c r="G17" s="887" t="s">
        <v>1288</v>
      </c>
      <c r="H17" s="887" t="s">
        <v>1289</v>
      </c>
      <c r="I17" s="887" t="s">
        <v>1290</v>
      </c>
      <c r="J17" s="887"/>
      <c r="K17" s="891">
        <v>7.1999999999999995E-2</v>
      </c>
      <c r="L17" s="902">
        <v>2.8000000000000001E-2</v>
      </c>
      <c r="M17" s="887"/>
    </row>
    <row r="18" spans="1:13" ht="15" customHeight="1">
      <c r="A18" s="870" t="s">
        <v>1239</v>
      </c>
      <c r="B18" s="876">
        <v>207000</v>
      </c>
      <c r="C18" s="876">
        <v>228208</v>
      </c>
      <c r="D18" s="876">
        <v>246574</v>
      </c>
      <c r="F18" s="888" t="s">
        <v>1291</v>
      </c>
      <c r="G18" s="889" t="s">
        <v>1292</v>
      </c>
      <c r="H18" s="889" t="s">
        <v>1293</v>
      </c>
      <c r="I18" s="889" t="s">
        <v>1294</v>
      </c>
      <c r="J18" s="889"/>
      <c r="K18" s="892">
        <v>4.9000000000000002E-2</v>
      </c>
      <c r="L18" s="903">
        <v>1.2E-2</v>
      </c>
      <c r="M18" s="889"/>
    </row>
    <row r="19" spans="1:13" ht="15" customHeight="1">
      <c r="A19" s="870" t="s">
        <v>1240</v>
      </c>
      <c r="B19" s="988">
        <v>567067</v>
      </c>
      <c r="C19" s="876">
        <v>560000</v>
      </c>
      <c r="D19" s="876">
        <v>550000</v>
      </c>
      <c r="F19" s="893" t="s">
        <v>1295</v>
      </c>
      <c r="G19" s="894" t="s">
        <v>1296</v>
      </c>
      <c r="H19" s="894" t="s">
        <v>1297</v>
      </c>
      <c r="I19" s="894" t="s">
        <v>1298</v>
      </c>
      <c r="J19" s="894"/>
      <c r="K19" s="895">
        <v>6.5000000000000002E-2</v>
      </c>
      <c r="L19" s="904">
        <v>2.3E-2</v>
      </c>
      <c r="M19" s="894"/>
    </row>
    <row r="20" spans="1:13">
      <c r="A20" s="870" t="s">
        <v>1241</v>
      </c>
      <c r="B20" s="876">
        <v>328873</v>
      </c>
      <c r="C20" s="876">
        <v>302906</v>
      </c>
      <c r="D20" s="876">
        <v>279660</v>
      </c>
      <c r="E20" s="865"/>
      <c r="F20" s="865"/>
      <c r="G20" s="865"/>
      <c r="H20" s="865"/>
      <c r="I20" s="865"/>
      <c r="J20" s="865"/>
      <c r="K20" s="865"/>
      <c r="L20" s="865"/>
      <c r="M20" s="865"/>
    </row>
    <row r="21" spans="1:13" ht="15" customHeight="1">
      <c r="A21" s="870" t="s">
        <v>587</v>
      </c>
      <c r="B21" s="876">
        <v>622445</v>
      </c>
      <c r="C21" s="876">
        <v>744323</v>
      </c>
      <c r="D21" s="876">
        <v>871428</v>
      </c>
      <c r="F21" s="860" t="s">
        <v>1299</v>
      </c>
      <c r="G21" s="860"/>
      <c r="H21" s="860"/>
      <c r="I21" s="860"/>
      <c r="J21" s="860"/>
      <c r="K21" s="860"/>
      <c r="L21" s="860"/>
      <c r="M21" s="860"/>
    </row>
    <row r="22" spans="1:13" ht="14.1" customHeight="1">
      <c r="A22" s="870" t="s">
        <v>1256</v>
      </c>
      <c r="B22" s="880">
        <v>0.52800000000000002</v>
      </c>
      <c r="C22" s="880">
        <v>0.40699999999999997</v>
      </c>
      <c r="D22" s="880">
        <v>0.32100000000000001</v>
      </c>
      <c r="F22" s="866" t="s">
        <v>1300</v>
      </c>
      <c r="G22" s="866"/>
      <c r="H22" s="866"/>
      <c r="I22" s="866"/>
      <c r="J22" s="866"/>
      <c r="K22" s="866"/>
      <c r="L22" s="866"/>
      <c r="M22" s="866"/>
    </row>
    <row r="23" spans="1:13" ht="14.1" customHeight="1">
      <c r="A23" s="870" t="s">
        <v>587</v>
      </c>
      <c r="B23" s="876">
        <v>622445</v>
      </c>
      <c r="C23" s="876">
        <v>744323</v>
      </c>
      <c r="D23" s="876">
        <v>871428</v>
      </c>
      <c r="E23" s="865"/>
      <c r="F23" s="907" t="s">
        <v>1535</v>
      </c>
      <c r="G23" s="907"/>
      <c r="H23" s="907"/>
      <c r="I23" s="907"/>
      <c r="J23" s="907"/>
      <c r="K23" s="907"/>
      <c r="L23" s="907"/>
      <c r="M23" s="907"/>
    </row>
    <row r="24" spans="1:13" ht="14.1" customHeight="1">
      <c r="A24" s="871" t="s">
        <v>1257</v>
      </c>
      <c r="B24" s="883" t="s">
        <v>682</v>
      </c>
      <c r="C24" s="883" t="s">
        <v>681</v>
      </c>
      <c r="D24" s="883" t="s">
        <v>680</v>
      </c>
      <c r="F24" s="908" t="s">
        <v>1537</v>
      </c>
      <c r="G24" s="907"/>
      <c r="H24" s="907"/>
      <c r="I24" s="907"/>
      <c r="J24" s="907"/>
      <c r="K24" s="907"/>
      <c r="L24" s="907"/>
      <c r="M24" s="907"/>
    </row>
    <row r="25" spans="1:13" ht="14.1" customHeight="1">
      <c r="A25" s="870" t="s">
        <v>1242</v>
      </c>
      <c r="B25" s="876">
        <v>171204</v>
      </c>
      <c r="C25" s="876">
        <v>180000</v>
      </c>
      <c r="D25" s="876">
        <v>195000</v>
      </c>
      <c r="F25" s="907" t="s">
        <v>1538</v>
      </c>
      <c r="G25" s="907"/>
      <c r="H25" s="907"/>
      <c r="I25" s="907"/>
      <c r="J25" s="907"/>
      <c r="K25" s="907"/>
      <c r="L25" s="907"/>
      <c r="M25" s="907"/>
    </row>
    <row r="26" spans="1:13" ht="14.1" customHeight="1">
      <c r="A26" s="870" t="s">
        <v>1243</v>
      </c>
      <c r="B26" s="876">
        <v>61308</v>
      </c>
      <c r="C26" s="876">
        <v>65000</v>
      </c>
      <c r="D26" s="876">
        <v>68000</v>
      </c>
      <c r="E26" s="857"/>
      <c r="F26" s="907" t="s">
        <v>1536</v>
      </c>
      <c r="G26" s="907"/>
      <c r="H26" s="907"/>
      <c r="I26" s="907"/>
      <c r="J26" s="907"/>
      <c r="K26" s="907"/>
      <c r="L26" s="907"/>
      <c r="M26" s="907"/>
    </row>
    <row r="27" spans="1:13" ht="15" customHeight="1">
      <c r="A27" s="870" t="s">
        <v>1244</v>
      </c>
      <c r="B27" s="988">
        <v>160896</v>
      </c>
      <c r="C27" s="876">
        <v>137249</v>
      </c>
      <c r="D27" s="876">
        <v>145395</v>
      </c>
      <c r="E27" s="860"/>
      <c r="F27" s="860"/>
      <c r="G27" s="860"/>
      <c r="H27" s="860"/>
      <c r="I27" s="860"/>
      <c r="J27" s="860"/>
      <c r="K27" s="860"/>
      <c r="L27" s="860"/>
      <c r="M27" s="860"/>
    </row>
    <row r="28" spans="1:13" ht="14.1" customHeight="1">
      <c r="A28" s="870" t="s">
        <v>1245</v>
      </c>
      <c r="B28" s="988">
        <v>109896</v>
      </c>
      <c r="C28" s="876">
        <v>117098</v>
      </c>
      <c r="D28" s="876">
        <v>127703</v>
      </c>
      <c r="F28" s="989" t="s">
        <v>1301</v>
      </c>
      <c r="G28" s="989"/>
      <c r="H28" s="989"/>
      <c r="I28" s="989"/>
      <c r="J28" s="989"/>
      <c r="K28" s="989"/>
      <c r="L28" s="989"/>
      <c r="M28" s="989"/>
    </row>
    <row r="29" spans="1:13" ht="14.1" customHeight="1">
      <c r="A29" s="870" t="s">
        <v>1246</v>
      </c>
      <c r="B29" s="990">
        <v>9.4200000000000006E-2</v>
      </c>
      <c r="C29" s="877">
        <v>0.1024</v>
      </c>
      <c r="D29" s="877">
        <v>0.1085</v>
      </c>
      <c r="F29" s="907" t="s">
        <v>1531</v>
      </c>
      <c r="G29" s="907"/>
      <c r="H29" s="907"/>
      <c r="I29" s="907"/>
      <c r="J29" s="907"/>
      <c r="K29" s="907"/>
      <c r="L29" s="907"/>
      <c r="M29" s="907"/>
    </row>
    <row r="30" spans="1:13" ht="14.1" customHeight="1">
      <c r="A30" s="870" t="s">
        <v>1244</v>
      </c>
      <c r="B30" s="983">
        <v>160896</v>
      </c>
      <c r="C30" s="878">
        <v>137249</v>
      </c>
      <c r="D30" s="878">
        <v>145395</v>
      </c>
      <c r="E30" s="865"/>
      <c r="F30" s="907" t="s">
        <v>1532</v>
      </c>
      <c r="G30" s="907"/>
      <c r="H30" s="907"/>
      <c r="I30" s="907"/>
      <c r="J30" s="907"/>
      <c r="K30" s="907"/>
      <c r="L30" s="907"/>
      <c r="M30" s="907"/>
    </row>
    <row r="31" spans="1:13" ht="14.1" customHeight="1">
      <c r="A31" s="871" t="s">
        <v>1258</v>
      </c>
      <c r="B31" s="884" t="s">
        <v>682</v>
      </c>
      <c r="C31" s="884" t="s">
        <v>681</v>
      </c>
      <c r="D31" s="884" t="s">
        <v>680</v>
      </c>
      <c r="F31" s="909" t="s">
        <v>1533</v>
      </c>
      <c r="G31" s="907"/>
      <c r="H31" s="907"/>
      <c r="I31" s="907"/>
      <c r="J31" s="907"/>
      <c r="K31" s="907"/>
      <c r="L31" s="907"/>
      <c r="M31" s="907"/>
    </row>
    <row r="32" spans="1:13" ht="14.1" customHeight="1">
      <c r="A32" s="870" t="s">
        <v>1259</v>
      </c>
      <c r="B32" s="978">
        <v>-9.2999999999999992E-3</v>
      </c>
      <c r="C32" s="987">
        <v>-9.2999999999999999E-2</v>
      </c>
      <c r="D32" s="877">
        <v>8.8999999999999996E-2</v>
      </c>
      <c r="F32" s="907" t="s">
        <v>1534</v>
      </c>
      <c r="G32" s="907"/>
      <c r="H32" s="907"/>
      <c r="I32" s="907"/>
      <c r="J32" s="907"/>
      <c r="K32" s="907"/>
      <c r="L32" s="907"/>
      <c r="M32" s="907"/>
    </row>
    <row r="33" spans="1:13" ht="12" customHeight="1">
      <c r="A33" s="870" t="s">
        <v>1260</v>
      </c>
      <c r="B33" s="978">
        <v>-0.1011</v>
      </c>
      <c r="C33" s="987">
        <v>-0.152</v>
      </c>
      <c r="D33" s="877">
        <v>0.1817</v>
      </c>
      <c r="E33" s="865"/>
      <c r="F33" s="865"/>
      <c r="G33" s="865"/>
      <c r="H33" s="865"/>
      <c r="I33" s="865"/>
      <c r="J33" s="865"/>
      <c r="K33" s="865"/>
      <c r="L33" s="865"/>
      <c r="M33" s="865"/>
    </row>
    <row r="34" spans="1:13" ht="15" customHeight="1">
      <c r="A34" s="870" t="s">
        <v>672</v>
      </c>
      <c r="B34" s="981">
        <v>-5.16E-2</v>
      </c>
      <c r="C34" s="877">
        <v>-5.1999999999999998E-2</v>
      </c>
      <c r="D34" s="877">
        <v>9.2999999999999999E-2</v>
      </c>
      <c r="F34" s="860" t="s">
        <v>1302</v>
      </c>
      <c r="G34" s="860"/>
      <c r="H34" s="860"/>
      <c r="I34" s="860"/>
      <c r="J34" s="860"/>
      <c r="K34" s="860"/>
      <c r="L34" s="860"/>
      <c r="M34" s="860"/>
    </row>
    <row r="35" spans="1:13" ht="14.1" customHeight="1">
      <c r="A35" s="870" t="s">
        <v>1250</v>
      </c>
      <c r="B35" s="990">
        <v>6.6199999999999995E-2</v>
      </c>
      <c r="C35" s="987">
        <v>6.6199999999999995E-2</v>
      </c>
      <c r="D35" s="987">
        <v>6.6199999999999995E-2</v>
      </c>
      <c r="E35" s="857"/>
      <c r="F35" s="869" t="s">
        <v>1303</v>
      </c>
      <c r="G35" s="910">
        <v>3.15E-2</v>
      </c>
      <c r="H35" s="869"/>
      <c r="I35" s="869"/>
      <c r="J35" s="869"/>
      <c r="K35" s="869"/>
      <c r="L35" s="869"/>
      <c r="M35" s="869"/>
    </row>
    <row r="36" spans="1:13" ht="14.1" customHeight="1">
      <c r="A36" s="979" t="s">
        <v>1261</v>
      </c>
      <c r="B36" s="981">
        <v>-0.1168</v>
      </c>
      <c r="C36" s="881">
        <v>-0.11799999999999999</v>
      </c>
      <c r="D36" s="881">
        <v>2.7799999999999998E-2</v>
      </c>
      <c r="E36" s="860"/>
      <c r="F36" s="869" t="s">
        <v>708</v>
      </c>
      <c r="G36" s="910">
        <v>0.05</v>
      </c>
      <c r="H36" s="869"/>
      <c r="I36" s="869"/>
      <c r="J36" s="869"/>
      <c r="K36" s="869"/>
      <c r="L36" s="869"/>
      <c r="M36" s="869"/>
    </row>
    <row r="37" spans="1:13" ht="14.1" customHeight="1">
      <c r="A37" s="870" t="s">
        <v>1247</v>
      </c>
      <c r="B37" s="877">
        <v>-9.2999999999999992E-3</v>
      </c>
      <c r="C37" s="877">
        <v>-9.2999999999999999E-2</v>
      </c>
      <c r="D37" s="877">
        <v>8.8999999999999996E-2</v>
      </c>
      <c r="E37" s="865"/>
      <c r="F37" s="869" t="s">
        <v>1304</v>
      </c>
      <c r="G37" s="911" t="s">
        <v>1305</v>
      </c>
      <c r="H37" s="869"/>
      <c r="I37" s="869"/>
      <c r="J37" s="869"/>
      <c r="K37" s="869"/>
      <c r="L37" s="869"/>
      <c r="M37" s="869"/>
    </row>
    <row r="38" spans="1:13" ht="14.1" customHeight="1">
      <c r="A38" s="870" t="s">
        <v>1248</v>
      </c>
      <c r="B38" s="877">
        <v>-0.1011</v>
      </c>
      <c r="C38" s="877">
        <v>-0.152</v>
      </c>
      <c r="D38" s="877">
        <v>0.1817</v>
      </c>
      <c r="F38" s="869" t="s">
        <v>1306</v>
      </c>
      <c r="G38" s="910">
        <v>7.2700000000000001E-2</v>
      </c>
      <c r="H38" s="869"/>
      <c r="I38" s="869"/>
      <c r="J38" s="869"/>
      <c r="K38" s="869"/>
      <c r="L38" s="869"/>
      <c r="M38" s="869"/>
    </row>
    <row r="39" spans="1:13" ht="14.1" customHeight="1">
      <c r="A39" s="870" t="s">
        <v>1249</v>
      </c>
      <c r="B39" s="990">
        <v>-5.16E-2</v>
      </c>
      <c r="C39" s="877">
        <v>-5.1999999999999998E-2</v>
      </c>
      <c r="D39" s="877">
        <v>9.2999999999999999E-2</v>
      </c>
      <c r="F39" s="869" t="s">
        <v>1307</v>
      </c>
      <c r="G39" s="910">
        <v>0.06</v>
      </c>
      <c r="H39" s="869"/>
      <c r="I39" s="869"/>
      <c r="J39" s="869"/>
      <c r="K39" s="869"/>
      <c r="L39" s="869"/>
      <c r="M39" s="869"/>
    </row>
    <row r="40" spans="1:13" ht="14.1" customHeight="1">
      <c r="A40" s="870" t="s">
        <v>1250</v>
      </c>
      <c r="B40" s="877">
        <v>6.6199999999999995E-2</v>
      </c>
      <c r="C40" s="877">
        <v>6.6199999999999995E-2</v>
      </c>
      <c r="D40" s="877">
        <v>6.5199999999999994E-2</v>
      </c>
      <c r="F40" s="869" t="s">
        <v>1308</v>
      </c>
      <c r="G40" s="910">
        <v>4.7399999999999998E-2</v>
      </c>
      <c r="H40" s="869"/>
      <c r="I40" s="869"/>
      <c r="J40" s="869"/>
      <c r="K40" s="869"/>
      <c r="L40" s="869"/>
      <c r="M40" s="869"/>
    </row>
    <row r="41" spans="1:13" ht="14.1" customHeight="1">
      <c r="A41" s="979" t="s">
        <v>1251</v>
      </c>
      <c r="B41" s="981">
        <v>-0.1168</v>
      </c>
      <c r="C41" s="881">
        <v>-0.11799999999999999</v>
      </c>
      <c r="D41" s="881">
        <v>2.7799999999999998E-2</v>
      </c>
      <c r="F41" s="869" t="s">
        <v>1309</v>
      </c>
      <c r="G41" s="910">
        <v>0.70299999999999996</v>
      </c>
      <c r="H41" s="869"/>
      <c r="I41" s="869"/>
      <c r="J41" s="869"/>
      <c r="K41" s="869"/>
      <c r="L41" s="869"/>
      <c r="M41" s="869"/>
    </row>
    <row r="42" spans="1:13" ht="14.1" customHeight="1">
      <c r="A42" s="873"/>
      <c r="B42" s="873"/>
      <c r="C42" s="882"/>
      <c r="D42" s="882"/>
      <c r="E42" s="857"/>
      <c r="F42" s="869" t="s">
        <v>1310</v>
      </c>
      <c r="G42" s="910">
        <v>0.29699999999999999</v>
      </c>
      <c r="H42" s="869"/>
      <c r="I42" s="869"/>
      <c r="J42" s="869"/>
      <c r="K42" s="869"/>
      <c r="L42" s="869"/>
      <c r="M42" s="869"/>
    </row>
    <row r="43" spans="1:13" ht="14.1" customHeight="1">
      <c r="A43" s="873"/>
      <c r="B43" s="873"/>
      <c r="C43" s="873"/>
      <c r="D43" s="873"/>
      <c r="F43" s="896" t="s">
        <v>1250</v>
      </c>
      <c r="G43" s="991">
        <v>6.6199999999999995E-2</v>
      </c>
      <c r="H43" s="896"/>
      <c r="I43" s="896"/>
      <c r="J43" s="896"/>
      <c r="K43" s="896"/>
      <c r="L43" s="896"/>
      <c r="M43" s="896"/>
    </row>
    <row r="44" spans="1:13" ht="14.1" customHeight="1">
      <c r="A44" s="873"/>
      <c r="B44" s="873"/>
      <c r="C44" s="873"/>
      <c r="D44" s="873"/>
      <c r="F44" s="869" t="s">
        <v>1311</v>
      </c>
      <c r="G44" s="910">
        <v>0.03</v>
      </c>
      <c r="H44" s="869"/>
      <c r="I44" s="869"/>
      <c r="J44" s="869"/>
      <c r="K44" s="869"/>
      <c r="L44" s="869"/>
      <c r="M44" s="869"/>
    </row>
    <row r="45" spans="1:13" ht="4.5" customHeight="1">
      <c r="A45" s="874"/>
      <c r="B45" s="874"/>
      <c r="C45" s="874"/>
      <c r="D45" s="874"/>
      <c r="E45" s="865"/>
      <c r="F45" s="865"/>
      <c r="G45" s="865"/>
      <c r="H45" s="865"/>
      <c r="I45" s="865"/>
      <c r="J45" s="865"/>
      <c r="K45" s="865"/>
      <c r="L45" s="865"/>
      <c r="M45" s="865"/>
    </row>
    <row r="46" spans="1:13" ht="14.1" customHeight="1">
      <c r="A46" s="992" t="s">
        <v>1313</v>
      </c>
      <c r="B46" s="875"/>
      <c r="C46" s="875"/>
      <c r="D46" s="875"/>
      <c r="E46" s="861"/>
      <c r="F46" s="861"/>
      <c r="G46" s="861"/>
      <c r="H46" s="861"/>
      <c r="I46" s="861"/>
      <c r="J46" s="861"/>
      <c r="K46" s="861"/>
      <c r="L46" s="861"/>
      <c r="M46" s="861"/>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07F05-3818-4349-925E-6C4811E443E2}">
  <dimension ref="B7:X72"/>
  <sheetViews>
    <sheetView topLeftCell="Q1" workbookViewId="0">
      <selection activeCell="U8" sqref="U8:U12"/>
    </sheetView>
  </sheetViews>
  <sheetFormatPr defaultRowHeight="15"/>
  <cols>
    <col min="2" max="2" width="36.42578125" bestFit="1" customWidth="1"/>
    <col min="17" max="17" width="43.42578125" bestFit="1" customWidth="1"/>
    <col min="18" max="18" width="42.5703125" bestFit="1" customWidth="1"/>
    <col min="19" max="19" width="27.85546875" bestFit="1" customWidth="1"/>
    <col min="20" max="20" width="19.5703125" bestFit="1" customWidth="1"/>
    <col min="21" max="21" width="42.5703125" bestFit="1" customWidth="1"/>
    <col min="22" max="22" width="19.5703125" bestFit="1" customWidth="1"/>
  </cols>
  <sheetData>
    <row r="7" spans="18:22">
      <c r="R7" t="s">
        <v>723</v>
      </c>
      <c r="S7" t="s">
        <v>724</v>
      </c>
      <c r="T7" t="s">
        <v>725</v>
      </c>
      <c r="U7" t="s">
        <v>726</v>
      </c>
      <c r="V7" t="s">
        <v>727</v>
      </c>
    </row>
    <row r="8" spans="18:22">
      <c r="R8" t="s">
        <v>667</v>
      </c>
      <c r="S8" s="624">
        <v>0.64</v>
      </c>
      <c r="T8" s="538">
        <v>0.7</v>
      </c>
      <c r="U8" s="538">
        <v>0.77400000000000002</v>
      </c>
      <c r="V8" t="s">
        <v>728</v>
      </c>
    </row>
    <row r="9" spans="18:22">
      <c r="R9" t="s">
        <v>666</v>
      </c>
      <c r="S9" s="624">
        <v>1.8</v>
      </c>
      <c r="T9" s="538">
        <v>2.3380000000000001</v>
      </c>
      <c r="U9" s="538">
        <v>3.43</v>
      </c>
      <c r="V9" t="s">
        <v>729</v>
      </c>
    </row>
    <row r="10" spans="18:22">
      <c r="R10" t="s">
        <v>730</v>
      </c>
      <c r="S10" s="624">
        <v>-0.17</v>
      </c>
      <c r="T10">
        <v>2.5</v>
      </c>
      <c r="U10">
        <v>2.2000000000000002</v>
      </c>
      <c r="V10" t="s">
        <v>731</v>
      </c>
    </row>
    <row r="11" spans="18:22">
      <c r="R11" t="s">
        <v>664</v>
      </c>
      <c r="S11" s="624">
        <v>0.15</v>
      </c>
      <c r="T11" s="538">
        <v>0.19700000000000001</v>
      </c>
      <c r="U11" s="538">
        <v>0.20200000000000001</v>
      </c>
      <c r="V11" t="s">
        <v>732</v>
      </c>
    </row>
    <row r="12" spans="18:22">
      <c r="R12" t="s">
        <v>663</v>
      </c>
      <c r="S12">
        <v>0.14000000000000001</v>
      </c>
      <c r="T12" s="538">
        <v>0.156</v>
      </c>
      <c r="U12" s="538">
        <v>0.18</v>
      </c>
      <c r="V12" t="s">
        <v>733</v>
      </c>
    </row>
    <row r="18" spans="2:5">
      <c r="B18" t="s">
        <v>560</v>
      </c>
      <c r="C18" s="537" t="s">
        <v>563</v>
      </c>
      <c r="D18" s="537" t="s">
        <v>564</v>
      </c>
      <c r="E18" s="537" t="s">
        <v>567</v>
      </c>
    </row>
    <row r="19" spans="2:5">
      <c r="B19" t="s">
        <v>106</v>
      </c>
      <c r="C19" s="537">
        <v>23928</v>
      </c>
      <c r="D19" s="537">
        <v>22514</v>
      </c>
      <c r="E19" s="537" t="s">
        <v>562</v>
      </c>
    </row>
    <row r="20" spans="2:5">
      <c r="B20" t="s">
        <v>105</v>
      </c>
      <c r="C20" s="537">
        <v>6954</v>
      </c>
      <c r="D20" s="537">
        <v>6026</v>
      </c>
      <c r="E20" t="s">
        <v>562</v>
      </c>
    </row>
    <row r="21" spans="2:5">
      <c r="B21" t="s">
        <v>104</v>
      </c>
      <c r="C21" s="537">
        <v>16223</v>
      </c>
      <c r="D21" s="537">
        <v>14723</v>
      </c>
      <c r="E21" s="537" t="s">
        <v>568</v>
      </c>
    </row>
    <row r="22" spans="2:5">
      <c r="B22" t="s">
        <v>103</v>
      </c>
      <c r="C22" s="537">
        <v>596603</v>
      </c>
      <c r="D22" s="537">
        <v>552344</v>
      </c>
      <c r="E22" t="s">
        <v>562</v>
      </c>
    </row>
    <row r="23" spans="2:5">
      <c r="B23" t="s">
        <v>102</v>
      </c>
      <c r="C23" s="537">
        <v>0</v>
      </c>
      <c r="D23" s="537">
        <v>0</v>
      </c>
      <c r="E23" t="s">
        <v>569</v>
      </c>
    </row>
    <row r="24" spans="2:5">
      <c r="B24" t="s">
        <v>101</v>
      </c>
      <c r="C24" s="537">
        <v>114439</v>
      </c>
      <c r="D24" s="537">
        <v>124002</v>
      </c>
      <c r="E24" t="s">
        <v>570</v>
      </c>
    </row>
    <row r="25" spans="2:5">
      <c r="B25" t="s">
        <v>100</v>
      </c>
      <c r="C25" s="537">
        <v>48806</v>
      </c>
      <c r="D25" s="537">
        <v>44151</v>
      </c>
      <c r="E25" t="s">
        <v>571</v>
      </c>
    </row>
    <row r="26" spans="2:5">
      <c r="B26" t="s">
        <v>99</v>
      </c>
      <c r="C26" s="537">
        <v>296984</v>
      </c>
      <c r="D26" s="537">
        <v>311318</v>
      </c>
      <c r="E26" t="s">
        <v>572</v>
      </c>
    </row>
    <row r="27" spans="2:5">
      <c r="B27" t="s">
        <v>573</v>
      </c>
      <c r="C27" s="537">
        <v>0</v>
      </c>
      <c r="D27" s="537">
        <v>0</v>
      </c>
      <c r="E27" t="s">
        <v>574</v>
      </c>
    </row>
    <row r="28" spans="2:5">
      <c r="B28" t="s">
        <v>565</v>
      </c>
      <c r="C28" s="537">
        <v>0</v>
      </c>
      <c r="D28" s="537">
        <v>0</v>
      </c>
      <c r="E28" t="s">
        <v>575</v>
      </c>
    </row>
    <row r="29" spans="2:5">
      <c r="B29" t="s">
        <v>96</v>
      </c>
      <c r="C29" s="537">
        <v>6589</v>
      </c>
      <c r="D29" s="537">
        <v>3404</v>
      </c>
      <c r="E29" t="s">
        <v>576</v>
      </c>
    </row>
    <row r="30" spans="2:5">
      <c r="B30" t="s">
        <v>95</v>
      </c>
      <c r="C30" s="537">
        <v>6832</v>
      </c>
      <c r="D30" s="537">
        <v>5682</v>
      </c>
      <c r="E30" t="s">
        <v>577</v>
      </c>
    </row>
    <row r="31" spans="2:5">
      <c r="B31" t="s">
        <v>94</v>
      </c>
      <c r="C31" s="537">
        <v>16223</v>
      </c>
      <c r="D31" s="537">
        <v>14723</v>
      </c>
      <c r="E31" t="s">
        <v>578</v>
      </c>
    </row>
    <row r="32" spans="2:5">
      <c r="B32" t="s">
        <v>93</v>
      </c>
      <c r="C32" s="537">
        <v>23928</v>
      </c>
      <c r="D32" s="537">
        <v>22514</v>
      </c>
      <c r="E32" t="s">
        <v>579</v>
      </c>
    </row>
    <row r="33" spans="2:22">
      <c r="B33" t="s">
        <v>566</v>
      </c>
      <c r="C33" s="537">
        <v>1090769</v>
      </c>
      <c r="D33" s="537">
        <v>1080760</v>
      </c>
      <c r="E33" t="s">
        <v>580</v>
      </c>
    </row>
    <row r="34" spans="2:22">
      <c r="C34" s="537"/>
      <c r="D34" s="537"/>
    </row>
    <row r="35" spans="2:22">
      <c r="B35" t="s">
        <v>560</v>
      </c>
      <c r="C35" s="537" t="s">
        <v>563</v>
      </c>
      <c r="D35" s="537" t="s">
        <v>564</v>
      </c>
      <c r="E35" t="s">
        <v>581</v>
      </c>
    </row>
    <row r="36" spans="2:22">
      <c r="B36" t="s">
        <v>91</v>
      </c>
      <c r="C36" s="537">
        <v>0</v>
      </c>
      <c r="D36" s="537">
        <v>0</v>
      </c>
      <c r="E36" t="s">
        <v>582</v>
      </c>
    </row>
    <row r="37" spans="2:22">
      <c r="B37" t="s">
        <v>90</v>
      </c>
      <c r="C37" s="537">
        <v>695106</v>
      </c>
      <c r="D37" s="537">
        <v>687178</v>
      </c>
      <c r="E37" t="s">
        <v>583</v>
      </c>
    </row>
    <row r="38" spans="2:22">
      <c r="B38" t="s">
        <v>89</v>
      </c>
      <c r="C38" s="537">
        <v>26060</v>
      </c>
      <c r="D38" s="537">
        <v>-68087</v>
      </c>
      <c r="E38" t="s">
        <v>584</v>
      </c>
    </row>
    <row r="39" spans="2:22">
      <c r="B39" t="s">
        <v>88</v>
      </c>
      <c r="C39" s="537">
        <v>3934</v>
      </c>
      <c r="D39" s="537">
        <v>3354</v>
      </c>
      <c r="E39" t="s">
        <v>585</v>
      </c>
    </row>
    <row r="40" spans="2:22">
      <c r="B40" t="s">
        <v>87</v>
      </c>
      <c r="C40" s="537">
        <v>0</v>
      </c>
      <c r="D40" s="537">
        <v>0</v>
      </c>
      <c r="E40" t="s">
        <v>582</v>
      </c>
      <c r="Q40" t="s">
        <v>619</v>
      </c>
      <c r="R40" t="s">
        <v>620</v>
      </c>
      <c r="S40" t="s">
        <v>621</v>
      </c>
      <c r="T40" t="s">
        <v>622</v>
      </c>
      <c r="U40" t="s">
        <v>623</v>
      </c>
      <c r="V40" t="s">
        <v>624</v>
      </c>
    </row>
    <row r="41" spans="2:22">
      <c r="B41" t="s">
        <v>85</v>
      </c>
      <c r="C41">
        <v>997</v>
      </c>
      <c r="D41">
        <v>995</v>
      </c>
      <c r="E41" t="s">
        <v>586</v>
      </c>
      <c r="Q41" t="s">
        <v>78</v>
      </c>
      <c r="R41" t="s">
        <v>625</v>
      </c>
      <c r="S41" s="537">
        <v>-482315</v>
      </c>
      <c r="T41" s="537">
        <v>-453167</v>
      </c>
      <c r="U41" t="s">
        <v>625</v>
      </c>
      <c r="V41" s="537">
        <v>-454649</v>
      </c>
    </row>
    <row r="42" spans="2:22">
      <c r="B42" t="s">
        <v>587</v>
      </c>
      <c r="C42" s="537">
        <v>722163</v>
      </c>
      <c r="D42" s="537">
        <v>620086</v>
      </c>
      <c r="E42" t="s">
        <v>588</v>
      </c>
      <c r="Q42" t="s">
        <v>77</v>
      </c>
      <c r="R42" t="s">
        <v>626</v>
      </c>
      <c r="S42" s="537">
        <v>-127837</v>
      </c>
      <c r="T42" s="537">
        <v>-168819</v>
      </c>
      <c r="U42" t="s">
        <v>626</v>
      </c>
      <c r="V42" s="537">
        <v>-137142</v>
      </c>
    </row>
    <row r="43" spans="2:22">
      <c r="C43" s="537"/>
      <c r="D43" s="537"/>
      <c r="S43" s="537"/>
      <c r="T43" s="537"/>
      <c r="V43" s="537"/>
    </row>
    <row r="44" spans="2:22">
      <c r="B44" t="s">
        <v>589</v>
      </c>
      <c r="C44" s="537">
        <v>1812932</v>
      </c>
      <c r="D44" s="537">
        <v>1700846</v>
      </c>
      <c r="E44" t="s">
        <v>590</v>
      </c>
      <c r="Q44" t="s">
        <v>75</v>
      </c>
      <c r="R44" t="s">
        <v>627</v>
      </c>
      <c r="S44" s="537">
        <v>-50292</v>
      </c>
      <c r="T44" s="537">
        <v>-49263</v>
      </c>
      <c r="U44" t="s">
        <v>627</v>
      </c>
      <c r="V44" s="537">
        <v>-53086</v>
      </c>
    </row>
    <row r="45" spans="2:22">
      <c r="C45" s="537"/>
      <c r="D45" s="537"/>
      <c r="Q45" t="s">
        <v>74</v>
      </c>
      <c r="R45" t="s">
        <v>628</v>
      </c>
      <c r="S45" s="537">
        <v>-79676</v>
      </c>
      <c r="T45" s="537">
        <v>-92064</v>
      </c>
      <c r="U45" t="s">
        <v>629</v>
      </c>
      <c r="V45" s="537">
        <v>-113695</v>
      </c>
    </row>
    <row r="46" spans="2:22">
      <c r="B46" t="s">
        <v>560</v>
      </c>
      <c r="C46" s="537" t="s">
        <v>563</v>
      </c>
      <c r="D46" s="537" t="s">
        <v>564</v>
      </c>
      <c r="E46" t="s">
        <v>600</v>
      </c>
      <c r="Q46" t="s">
        <v>73</v>
      </c>
      <c r="R46" t="s">
        <v>630</v>
      </c>
      <c r="S46" s="537">
        <v>-24467</v>
      </c>
      <c r="T46" s="537">
        <v>-29024</v>
      </c>
      <c r="U46" t="s">
        <v>630</v>
      </c>
      <c r="V46" s="537">
        <v>-29721</v>
      </c>
    </row>
    <row r="47" spans="2:22">
      <c r="B47" t="s">
        <v>126</v>
      </c>
      <c r="C47" s="537">
        <v>268988</v>
      </c>
      <c r="D47" s="537">
        <v>238194</v>
      </c>
      <c r="E47" t="s">
        <v>562</v>
      </c>
    </row>
    <row r="48" spans="2:22">
      <c r="B48" t="s">
        <v>125</v>
      </c>
      <c r="C48" s="537">
        <v>0</v>
      </c>
      <c r="D48" s="537">
        <v>0</v>
      </c>
      <c r="E48" t="s">
        <v>601</v>
      </c>
    </row>
    <row r="49" spans="2:24">
      <c r="B49" t="s">
        <v>124</v>
      </c>
      <c r="C49" s="537">
        <v>106821</v>
      </c>
      <c r="D49" s="537">
        <v>84580</v>
      </c>
      <c r="E49" t="s">
        <v>591</v>
      </c>
    </row>
    <row r="50" spans="2:24">
      <c r="B50" t="s">
        <v>123</v>
      </c>
      <c r="C50" s="537">
        <v>298345</v>
      </c>
      <c r="D50" s="537">
        <v>307888</v>
      </c>
      <c r="E50" t="s">
        <v>123</v>
      </c>
    </row>
    <row r="51" spans="2:24">
      <c r="B51" t="s">
        <v>122</v>
      </c>
      <c r="C51" s="537">
        <v>37712</v>
      </c>
      <c r="D51" s="537">
        <v>46025</v>
      </c>
      <c r="E51" t="s">
        <v>592</v>
      </c>
    </row>
    <row r="52" spans="2:24">
      <c r="B52" t="s">
        <v>121</v>
      </c>
      <c r="C52" s="537">
        <v>36812</v>
      </c>
      <c r="D52" s="537">
        <v>50721</v>
      </c>
      <c r="E52" t="s">
        <v>593</v>
      </c>
    </row>
    <row r="53" spans="2:24">
      <c r="B53" t="s">
        <v>120</v>
      </c>
      <c r="C53" s="537">
        <v>34025</v>
      </c>
      <c r="D53" s="537">
        <v>25822</v>
      </c>
      <c r="E53" t="s">
        <v>602</v>
      </c>
    </row>
    <row r="54" spans="2:24">
      <c r="B54" t="s">
        <v>119</v>
      </c>
      <c r="C54" s="537">
        <v>6107</v>
      </c>
      <c r="D54" s="537">
        <v>5978</v>
      </c>
      <c r="E54" t="s">
        <v>603</v>
      </c>
      <c r="R54" t="s">
        <v>619</v>
      </c>
      <c r="S54" t="s">
        <v>631</v>
      </c>
      <c r="T54" t="s">
        <v>622</v>
      </c>
      <c r="U54" t="s">
        <v>632</v>
      </c>
      <c r="V54" t="s">
        <v>624</v>
      </c>
      <c r="W54" t="s">
        <v>643</v>
      </c>
    </row>
    <row r="55" spans="2:24">
      <c r="B55" t="s">
        <v>604</v>
      </c>
      <c r="C55" s="537">
        <v>788810</v>
      </c>
      <c r="D55" s="537">
        <v>759288</v>
      </c>
      <c r="E55" t="s">
        <v>605</v>
      </c>
      <c r="R55" t="s">
        <v>77</v>
      </c>
      <c r="S55" t="s">
        <v>633</v>
      </c>
      <c r="T55" s="537">
        <v>-168819</v>
      </c>
      <c r="U55" t="s">
        <v>634</v>
      </c>
      <c r="V55" s="537">
        <v>-137142</v>
      </c>
      <c r="W55" t="s">
        <v>626</v>
      </c>
    </row>
    <row r="56" spans="2:24">
      <c r="C56" s="537"/>
      <c r="D56" s="537"/>
      <c r="R56" t="s">
        <v>75</v>
      </c>
      <c r="S56" t="s">
        <v>635</v>
      </c>
      <c r="T56" s="537">
        <v>-49263</v>
      </c>
      <c r="U56" t="s">
        <v>636</v>
      </c>
      <c r="V56" s="537">
        <v>-53086</v>
      </c>
      <c r="W56" t="s">
        <v>627</v>
      </c>
    </row>
    <row r="57" spans="2:24">
      <c r="B57" t="s">
        <v>560</v>
      </c>
      <c r="C57" s="537" t="s">
        <v>563</v>
      </c>
      <c r="D57" s="537" t="s">
        <v>564</v>
      </c>
      <c r="E57" t="s">
        <v>600</v>
      </c>
      <c r="R57" t="s">
        <v>637</v>
      </c>
      <c r="S57" t="s">
        <v>638</v>
      </c>
      <c r="T57" s="537">
        <v>-92064</v>
      </c>
      <c r="U57" t="s">
        <v>639</v>
      </c>
      <c r="V57" s="537">
        <v>-113695</v>
      </c>
      <c r="W57" t="s">
        <v>629</v>
      </c>
    </row>
    <row r="58" spans="2:24">
      <c r="B58" t="s">
        <v>117</v>
      </c>
      <c r="C58" s="537">
        <v>13760</v>
      </c>
      <c r="D58" s="537">
        <v>13583</v>
      </c>
      <c r="E58" t="s">
        <v>594</v>
      </c>
      <c r="R58" t="s">
        <v>640</v>
      </c>
      <c r="S58" t="s">
        <v>641</v>
      </c>
      <c r="T58" s="537">
        <v>-29024</v>
      </c>
      <c r="U58" t="s">
        <v>642</v>
      </c>
      <c r="V58" s="537">
        <v>-29721</v>
      </c>
      <c r="W58" t="s">
        <v>630</v>
      </c>
    </row>
    <row r="59" spans="2:24">
      <c r="B59" t="s">
        <v>561</v>
      </c>
      <c r="C59" s="537">
        <v>4496</v>
      </c>
      <c r="D59" s="537">
        <v>3712</v>
      </c>
      <c r="E59" t="s">
        <v>606</v>
      </c>
    </row>
    <row r="60" spans="2:24">
      <c r="B60" t="s">
        <v>115</v>
      </c>
      <c r="C60" s="537">
        <v>400000</v>
      </c>
      <c r="D60" s="537">
        <v>420000</v>
      </c>
      <c r="E60" t="s">
        <v>595</v>
      </c>
    </row>
    <row r="61" spans="2:24">
      <c r="B61" t="s">
        <v>114</v>
      </c>
      <c r="C61" s="537">
        <v>-176646</v>
      </c>
      <c r="D61" s="537">
        <v>-208000</v>
      </c>
      <c r="E61" t="s">
        <v>596</v>
      </c>
    </row>
    <row r="62" spans="2:24">
      <c r="B62" t="s">
        <v>113</v>
      </c>
      <c r="C62" s="537">
        <v>122349</v>
      </c>
      <c r="D62" s="537">
        <v>145142</v>
      </c>
      <c r="E62" t="s">
        <v>597</v>
      </c>
      <c r="R62" t="s">
        <v>13</v>
      </c>
      <c r="S62">
        <v>2019</v>
      </c>
      <c r="T62">
        <v>2020</v>
      </c>
      <c r="U62">
        <v>2021</v>
      </c>
      <c r="V62">
        <v>2022</v>
      </c>
      <c r="W62">
        <v>2023</v>
      </c>
      <c r="X62">
        <v>2024</v>
      </c>
    </row>
    <row r="63" spans="2:24">
      <c r="B63" t="s">
        <v>112</v>
      </c>
      <c r="C63" s="537">
        <v>639278</v>
      </c>
      <c r="D63" s="537">
        <v>535090</v>
      </c>
      <c r="E63" t="s">
        <v>607</v>
      </c>
      <c r="R63" t="s">
        <v>12</v>
      </c>
      <c r="S63" s="538">
        <v>0.21</v>
      </c>
      <c r="T63" s="538">
        <v>0.21</v>
      </c>
      <c r="U63" s="538">
        <v>0.21</v>
      </c>
      <c r="V63" s="538">
        <v>0.21</v>
      </c>
      <c r="W63" s="538">
        <v>0.21</v>
      </c>
      <c r="X63" s="538">
        <v>0.21</v>
      </c>
    </row>
    <row r="64" spans="2:24">
      <c r="B64" t="s">
        <v>111</v>
      </c>
      <c r="C64" s="537">
        <v>36872</v>
      </c>
      <c r="D64" s="537">
        <v>31872</v>
      </c>
      <c r="E64" t="s">
        <v>598</v>
      </c>
      <c r="R64" t="s">
        <v>644</v>
      </c>
      <c r="S64" s="538">
        <v>0.254</v>
      </c>
      <c r="T64" s="538">
        <v>-0.10199999999999999</v>
      </c>
      <c r="U64" s="538">
        <v>0.29599999999999999</v>
      </c>
      <c r="V64" s="538">
        <v>0.35399999999999998</v>
      </c>
      <c r="W64" s="538">
        <v>0.42399999999999999</v>
      </c>
      <c r="X64" s="538">
        <v>-9.9000000000000005E-2</v>
      </c>
    </row>
    <row r="65" spans="2:24">
      <c r="B65" t="s">
        <v>599</v>
      </c>
      <c r="C65" s="537">
        <v>6679</v>
      </c>
      <c r="D65" s="537">
        <v>6679</v>
      </c>
      <c r="E65" t="s">
        <v>599</v>
      </c>
      <c r="R65" t="s">
        <v>10</v>
      </c>
      <c r="S65" s="537">
        <v>-46518</v>
      </c>
      <c r="T65" s="537">
        <v>-24403</v>
      </c>
      <c r="U65" s="537">
        <v>-36550</v>
      </c>
      <c r="V65" s="537">
        <v>-34567</v>
      </c>
      <c r="W65" s="537">
        <v>-73321</v>
      </c>
      <c r="X65" s="537">
        <v>-49498</v>
      </c>
    </row>
    <row r="66" spans="2:24">
      <c r="C66" s="537"/>
      <c r="D66" s="537"/>
      <c r="R66" t="s">
        <v>9</v>
      </c>
      <c r="S66" s="537">
        <v>185832</v>
      </c>
      <c r="T66" s="537">
        <v>221767</v>
      </c>
      <c r="U66" s="537">
        <v>163172</v>
      </c>
      <c r="V66" s="537">
        <v>170962</v>
      </c>
      <c r="W66" s="537">
        <v>179789</v>
      </c>
      <c r="X66" s="537">
        <v>264219</v>
      </c>
    </row>
    <row r="67" spans="2:24">
      <c r="R67" t="s">
        <v>8</v>
      </c>
    </row>
    <row r="68" spans="2:24">
      <c r="B68" t="s">
        <v>608</v>
      </c>
      <c r="C68" t="s">
        <v>609</v>
      </c>
      <c r="D68" t="s">
        <v>610</v>
      </c>
      <c r="E68" t="s">
        <v>611</v>
      </c>
      <c r="F68" t="s">
        <v>612</v>
      </c>
      <c r="G68" t="s">
        <v>613</v>
      </c>
      <c r="H68" t="s">
        <v>614</v>
      </c>
      <c r="R68" t="s">
        <v>7</v>
      </c>
      <c r="S68" s="537">
        <v>1687900</v>
      </c>
      <c r="T68" s="537">
        <v>1687900</v>
      </c>
      <c r="U68" s="537">
        <v>1687900</v>
      </c>
      <c r="V68" s="537">
        <v>1687900</v>
      </c>
      <c r="W68" s="537">
        <v>1687900</v>
      </c>
      <c r="X68" s="537">
        <v>1687900</v>
      </c>
    </row>
    <row r="69" spans="2:24">
      <c r="B69" t="s">
        <v>615</v>
      </c>
      <c r="C69" s="537">
        <v>-47038</v>
      </c>
      <c r="D69" s="537">
        <v>-47038</v>
      </c>
      <c r="E69" s="537">
        <v>-53086</v>
      </c>
      <c r="F69" s="537">
        <v>-53086</v>
      </c>
      <c r="G69" s="537">
        <v>-49263</v>
      </c>
      <c r="H69" s="537">
        <v>-50292</v>
      </c>
      <c r="R69" t="s">
        <v>6</v>
      </c>
      <c r="S69">
        <v>5.1799999999999999E-2</v>
      </c>
      <c r="T69">
        <v>-4.5600000000000002E-2</v>
      </c>
      <c r="U69">
        <v>4.9500000000000002E-2</v>
      </c>
      <c r="V69">
        <v>4.1200000000000001E-2</v>
      </c>
      <c r="W69">
        <v>1.54E-2</v>
      </c>
      <c r="X69">
        <v>-4.0300000000000002E-2</v>
      </c>
    </row>
    <row r="70" spans="2:24">
      <c r="B70" t="s">
        <v>616</v>
      </c>
      <c r="C70" s="537">
        <v>-496519</v>
      </c>
      <c r="D70" s="537">
        <v>-496519</v>
      </c>
      <c r="E70" s="537">
        <v>-454649</v>
      </c>
      <c r="F70" s="537">
        <v>-454649</v>
      </c>
      <c r="G70" s="537">
        <v>-453167</v>
      </c>
      <c r="H70" s="537">
        <v>-482315</v>
      </c>
      <c r="R70" t="s">
        <v>5</v>
      </c>
      <c r="S70">
        <v>0.03</v>
      </c>
      <c r="T70">
        <v>0</v>
      </c>
      <c r="U70">
        <v>0</v>
      </c>
      <c r="V70">
        <v>0.03</v>
      </c>
      <c r="W70">
        <v>0.03</v>
      </c>
      <c r="X70">
        <v>0.01</v>
      </c>
    </row>
    <row r="71" spans="2:24">
      <c r="B71" t="s">
        <v>617</v>
      </c>
      <c r="C71" s="537">
        <v>-157093</v>
      </c>
      <c r="D71" s="537">
        <v>-157093</v>
      </c>
      <c r="E71" s="537">
        <v>-137142</v>
      </c>
      <c r="F71" s="537">
        <v>-137142</v>
      </c>
      <c r="G71" s="537">
        <v>-168819</v>
      </c>
      <c r="H71" s="537">
        <v>-127837</v>
      </c>
      <c r="R71" t="s">
        <v>4</v>
      </c>
      <c r="S71">
        <v>17.5</v>
      </c>
      <c r="T71">
        <v>16.8</v>
      </c>
      <c r="U71">
        <v>18.2</v>
      </c>
      <c r="V71">
        <v>15.1</v>
      </c>
      <c r="W71">
        <v>9.85</v>
      </c>
      <c r="X71">
        <v>8.1999999999999993</v>
      </c>
    </row>
    <row r="72" spans="2:24">
      <c r="B72" t="s">
        <v>618</v>
      </c>
      <c r="C72" s="537">
        <v>-86661</v>
      </c>
      <c r="D72" s="537">
        <v>-86661</v>
      </c>
      <c r="E72" s="537">
        <v>-113695</v>
      </c>
      <c r="F72" s="537">
        <v>-113695</v>
      </c>
      <c r="G72" s="537">
        <v>-92064</v>
      </c>
      <c r="H72" s="537">
        <v>-79676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8BB6C-FDFC-48E7-851B-347F815E3D49}">
  <sheetPr>
    <tabColor rgb="FF4472C4"/>
  </sheetPr>
  <dimension ref="A1:K149"/>
  <sheetViews>
    <sheetView zoomScale="113" zoomScaleNormal="400" workbookViewId="0">
      <pane ySplit="4" topLeftCell="A5" activePane="bottomLeft" state="frozen"/>
      <selection activeCell="G1" sqref="G1"/>
      <selection pane="bottomLeft" sqref="A1:XFD7"/>
    </sheetView>
  </sheetViews>
  <sheetFormatPr defaultColWidth="9.140625" defaultRowHeight="12.75"/>
  <cols>
    <col min="1" max="1" width="44.140625" style="1" customWidth="1"/>
    <col min="2" max="2" width="14.42578125" style="1" customWidth="1"/>
    <col min="3" max="3" width="10.7109375" style="1" customWidth="1"/>
    <col min="4" max="4" width="11.140625" style="1" bestFit="1" customWidth="1"/>
    <col min="5" max="7" width="12.85546875" style="1" bestFit="1" customWidth="1"/>
    <col min="8" max="8" width="8.7109375" style="1" bestFit="1" customWidth="1"/>
    <col min="9" max="10" width="9.140625" style="1"/>
    <col min="11" max="11" width="10.28515625" style="1" bestFit="1" customWidth="1"/>
    <col min="12" max="13" width="9.140625" style="1"/>
    <col min="14" max="14" width="10.28515625" style="1" bestFit="1" customWidth="1"/>
    <col min="15" max="16" width="9.140625" style="1"/>
    <col min="17" max="21" width="10.5703125" style="1" bestFit="1" customWidth="1"/>
    <col min="22" max="23" width="9.140625" style="1"/>
    <col min="24" max="24" width="41.7109375" style="1" bestFit="1" customWidth="1"/>
    <col min="25" max="26" width="14" style="1" bestFit="1" customWidth="1"/>
    <col min="27" max="16384" width="9.140625" style="1"/>
  </cols>
  <sheetData>
    <row r="1" spans="1:9">
      <c r="A1" s="30"/>
      <c r="B1" s="30"/>
      <c r="C1" s="30"/>
      <c r="D1" s="30"/>
      <c r="E1" s="30"/>
      <c r="F1" s="30"/>
      <c r="G1" s="30"/>
    </row>
    <row r="2" spans="1:9">
      <c r="A2" s="26" t="s">
        <v>133</v>
      </c>
      <c r="B2" s="29" t="s">
        <v>132</v>
      </c>
      <c r="C2" s="28"/>
      <c r="D2" s="28"/>
      <c r="E2" s="28"/>
      <c r="F2" s="28"/>
      <c r="G2" s="27"/>
    </row>
    <row r="3" spans="1:9">
      <c r="A3" s="26" t="s">
        <v>131</v>
      </c>
      <c r="B3" s="29" t="s">
        <v>130</v>
      </c>
      <c r="C3" s="28"/>
      <c r="D3" s="28"/>
      <c r="E3" s="28"/>
      <c r="F3" s="28"/>
      <c r="G3" s="27"/>
    </row>
    <row r="4" spans="1:9">
      <c r="A4" s="26" t="s">
        <v>129</v>
      </c>
      <c r="B4" s="25">
        <v>2019</v>
      </c>
      <c r="C4" s="25">
        <v>2020</v>
      </c>
      <c r="D4" s="25">
        <v>2021</v>
      </c>
      <c r="E4" s="25">
        <v>2022</v>
      </c>
      <c r="F4" s="25">
        <v>2023</v>
      </c>
      <c r="G4" s="25">
        <v>2024</v>
      </c>
    </row>
    <row r="5" spans="1:9">
      <c r="B5" s="6"/>
      <c r="C5" s="6"/>
      <c r="D5" s="6"/>
      <c r="G5" s="993"/>
    </row>
    <row r="6" spans="1:9">
      <c r="A6" s="12"/>
      <c r="B6" s="5"/>
      <c r="C6" s="5"/>
      <c r="D6" s="5"/>
      <c r="E6" s="4"/>
      <c r="F6" s="4"/>
      <c r="G6" s="4"/>
    </row>
    <row r="7" spans="1:9">
      <c r="A7" s="12" t="s">
        <v>128</v>
      </c>
      <c r="B7" s="5"/>
      <c r="C7" s="5"/>
      <c r="D7" s="5"/>
      <c r="E7" s="4"/>
      <c r="F7" s="4"/>
      <c r="G7" s="4"/>
      <c r="I7" s="12"/>
    </row>
    <row r="8" spans="1:9">
      <c r="A8" s="14" t="s">
        <v>127</v>
      </c>
      <c r="B8" s="5"/>
      <c r="C8" s="5"/>
      <c r="D8" s="5"/>
      <c r="E8" s="4"/>
      <c r="F8" s="4"/>
      <c r="G8" s="4"/>
    </row>
    <row r="9" spans="1:9">
      <c r="A9" s="1" t="s">
        <v>126</v>
      </c>
      <c r="B9" s="86">
        <v>222332</v>
      </c>
      <c r="C9" s="86">
        <v>327880</v>
      </c>
      <c r="D9" s="86">
        <v>511796</v>
      </c>
      <c r="E9" s="87">
        <v>391354</v>
      </c>
      <c r="F9" s="87">
        <v>268988</v>
      </c>
      <c r="G9" s="87">
        <v>238194</v>
      </c>
    </row>
    <row r="10" spans="1:9">
      <c r="A10" s="1" t="s">
        <v>125</v>
      </c>
      <c r="B10" s="86"/>
      <c r="C10" s="86"/>
      <c r="D10" s="86"/>
      <c r="E10" s="87"/>
      <c r="F10" s="87"/>
      <c r="G10" s="87"/>
    </row>
    <row r="11" spans="1:9">
      <c r="A11" s="1" t="s">
        <v>124</v>
      </c>
      <c r="B11" s="86">
        <v>147202</v>
      </c>
      <c r="C11" s="86">
        <v>113909</v>
      </c>
      <c r="D11" s="86">
        <v>112670</v>
      </c>
      <c r="E11" s="87">
        <v>94490</v>
      </c>
      <c r="F11" s="87">
        <v>106821</v>
      </c>
      <c r="G11" s="87">
        <v>84580</v>
      </c>
    </row>
    <row r="12" spans="1:9">
      <c r="A12" s="1" t="s">
        <v>123</v>
      </c>
      <c r="B12" s="86">
        <v>389531</v>
      </c>
      <c r="C12" s="86">
        <v>341636</v>
      </c>
      <c r="D12" s="86">
        <v>274566</v>
      </c>
      <c r="E12" s="87">
        <v>275323</v>
      </c>
      <c r="F12" s="87">
        <v>298345</v>
      </c>
      <c r="G12" s="87">
        <v>307888</v>
      </c>
    </row>
    <row r="13" spans="1:9">
      <c r="A13" s="1" t="s">
        <v>122</v>
      </c>
      <c r="B13" s="86">
        <v>32980</v>
      </c>
      <c r="C13" s="86">
        <v>35944</v>
      </c>
      <c r="D13" s="86">
        <v>32606</v>
      </c>
      <c r="E13" s="87">
        <v>41447</v>
      </c>
      <c r="F13" s="87">
        <v>37712</v>
      </c>
      <c r="G13" s="87">
        <v>46025</v>
      </c>
    </row>
    <row r="14" spans="1:9">
      <c r="A14" s="1" t="s">
        <v>121</v>
      </c>
      <c r="B14" s="88">
        <v>5473</v>
      </c>
      <c r="C14" s="88">
        <v>4545</v>
      </c>
      <c r="D14" s="88">
        <v>5224</v>
      </c>
      <c r="E14" s="85">
        <v>5703</v>
      </c>
      <c r="F14" s="87">
        <v>36812</v>
      </c>
      <c r="G14" s="87">
        <v>50721</v>
      </c>
    </row>
    <row r="15" spans="1:9">
      <c r="A15" s="1" t="s">
        <v>120</v>
      </c>
      <c r="B15" s="19">
        <v>20107</v>
      </c>
      <c r="C15" s="19">
        <v>15974</v>
      </c>
      <c r="D15" s="19">
        <v>27512</v>
      </c>
      <c r="E15" s="18">
        <v>30581</v>
      </c>
      <c r="F15" s="87">
        <v>34025</v>
      </c>
      <c r="G15" s="87">
        <v>25822</v>
      </c>
    </row>
    <row r="16" spans="1:9">
      <c r="A16" s="1" t="s">
        <v>119</v>
      </c>
      <c r="B16" s="17">
        <v>101</v>
      </c>
      <c r="C16" s="17">
        <v>566</v>
      </c>
      <c r="D16" s="17">
        <v>596</v>
      </c>
      <c r="E16" s="16">
        <v>10255</v>
      </c>
      <c r="F16" s="87">
        <v>6107</v>
      </c>
      <c r="G16" s="87">
        <v>5978</v>
      </c>
    </row>
    <row r="17" spans="1:11">
      <c r="A17" s="14" t="s">
        <v>118</v>
      </c>
      <c r="B17" s="13">
        <f t="shared" ref="B17:G17" si="0">SUM(B9:B16)</f>
        <v>817726</v>
      </c>
      <c r="C17" s="13">
        <f t="shared" si="0"/>
        <v>840454</v>
      </c>
      <c r="D17" s="13">
        <f t="shared" si="0"/>
        <v>964970</v>
      </c>
      <c r="E17" s="13">
        <f t="shared" si="0"/>
        <v>849153</v>
      </c>
      <c r="F17" s="13">
        <f t="shared" si="0"/>
        <v>788810</v>
      </c>
      <c r="G17" s="13">
        <f t="shared" si="0"/>
        <v>759208</v>
      </c>
    </row>
    <row r="18" spans="1:11">
      <c r="A18" s="1" t="s">
        <v>117</v>
      </c>
      <c r="B18" s="24">
        <v>16939</v>
      </c>
      <c r="C18" s="24">
        <v>15574</v>
      </c>
      <c r="D18" s="24">
        <v>15659</v>
      </c>
      <c r="E18" s="22">
        <v>15570</v>
      </c>
      <c r="F18" s="87">
        <v>37764</v>
      </c>
      <c r="G18" s="87">
        <v>32361</v>
      </c>
    </row>
    <row r="19" spans="1:11">
      <c r="A19" s="1" t="s">
        <v>116</v>
      </c>
      <c r="B19" s="86">
        <v>39091</v>
      </c>
      <c r="C19" s="86">
        <v>31824</v>
      </c>
      <c r="D19" s="86">
        <v>30223</v>
      </c>
      <c r="E19" s="87">
        <v>27747</v>
      </c>
      <c r="F19" s="87">
        <v>28500</v>
      </c>
      <c r="G19" s="87">
        <v>22489</v>
      </c>
    </row>
    <row r="20" spans="1:11">
      <c r="A20" s="1" t="s">
        <v>115</v>
      </c>
      <c r="B20" s="86">
        <v>251805</v>
      </c>
      <c r="C20" s="86">
        <v>183121</v>
      </c>
      <c r="D20" s="86">
        <v>336315</v>
      </c>
      <c r="E20" s="87">
        <v>341750</v>
      </c>
      <c r="F20" s="87">
        <v>400000</v>
      </c>
      <c r="G20" s="87">
        <v>420000</v>
      </c>
    </row>
    <row r="21" spans="1:11">
      <c r="A21" s="1" t="s">
        <v>114</v>
      </c>
      <c r="B21" s="86">
        <v>0</v>
      </c>
      <c r="C21" s="86">
        <v>0</v>
      </c>
      <c r="D21" s="86">
        <v>-149461</v>
      </c>
      <c r="E21" s="87">
        <v>-150186</v>
      </c>
      <c r="F21" s="87">
        <v>-176646</v>
      </c>
      <c r="G21" s="87">
        <v>-208000</v>
      </c>
      <c r="I21" s="23"/>
    </row>
    <row r="22" spans="1:11">
      <c r="A22" s="1" t="s">
        <v>113</v>
      </c>
      <c r="B22" s="86">
        <v>96736</v>
      </c>
      <c r="C22" s="86">
        <v>119656</v>
      </c>
      <c r="D22" s="86">
        <v>105468</v>
      </c>
      <c r="E22" s="87">
        <v>109090</v>
      </c>
      <c r="F22" s="87">
        <v>122349</v>
      </c>
      <c r="G22" s="87">
        <v>145142</v>
      </c>
    </row>
    <row r="23" spans="1:11">
      <c r="A23" s="1" t="s">
        <v>112</v>
      </c>
      <c r="B23" s="86">
        <v>708399</v>
      </c>
      <c r="C23" s="86">
        <v>477661</v>
      </c>
      <c r="D23" s="86">
        <v>505779</v>
      </c>
      <c r="E23" s="87">
        <v>485584</v>
      </c>
      <c r="F23" s="87">
        <v>639278</v>
      </c>
      <c r="G23" s="87">
        <v>535090</v>
      </c>
    </row>
    <row r="24" spans="1:11">
      <c r="A24" s="1" t="s">
        <v>111</v>
      </c>
      <c r="B24" s="88">
        <v>42484</v>
      </c>
      <c r="C24" s="88">
        <v>38891</v>
      </c>
      <c r="D24" s="88">
        <v>33423</v>
      </c>
      <c r="E24" s="85">
        <v>34903</v>
      </c>
      <c r="F24" s="87">
        <v>36872</v>
      </c>
      <c r="G24" s="87">
        <v>31872</v>
      </c>
    </row>
    <row r="25" spans="1:11">
      <c r="A25" s="1" t="s">
        <v>110</v>
      </c>
      <c r="B25" s="88" t="s">
        <v>109</v>
      </c>
      <c r="C25" s="88">
        <v>6679</v>
      </c>
      <c r="D25" s="88">
        <v>6679</v>
      </c>
      <c r="E25" s="85">
        <v>6679</v>
      </c>
      <c r="F25" s="87">
        <v>6679</v>
      </c>
      <c r="G25" s="87">
        <v>6679</v>
      </c>
    </row>
    <row r="26" spans="1:11">
      <c r="A26" s="14" t="s">
        <v>108</v>
      </c>
      <c r="B26" s="13">
        <f t="shared" ref="B26:G26" si="1">SUM(B17:B25)</f>
        <v>1973180</v>
      </c>
      <c r="C26" s="13">
        <f t="shared" si="1"/>
        <v>1713860</v>
      </c>
      <c r="D26" s="13">
        <f t="shared" si="1"/>
        <v>1849055</v>
      </c>
      <c r="E26" s="13">
        <f t="shared" si="1"/>
        <v>1720290</v>
      </c>
      <c r="F26" s="13">
        <f t="shared" si="1"/>
        <v>1883606</v>
      </c>
      <c r="G26" s="13">
        <f t="shared" si="1"/>
        <v>1744841</v>
      </c>
    </row>
    <row r="27" spans="1:11" s="20" customFormat="1">
      <c r="A27" s="12"/>
      <c r="B27" s="21"/>
      <c r="C27" s="21"/>
      <c r="D27" s="21"/>
      <c r="I27" s="1"/>
      <c r="J27" s="1"/>
      <c r="K27" s="1"/>
    </row>
    <row r="28" spans="1:11" s="20" customFormat="1">
      <c r="A28" s="14" t="s">
        <v>107</v>
      </c>
      <c r="B28" s="13"/>
      <c r="C28" s="13"/>
      <c r="D28" s="13"/>
      <c r="E28" s="13"/>
      <c r="F28" s="13"/>
      <c r="G28" s="13"/>
      <c r="I28" s="1"/>
      <c r="J28" s="1"/>
      <c r="K28" s="1"/>
    </row>
    <row r="29" spans="1:11">
      <c r="A29" s="1" t="s">
        <v>106</v>
      </c>
      <c r="B29" s="88">
        <v>198934</v>
      </c>
      <c r="C29" s="88">
        <v>136399</v>
      </c>
      <c r="D29" s="88">
        <v>183792</v>
      </c>
      <c r="E29" s="85">
        <v>174016</v>
      </c>
      <c r="F29" s="85">
        <v>23928</v>
      </c>
      <c r="G29" s="85">
        <v>22514</v>
      </c>
    </row>
    <row r="30" spans="1:11">
      <c r="A30" s="1" t="s">
        <v>105</v>
      </c>
      <c r="B30" s="88">
        <v>8720</v>
      </c>
      <c r="C30" s="88">
        <v>9139</v>
      </c>
      <c r="D30" s="88">
        <v>9310</v>
      </c>
      <c r="E30" s="85">
        <v>10100</v>
      </c>
      <c r="F30" s="85">
        <v>6954</v>
      </c>
      <c r="G30" s="85">
        <v>6026</v>
      </c>
    </row>
    <row r="31" spans="1:11">
      <c r="A31" s="1" t="s">
        <v>104</v>
      </c>
      <c r="B31" s="88">
        <v>48060</v>
      </c>
      <c r="C31" s="88">
        <v>56698</v>
      </c>
      <c r="D31" s="88">
        <v>75604</v>
      </c>
      <c r="E31" s="85">
        <v>29264</v>
      </c>
      <c r="F31" s="85">
        <v>16223</v>
      </c>
      <c r="G31" s="85">
        <v>14723</v>
      </c>
    </row>
    <row r="32" spans="1:11">
      <c r="A32" s="1" t="s">
        <v>103</v>
      </c>
      <c r="B32" s="88">
        <v>117062</v>
      </c>
      <c r="C32" s="88">
        <v>103509</v>
      </c>
      <c r="D32" s="88">
        <v>110012</v>
      </c>
      <c r="E32" s="85">
        <v>106586</v>
      </c>
      <c r="F32" s="85">
        <v>596603</v>
      </c>
      <c r="G32" s="85">
        <v>552344</v>
      </c>
    </row>
    <row r="33" spans="1:7">
      <c r="A33" s="1" t="s">
        <v>102</v>
      </c>
      <c r="B33" s="88"/>
      <c r="C33" s="88"/>
      <c r="D33" s="88"/>
      <c r="E33" s="85"/>
      <c r="F33" s="85"/>
      <c r="G33" s="85"/>
    </row>
    <row r="34" spans="1:7">
      <c r="A34" s="1" t="s">
        <v>101</v>
      </c>
      <c r="B34" s="17">
        <v>26491</v>
      </c>
      <c r="C34" s="17">
        <v>25974</v>
      </c>
      <c r="D34" s="17">
        <v>25732</v>
      </c>
      <c r="E34" s="16">
        <v>25216</v>
      </c>
      <c r="F34" s="85">
        <v>114439</v>
      </c>
      <c r="G34" s="85">
        <v>124002</v>
      </c>
    </row>
    <row r="35" spans="1:7">
      <c r="A35" s="1" t="s">
        <v>100</v>
      </c>
      <c r="B35" s="19">
        <v>54317</v>
      </c>
      <c r="C35" s="19">
        <v>29362</v>
      </c>
      <c r="D35" s="19">
        <v>58929</v>
      </c>
      <c r="E35" s="18">
        <v>77835</v>
      </c>
      <c r="F35" s="85">
        <v>48806</v>
      </c>
      <c r="G35" s="85">
        <v>44151</v>
      </c>
    </row>
    <row r="36" spans="1:7">
      <c r="A36" s="1" t="s">
        <v>99</v>
      </c>
      <c r="B36" s="17">
        <v>2477</v>
      </c>
      <c r="C36" s="17">
        <v>3703</v>
      </c>
      <c r="D36" s="17">
        <v>513</v>
      </c>
      <c r="E36" s="16">
        <v>1096</v>
      </c>
      <c r="F36" s="85">
        <v>296984</v>
      </c>
      <c r="G36" s="85">
        <v>311318</v>
      </c>
    </row>
    <row r="37" spans="1:7">
      <c r="A37" s="14" t="s">
        <v>98</v>
      </c>
      <c r="B37" s="13">
        <f t="shared" ref="B37:G37" si="2">SUM(B29:B36)</f>
        <v>456061</v>
      </c>
      <c r="C37" s="13">
        <f t="shared" si="2"/>
        <v>364784</v>
      </c>
      <c r="D37" s="13">
        <f t="shared" si="2"/>
        <v>463892</v>
      </c>
      <c r="E37" s="13">
        <f t="shared" si="2"/>
        <v>424113</v>
      </c>
      <c r="F37" s="13">
        <f t="shared" si="2"/>
        <v>1103937</v>
      </c>
      <c r="G37" s="13">
        <f t="shared" si="2"/>
        <v>1075078</v>
      </c>
    </row>
    <row r="38" spans="1:7">
      <c r="A38" s="1" t="s">
        <v>97</v>
      </c>
      <c r="B38" s="88">
        <v>129302</v>
      </c>
      <c r="C38" s="88">
        <v>129302</v>
      </c>
      <c r="D38" s="88">
        <v>63516</v>
      </c>
      <c r="E38" s="85">
        <v>0</v>
      </c>
      <c r="F38" s="85">
        <v>0</v>
      </c>
      <c r="G38" s="85">
        <v>0</v>
      </c>
    </row>
    <row r="39" spans="1:7">
      <c r="A39" s="1" t="s">
        <v>96</v>
      </c>
      <c r="B39" s="88">
        <v>559267</v>
      </c>
      <c r="C39" s="88">
        <v>464400</v>
      </c>
      <c r="D39" s="88">
        <v>487230</v>
      </c>
      <c r="E39" s="85">
        <v>468737</v>
      </c>
      <c r="F39" s="85">
        <v>6589</v>
      </c>
      <c r="G39" s="85">
        <v>3404</v>
      </c>
    </row>
    <row r="40" spans="1:7">
      <c r="A40" s="1" t="s">
        <v>95</v>
      </c>
      <c r="B40" s="88">
        <v>5570</v>
      </c>
      <c r="C40" s="88">
        <v>6943</v>
      </c>
      <c r="D40" s="88">
        <v>3380</v>
      </c>
      <c r="E40" s="85">
        <v>6071</v>
      </c>
      <c r="F40" s="85">
        <v>6832</v>
      </c>
      <c r="G40" s="85">
        <v>5682</v>
      </c>
    </row>
    <row r="41" spans="1:7">
      <c r="A41" s="1" t="s">
        <v>94</v>
      </c>
      <c r="B41" s="88">
        <v>25814</v>
      </c>
      <c r="C41" s="88">
        <v>26868</v>
      </c>
      <c r="D41" s="88">
        <v>36188</v>
      </c>
      <c r="E41" s="85">
        <v>38379</v>
      </c>
      <c r="F41" s="85">
        <v>16223</v>
      </c>
      <c r="G41" s="85">
        <v>14723</v>
      </c>
    </row>
    <row r="42" spans="1:7">
      <c r="A42" s="1" t="s">
        <v>93</v>
      </c>
      <c r="B42" s="88">
        <v>11901</v>
      </c>
      <c r="C42" s="88">
        <v>11867</v>
      </c>
      <c r="D42" s="88">
        <v>8970</v>
      </c>
      <c r="E42" s="85">
        <v>7581</v>
      </c>
      <c r="F42" s="85">
        <v>23928</v>
      </c>
      <c r="G42" s="85">
        <v>22514</v>
      </c>
    </row>
    <row r="43" spans="1:7">
      <c r="A43" s="14" t="s">
        <v>92</v>
      </c>
      <c r="B43" s="13">
        <f t="shared" ref="B43:G43" si="3">SUM(B37:B42)</f>
        <v>1187915</v>
      </c>
      <c r="C43" s="13">
        <f t="shared" si="3"/>
        <v>1004164</v>
      </c>
      <c r="D43" s="13">
        <f t="shared" si="3"/>
        <v>1063176</v>
      </c>
      <c r="E43" s="13">
        <f t="shared" si="3"/>
        <v>944881</v>
      </c>
      <c r="F43" s="13">
        <f t="shared" si="3"/>
        <v>1157509</v>
      </c>
      <c r="G43" s="13">
        <f t="shared" si="3"/>
        <v>1121401</v>
      </c>
    </row>
    <row r="44" spans="1:7">
      <c r="B44" s="88"/>
      <c r="C44" s="88"/>
      <c r="D44" s="88"/>
      <c r="E44" s="90"/>
      <c r="F44" s="90"/>
      <c r="G44" s="90"/>
    </row>
    <row r="45" spans="1:7">
      <c r="A45" s="1" t="s">
        <v>91</v>
      </c>
      <c r="B45" s="88"/>
      <c r="C45" s="88"/>
      <c r="D45" s="88"/>
      <c r="E45" s="85"/>
      <c r="F45" s="85"/>
      <c r="G45" s="85"/>
    </row>
    <row r="46" spans="1:7">
      <c r="A46" s="1" t="s">
        <v>90</v>
      </c>
      <c r="B46" s="88">
        <v>16879</v>
      </c>
      <c r="C46" s="88">
        <v>16879</v>
      </c>
      <c r="D46" s="88">
        <v>16879</v>
      </c>
      <c r="E46" s="85">
        <v>16879</v>
      </c>
      <c r="F46" s="85">
        <v>16879</v>
      </c>
      <c r="G46" s="85">
        <v>16879</v>
      </c>
    </row>
    <row r="47" spans="1:7">
      <c r="A47" s="1" t="s">
        <v>89</v>
      </c>
      <c r="B47" s="88">
        <v>659487</v>
      </c>
      <c r="C47" s="88">
        <v>743100</v>
      </c>
      <c r="D47" s="88">
        <v>668787</v>
      </c>
      <c r="E47" s="85">
        <v>665322</v>
      </c>
      <c r="F47" s="85">
        <v>704287</v>
      </c>
      <c r="G47" s="85">
        <v>602212</v>
      </c>
    </row>
    <row r="48" spans="1:7">
      <c r="A48" s="1" t="s">
        <v>88</v>
      </c>
      <c r="B48" s="88">
        <v>87281</v>
      </c>
      <c r="C48" s="88">
        <v>-66397</v>
      </c>
      <c r="D48" s="88">
        <v>78647</v>
      </c>
      <c r="E48" s="85">
        <v>69609</v>
      </c>
      <c r="F48" s="85">
        <v>3934</v>
      </c>
      <c r="G48" s="85">
        <v>3354</v>
      </c>
    </row>
    <row r="49" spans="1:9">
      <c r="A49" s="1" t="s">
        <v>87</v>
      </c>
      <c r="B49" s="88"/>
      <c r="C49" s="88"/>
      <c r="D49" s="86"/>
      <c r="E49" s="85"/>
      <c r="F49" s="85"/>
      <c r="G49" s="85"/>
    </row>
    <row r="50" spans="1:9">
      <c r="A50" s="14" t="s">
        <v>86</v>
      </c>
      <c r="B50" s="13">
        <f t="shared" ref="B50:G50" si="4">SUM(B46:B49)</f>
        <v>763647</v>
      </c>
      <c r="C50" s="13">
        <f t="shared" si="4"/>
        <v>693582</v>
      </c>
      <c r="D50" s="13">
        <f t="shared" si="4"/>
        <v>764313</v>
      </c>
      <c r="E50" s="13">
        <f t="shared" si="4"/>
        <v>751810</v>
      </c>
      <c r="F50" s="13">
        <f t="shared" si="4"/>
        <v>725100</v>
      </c>
      <c r="G50" s="13">
        <f t="shared" si="4"/>
        <v>622445</v>
      </c>
    </row>
    <row r="51" spans="1:9">
      <c r="A51" s="1" t="s">
        <v>85</v>
      </c>
      <c r="B51" s="88">
        <v>21618</v>
      </c>
      <c r="C51" s="88">
        <v>16114</v>
      </c>
      <c r="D51" s="88">
        <v>21566</v>
      </c>
      <c r="E51" s="85">
        <v>23599</v>
      </c>
      <c r="F51" s="85">
        <v>997</v>
      </c>
      <c r="G51" s="85">
        <v>995</v>
      </c>
    </row>
    <row r="52" spans="1:9">
      <c r="A52" s="14" t="s">
        <v>84</v>
      </c>
      <c r="B52" s="13">
        <f t="shared" ref="B52:G52" si="5">B45+B50+B51</f>
        <v>785265</v>
      </c>
      <c r="C52" s="13">
        <f t="shared" si="5"/>
        <v>709696</v>
      </c>
      <c r="D52" s="13">
        <f t="shared" si="5"/>
        <v>785879</v>
      </c>
      <c r="E52" s="13">
        <f t="shared" si="5"/>
        <v>775409</v>
      </c>
      <c r="F52" s="13">
        <f t="shared" si="5"/>
        <v>726097</v>
      </c>
      <c r="G52" s="13">
        <f t="shared" si="5"/>
        <v>623440</v>
      </c>
    </row>
    <row r="53" spans="1:9">
      <c r="A53" s="14" t="s">
        <v>83</v>
      </c>
      <c r="B53" s="13">
        <f t="shared" ref="B53:E53" si="6">B43+B52</f>
        <v>1973180</v>
      </c>
      <c r="C53" s="13">
        <f t="shared" si="6"/>
        <v>1713860</v>
      </c>
      <c r="D53" s="13">
        <f t="shared" si="6"/>
        <v>1849055</v>
      </c>
      <c r="E53" s="13">
        <f t="shared" si="6"/>
        <v>1720290</v>
      </c>
      <c r="F53" s="13">
        <f>F43+F52</f>
        <v>1883606</v>
      </c>
      <c r="G53" s="13">
        <f>G43+G52</f>
        <v>1744841</v>
      </c>
    </row>
    <row r="54" spans="1:9">
      <c r="B54" s="5"/>
      <c r="C54" s="5"/>
      <c r="D54" s="5"/>
      <c r="E54" s="4"/>
      <c r="F54" s="4"/>
      <c r="G54" s="4"/>
    </row>
    <row r="55" spans="1:9">
      <c r="B55" s="5"/>
      <c r="C55" s="5"/>
      <c r="D55" s="5"/>
      <c r="E55" s="4"/>
      <c r="F55" s="4"/>
      <c r="G55" s="4"/>
      <c r="H55" s="89"/>
    </row>
    <row r="56" spans="1:9">
      <c r="A56" s="12" t="s">
        <v>82</v>
      </c>
      <c r="B56" s="11">
        <f t="shared" ref="B56:G56" si="7">B4</f>
        <v>2019</v>
      </c>
      <c r="C56" s="11">
        <f t="shared" si="7"/>
        <v>2020</v>
      </c>
      <c r="D56" s="11">
        <f t="shared" si="7"/>
        <v>2021</v>
      </c>
      <c r="E56" s="10">
        <f t="shared" si="7"/>
        <v>2022</v>
      </c>
      <c r="F56" s="10">
        <f t="shared" si="7"/>
        <v>2023</v>
      </c>
      <c r="G56" s="10">
        <f t="shared" si="7"/>
        <v>2024</v>
      </c>
      <c r="I56" s="12"/>
    </row>
    <row r="57" spans="1:9">
      <c r="A57" s="12"/>
      <c r="B57" s="5"/>
      <c r="C57" s="5"/>
      <c r="D57" s="5"/>
      <c r="E57" s="4"/>
      <c r="F57" s="4"/>
      <c r="G57" s="4"/>
    </row>
    <row r="58" spans="1:9">
      <c r="A58" s="1" t="s">
        <v>81</v>
      </c>
      <c r="B58" s="88">
        <v>1377261</v>
      </c>
      <c r="C58" s="88">
        <v>915825</v>
      </c>
      <c r="D58" s="88">
        <v>1135520</v>
      </c>
      <c r="E58" s="85">
        <v>1251808</v>
      </c>
      <c r="F58" s="85">
        <v>1156271</v>
      </c>
      <c r="G58" s="85">
        <v>1035106</v>
      </c>
      <c r="H58" s="15"/>
    </row>
    <row r="59" spans="1:9">
      <c r="A59" s="1" t="s">
        <v>80</v>
      </c>
      <c r="B59" s="88">
        <v>-483767</v>
      </c>
      <c r="C59" s="88">
        <v>-350284</v>
      </c>
      <c r="D59" s="88">
        <v>-354576</v>
      </c>
      <c r="E59" s="85">
        <v>-350693</v>
      </c>
      <c r="F59" s="85">
        <v>-316839</v>
      </c>
      <c r="G59" s="85">
        <v>-295098</v>
      </c>
    </row>
    <row r="60" spans="1:9">
      <c r="A60" s="14" t="s">
        <v>79</v>
      </c>
      <c r="B60" s="13">
        <f t="shared" ref="B60:G60" si="8">B58+B59</f>
        <v>893494</v>
      </c>
      <c r="C60" s="13">
        <f t="shared" si="8"/>
        <v>565541</v>
      </c>
      <c r="D60" s="13">
        <f t="shared" si="8"/>
        <v>780944</v>
      </c>
      <c r="E60" s="13">
        <f t="shared" si="8"/>
        <v>901115</v>
      </c>
      <c r="F60" s="13">
        <f t="shared" si="8"/>
        <v>839432</v>
      </c>
      <c r="G60" s="13">
        <f t="shared" si="8"/>
        <v>740008</v>
      </c>
    </row>
    <row r="61" spans="1:9">
      <c r="A61" s="1" t="s">
        <v>78</v>
      </c>
      <c r="B61" s="88">
        <v>-482315</v>
      </c>
      <c r="C61" s="88">
        <v>-414906</v>
      </c>
      <c r="D61" s="88">
        <v>-407844</v>
      </c>
      <c r="E61" s="85">
        <v>-311353</v>
      </c>
      <c r="F61" s="85">
        <v>-274860</v>
      </c>
      <c r="G61" s="85">
        <v>-232300</v>
      </c>
    </row>
    <row r="62" spans="1:9">
      <c r="A62" s="1" t="s">
        <v>77</v>
      </c>
      <c r="B62" s="88">
        <v>-127837</v>
      </c>
      <c r="C62" s="88">
        <v>-122154</v>
      </c>
      <c r="D62" s="88">
        <v>-126304</v>
      </c>
      <c r="E62" s="85">
        <v>-168819</v>
      </c>
      <c r="F62" s="85">
        <v>-137142</v>
      </c>
      <c r="G62" s="85">
        <v>-157093</v>
      </c>
    </row>
    <row r="63" spans="1:9">
      <c r="A63" s="1" t="s">
        <v>76</v>
      </c>
      <c r="B63" s="88"/>
      <c r="C63" s="88"/>
      <c r="D63" s="88"/>
      <c r="E63" s="85">
        <v>-170962</v>
      </c>
      <c r="F63" s="85">
        <v>-179789</v>
      </c>
      <c r="G63" s="85">
        <v>-264219</v>
      </c>
    </row>
    <row r="64" spans="1:9">
      <c r="A64" s="1" t="s">
        <v>75</v>
      </c>
      <c r="B64" s="88">
        <v>-50292</v>
      </c>
      <c r="C64" s="88">
        <v>-35868</v>
      </c>
      <c r="D64" s="88">
        <v>-40908</v>
      </c>
      <c r="E64" s="85">
        <v>-49263</v>
      </c>
      <c r="F64" s="85">
        <v>-53086</v>
      </c>
      <c r="G64" s="85">
        <v>-47038</v>
      </c>
    </row>
    <row r="65" spans="1:7">
      <c r="A65" s="1" t="s">
        <v>74</v>
      </c>
      <c r="B65" s="88">
        <v>-79676</v>
      </c>
      <c r="C65" s="88">
        <v>-54246</v>
      </c>
      <c r="D65" s="88">
        <v>-66379</v>
      </c>
      <c r="E65" s="85">
        <v>-92064</v>
      </c>
      <c r="F65" s="85">
        <v>-113695</v>
      </c>
      <c r="G65" s="85">
        <v>-86661</v>
      </c>
    </row>
    <row r="66" spans="1:7">
      <c r="A66" s="1" t="s">
        <v>73</v>
      </c>
      <c r="B66" s="88">
        <v>-24467</v>
      </c>
      <c r="C66" s="88">
        <v>-23264</v>
      </c>
      <c r="D66" s="88">
        <v>-22714</v>
      </c>
      <c r="E66" s="85">
        <v>-29024</v>
      </c>
      <c r="F66" s="85">
        <v>-29721</v>
      </c>
      <c r="G66" s="85">
        <v>-25703</v>
      </c>
    </row>
    <row r="67" spans="1:7">
      <c r="A67" s="1" t="s">
        <v>72</v>
      </c>
      <c r="B67" s="88"/>
      <c r="C67" s="88"/>
      <c r="D67" s="88"/>
      <c r="E67" s="85"/>
      <c r="F67" s="85"/>
      <c r="G67" s="85"/>
    </row>
    <row r="68" spans="1:7">
      <c r="A68" s="1" t="s">
        <v>71</v>
      </c>
      <c r="B68" s="88">
        <v>20791</v>
      </c>
      <c r="C68" s="88">
        <v>23356</v>
      </c>
      <c r="D68" s="88">
        <v>26685</v>
      </c>
      <c r="E68" s="85">
        <v>48308</v>
      </c>
      <c r="F68" s="85">
        <v>20883</v>
      </c>
      <c r="G68" s="85">
        <v>24005</v>
      </c>
    </row>
    <row r="69" spans="1:7">
      <c r="A69" s="14" t="s">
        <v>70</v>
      </c>
      <c r="B69" s="13">
        <f t="shared" ref="B69:G69" si="9">SUM(B60:B68)</f>
        <v>149698</v>
      </c>
      <c r="C69" s="13">
        <f t="shared" si="9"/>
        <v>-61541</v>
      </c>
      <c r="D69" s="13">
        <f t="shared" si="9"/>
        <v>143480</v>
      </c>
      <c r="E69" s="91">
        <f t="shared" si="9"/>
        <v>127938</v>
      </c>
      <c r="F69" s="91">
        <f t="shared" si="9"/>
        <v>72022</v>
      </c>
      <c r="G69" s="91">
        <f t="shared" si="9"/>
        <v>-49001</v>
      </c>
    </row>
    <row r="70" spans="1:7">
      <c r="A70" s="1" t="s">
        <v>69</v>
      </c>
      <c r="B70" s="88">
        <v>31877</v>
      </c>
      <c r="C70" s="88">
        <v>62257</v>
      </c>
      <c r="D70" s="88">
        <v>29652</v>
      </c>
      <c r="E70" s="85">
        <v>51927</v>
      </c>
      <c r="F70" s="85">
        <v>42949</v>
      </c>
      <c r="G70" s="85">
        <v>38167</v>
      </c>
    </row>
    <row r="71" spans="1:7">
      <c r="A71" s="1" t="s">
        <v>68</v>
      </c>
      <c r="B71" s="88">
        <v>-64441</v>
      </c>
      <c r="C71" s="88">
        <v>-80541</v>
      </c>
      <c r="D71" s="88">
        <v>-50514</v>
      </c>
      <c r="E71" s="85">
        <v>-78703</v>
      </c>
      <c r="F71" s="85">
        <v>-69387</v>
      </c>
      <c r="G71" s="85">
        <v>-64743</v>
      </c>
    </row>
    <row r="72" spans="1:7">
      <c r="A72" s="1" t="s">
        <v>67</v>
      </c>
      <c r="B72" s="88"/>
      <c r="C72" s="88"/>
      <c r="D72" s="88"/>
      <c r="E72" s="85"/>
      <c r="F72" s="85"/>
      <c r="G72" s="85"/>
    </row>
    <row r="73" spans="1:7">
      <c r="A73" s="1" t="s">
        <v>66</v>
      </c>
      <c r="B73" s="88">
        <v>1</v>
      </c>
      <c r="C73" s="88"/>
      <c r="D73" s="88"/>
      <c r="E73" s="85"/>
      <c r="F73" s="85"/>
      <c r="G73" s="85"/>
    </row>
    <row r="74" spans="1:7">
      <c r="A74" s="14" t="s">
        <v>65</v>
      </c>
      <c r="B74" s="13">
        <f t="shared" ref="B74:G74" si="10">SUM(B69:B73)</f>
        <v>117135</v>
      </c>
      <c r="C74" s="13">
        <f t="shared" si="10"/>
        <v>-79825</v>
      </c>
      <c r="D74" s="13">
        <f t="shared" si="10"/>
        <v>122618</v>
      </c>
      <c r="E74" s="91">
        <f t="shared" si="10"/>
        <v>101162</v>
      </c>
      <c r="F74" s="91">
        <f t="shared" si="10"/>
        <v>45584</v>
      </c>
      <c r="G74" s="91">
        <f t="shared" si="10"/>
        <v>-75577</v>
      </c>
    </row>
    <row r="75" spans="1:7">
      <c r="A75" s="1" t="s">
        <v>64</v>
      </c>
      <c r="B75" s="88">
        <v>-29769</v>
      </c>
      <c r="C75" s="88">
        <v>8129</v>
      </c>
      <c r="D75" s="88">
        <v>-36289</v>
      </c>
      <c r="E75" s="85">
        <v>-35810</v>
      </c>
      <c r="F75" s="85">
        <v>-19349</v>
      </c>
      <c r="G75" s="85">
        <v>7508</v>
      </c>
    </row>
    <row r="76" spans="1:7">
      <c r="A76" s="1" t="s">
        <v>63</v>
      </c>
      <c r="B76" s="88"/>
      <c r="C76" s="88"/>
      <c r="D76" s="88">
        <v>-5192</v>
      </c>
      <c r="E76" s="85"/>
      <c r="F76" s="85"/>
      <c r="G76" s="85"/>
    </row>
    <row r="77" spans="1:7">
      <c r="A77" s="1" t="s">
        <v>62</v>
      </c>
      <c r="B77" s="88"/>
      <c r="C77" s="88"/>
      <c r="D77" s="88"/>
      <c r="E77" s="85"/>
      <c r="F77" s="85"/>
      <c r="G77" s="85"/>
    </row>
    <row r="78" spans="1:7">
      <c r="A78" s="1" t="s">
        <v>61</v>
      </c>
      <c r="B78" s="88"/>
      <c r="C78" s="88"/>
      <c r="D78" s="88"/>
      <c r="E78" s="85"/>
      <c r="F78" s="85"/>
      <c r="G78" s="85"/>
    </row>
    <row r="79" spans="1:7">
      <c r="A79" s="14" t="s">
        <v>60</v>
      </c>
      <c r="B79" s="13">
        <f t="shared" ref="B79:G79" si="11">SUM(B74:B78)</f>
        <v>87366</v>
      </c>
      <c r="C79" s="13">
        <f t="shared" si="11"/>
        <v>-71696</v>
      </c>
      <c r="D79" s="13">
        <f t="shared" si="11"/>
        <v>81137</v>
      </c>
      <c r="E79" s="13">
        <f t="shared" si="11"/>
        <v>65352</v>
      </c>
      <c r="F79" s="13">
        <f t="shared" si="11"/>
        <v>26235</v>
      </c>
      <c r="G79" s="13">
        <f t="shared" si="11"/>
        <v>-68069</v>
      </c>
    </row>
    <row r="80" spans="1:7">
      <c r="A80" s="1" t="s">
        <v>59</v>
      </c>
      <c r="B80" s="88">
        <v>84</v>
      </c>
      <c r="C80" s="88">
        <v>-5299</v>
      </c>
      <c r="D80" s="88">
        <v>2490</v>
      </c>
      <c r="E80" s="85">
        <v>-4257</v>
      </c>
      <c r="F80" s="85">
        <v>175</v>
      </c>
      <c r="G80" s="85">
        <v>18</v>
      </c>
    </row>
    <row r="81" spans="1:9">
      <c r="A81" s="14" t="s">
        <v>58</v>
      </c>
      <c r="B81" s="13">
        <f>B79+B80</f>
        <v>87450</v>
      </c>
      <c r="C81" s="13">
        <f>C79+C80</f>
        <v>-76995</v>
      </c>
      <c r="D81" s="13">
        <f>D79+D80</f>
        <v>83627</v>
      </c>
      <c r="E81" s="13">
        <f>E79-E80</f>
        <v>69609</v>
      </c>
      <c r="F81" s="13">
        <f>F79-F80</f>
        <v>26060</v>
      </c>
      <c r="G81" s="13">
        <f>G79-G80</f>
        <v>-68087</v>
      </c>
    </row>
    <row r="82" spans="1:9">
      <c r="A82" s="1" t="s">
        <v>57</v>
      </c>
      <c r="B82" s="88">
        <v>87450</v>
      </c>
      <c r="C82" s="88">
        <v>-76995</v>
      </c>
      <c r="D82" s="88">
        <v>83627</v>
      </c>
      <c r="E82" s="85">
        <v>69609</v>
      </c>
      <c r="F82" s="85">
        <v>26060</v>
      </c>
      <c r="G82" s="85">
        <v>-68087</v>
      </c>
    </row>
    <row r="83" spans="1:9">
      <c r="B83" s="88"/>
      <c r="C83" s="88"/>
      <c r="D83" s="88"/>
      <c r="E83" s="85"/>
      <c r="F83" s="85"/>
      <c r="G83" s="85"/>
    </row>
    <row r="84" spans="1:9">
      <c r="A84" s="1" t="s">
        <v>56</v>
      </c>
      <c r="B84" s="88">
        <v>-4346</v>
      </c>
      <c r="C84" s="88">
        <v>-6191</v>
      </c>
      <c r="D84" s="88">
        <v>7802</v>
      </c>
      <c r="E84" s="85">
        <v>18124</v>
      </c>
      <c r="F84" s="85">
        <v>1496</v>
      </c>
      <c r="G84" s="85">
        <v>-20037</v>
      </c>
    </row>
    <row r="85" spans="1:9">
      <c r="A85" s="14" t="s">
        <v>55</v>
      </c>
      <c r="B85" s="13">
        <f t="shared" ref="B85:G85" si="12">B79+B84</f>
        <v>83020</v>
      </c>
      <c r="C85" s="13">
        <f t="shared" si="12"/>
        <v>-77887</v>
      </c>
      <c r="D85" s="13">
        <f t="shared" si="12"/>
        <v>88939</v>
      </c>
      <c r="E85" s="13">
        <f t="shared" si="12"/>
        <v>83476</v>
      </c>
      <c r="F85" s="13">
        <f t="shared" si="12"/>
        <v>27731</v>
      </c>
      <c r="G85" s="13">
        <f t="shared" si="12"/>
        <v>-88106</v>
      </c>
    </row>
    <row r="86" spans="1:9">
      <c r="B86" s="5"/>
      <c r="C86" s="5"/>
      <c r="D86" s="5"/>
      <c r="E86" s="4"/>
      <c r="F86" s="4"/>
      <c r="G86" s="4"/>
    </row>
    <row r="87" spans="1:9">
      <c r="B87" s="5"/>
      <c r="C87" s="5"/>
      <c r="D87" s="5"/>
      <c r="E87" s="4"/>
      <c r="F87" s="4"/>
      <c r="G87" s="4"/>
    </row>
    <row r="88" spans="1:9">
      <c r="A88" s="12" t="s">
        <v>54</v>
      </c>
      <c r="B88" s="11">
        <f t="shared" ref="B88:G88" si="13">B4</f>
        <v>2019</v>
      </c>
      <c r="C88" s="11">
        <f t="shared" si="13"/>
        <v>2020</v>
      </c>
      <c r="D88" s="11">
        <f t="shared" si="13"/>
        <v>2021</v>
      </c>
      <c r="E88" s="10">
        <f t="shared" si="13"/>
        <v>2022</v>
      </c>
      <c r="F88" s="10">
        <f t="shared" si="13"/>
        <v>2023</v>
      </c>
      <c r="G88" s="10">
        <f t="shared" si="13"/>
        <v>2024</v>
      </c>
      <c r="I88" s="12"/>
    </row>
    <row r="89" spans="1:9">
      <c r="A89" s="12"/>
      <c r="B89" s="5"/>
      <c r="C89" s="5"/>
      <c r="D89" s="5"/>
      <c r="E89" s="4"/>
      <c r="F89" s="4"/>
      <c r="G89" s="4"/>
    </row>
    <row r="90" spans="1:9">
      <c r="A90" s="14" t="s">
        <v>53</v>
      </c>
      <c r="B90" s="13">
        <f t="shared" ref="B90:G90" si="14">B79</f>
        <v>87366</v>
      </c>
      <c r="C90" s="13">
        <f t="shared" si="14"/>
        <v>-71696</v>
      </c>
      <c r="D90" s="13">
        <f t="shared" si="14"/>
        <v>81137</v>
      </c>
      <c r="E90" s="13">
        <f t="shared" si="14"/>
        <v>65352</v>
      </c>
      <c r="F90" s="13">
        <f t="shared" si="14"/>
        <v>26235</v>
      </c>
      <c r="G90" s="13">
        <f t="shared" si="14"/>
        <v>-68069</v>
      </c>
    </row>
    <row r="91" spans="1:9">
      <c r="A91" s="1" t="s">
        <v>52</v>
      </c>
      <c r="B91" s="88">
        <v>185832</v>
      </c>
      <c r="C91" s="88">
        <v>221767</v>
      </c>
      <c r="D91" s="88">
        <v>163172</v>
      </c>
      <c r="E91" s="85">
        <v>170962</v>
      </c>
      <c r="F91" s="85">
        <v>179789</v>
      </c>
      <c r="G91" s="85">
        <v>264219</v>
      </c>
    </row>
    <row r="92" spans="1:9">
      <c r="A92" s="1" t="s">
        <v>51</v>
      </c>
      <c r="B92" s="88"/>
      <c r="C92" s="88"/>
      <c r="D92" s="88"/>
      <c r="E92" s="85"/>
      <c r="F92" s="85"/>
      <c r="G92" s="85"/>
    </row>
    <row r="93" spans="1:9">
      <c r="A93" s="1" t="s">
        <v>50</v>
      </c>
      <c r="B93" s="88">
        <v>29769</v>
      </c>
      <c r="C93" s="88">
        <v>-8129</v>
      </c>
      <c r="D93" s="88">
        <v>36289</v>
      </c>
      <c r="E93" s="85">
        <v>35810</v>
      </c>
      <c r="F93" s="85">
        <v>19349</v>
      </c>
      <c r="G93" s="85">
        <v>-7508</v>
      </c>
    </row>
    <row r="94" spans="1:9">
      <c r="A94" s="1" t="s">
        <v>49</v>
      </c>
      <c r="B94" s="88"/>
      <c r="C94" s="88"/>
      <c r="D94" s="88"/>
      <c r="E94" s="85"/>
      <c r="F94" s="85"/>
      <c r="G94" s="85"/>
    </row>
    <row r="95" spans="1:9">
      <c r="A95" s="1" t="s">
        <v>48</v>
      </c>
      <c r="B95" s="88">
        <v>2741</v>
      </c>
      <c r="C95" s="88">
        <v>25970</v>
      </c>
      <c r="D95" s="88">
        <v>9952</v>
      </c>
      <c r="E95" s="85">
        <v>20942</v>
      </c>
      <c r="F95" s="85">
        <v>-28068</v>
      </c>
      <c r="G95" s="85">
        <v>26220</v>
      </c>
    </row>
    <row r="96" spans="1:9">
      <c r="A96" s="1" t="s">
        <v>47</v>
      </c>
      <c r="B96" s="88">
        <v>-36923</v>
      </c>
      <c r="C96" s="88">
        <v>3269</v>
      </c>
      <c r="D96" s="88">
        <v>71618</v>
      </c>
      <c r="E96" s="85">
        <v>7122</v>
      </c>
      <c r="F96" s="85">
        <v>-29148</v>
      </c>
      <c r="G96" s="85">
        <v>-28068</v>
      </c>
    </row>
    <row r="97" spans="1:7">
      <c r="A97" s="1" t="s">
        <v>46</v>
      </c>
      <c r="B97" s="88"/>
      <c r="C97" s="88"/>
      <c r="D97" s="88"/>
      <c r="E97" s="85"/>
      <c r="F97" s="85"/>
      <c r="G97" s="85"/>
    </row>
    <row r="98" spans="1:7">
      <c r="A98" s="1" t="s">
        <v>45</v>
      </c>
      <c r="B98" s="88">
        <v>1142</v>
      </c>
      <c r="C98" s="88">
        <v>-8048</v>
      </c>
      <c r="D98" s="88">
        <v>2127</v>
      </c>
      <c r="E98" s="85">
        <v>4414</v>
      </c>
      <c r="F98" s="85">
        <v>29474</v>
      </c>
      <c r="G98" s="85">
        <v>-11266</v>
      </c>
    </row>
    <row r="99" spans="1:7">
      <c r="A99" s="1" t="s">
        <v>44</v>
      </c>
      <c r="B99" s="88"/>
      <c r="C99" s="88"/>
      <c r="D99" s="88"/>
      <c r="E99" s="85"/>
      <c r="F99" s="85"/>
      <c r="G99" s="85"/>
    </row>
    <row r="100" spans="1:7">
      <c r="A100" s="1" t="s">
        <v>43</v>
      </c>
      <c r="B100" s="88">
        <v>-7410</v>
      </c>
      <c r="C100" s="88">
        <v>-60249</v>
      </c>
      <c r="D100" s="88">
        <v>45228</v>
      </c>
      <c r="E100" s="85">
        <v>-10216</v>
      </c>
      <c r="F100" s="85">
        <v>1475</v>
      </c>
      <c r="G100" s="85">
        <v>-10022</v>
      </c>
    </row>
    <row r="101" spans="1:7">
      <c r="A101" s="1" t="s">
        <v>42</v>
      </c>
      <c r="B101" s="88"/>
      <c r="C101" s="88"/>
      <c r="D101" s="88"/>
      <c r="E101" s="85"/>
      <c r="F101" s="85"/>
      <c r="G101" s="85"/>
    </row>
    <row r="102" spans="1:7">
      <c r="A102" s="1" t="s">
        <v>41</v>
      </c>
      <c r="B102" s="88">
        <v>10753</v>
      </c>
      <c r="C102" s="88">
        <v>1347</v>
      </c>
      <c r="D102" s="88">
        <v>1869</v>
      </c>
      <c r="E102" s="85">
        <v>27418</v>
      </c>
      <c r="F102" s="85">
        <v>9657</v>
      </c>
      <c r="G102" s="85">
        <v>315</v>
      </c>
    </row>
    <row r="103" spans="1:7">
      <c r="A103" s="1" t="s">
        <v>40</v>
      </c>
      <c r="B103" s="88"/>
      <c r="C103" s="88"/>
      <c r="D103" s="88"/>
      <c r="E103" s="85"/>
      <c r="F103" s="85"/>
      <c r="G103" s="85"/>
    </row>
    <row r="104" spans="1:7">
      <c r="A104" s="1" t="s">
        <v>39</v>
      </c>
      <c r="B104" s="88">
        <v>-6737</v>
      </c>
      <c r="C104" s="88">
        <v>2908</v>
      </c>
      <c r="D104" s="88">
        <v>-19991</v>
      </c>
      <c r="E104" s="85">
        <v>-38799</v>
      </c>
      <c r="F104" s="85">
        <v>-67256</v>
      </c>
      <c r="G104" s="85">
        <v>77152</v>
      </c>
    </row>
    <row r="105" spans="1:7">
      <c r="A105" s="1" t="s">
        <v>38</v>
      </c>
      <c r="B105" s="88">
        <v>-16546</v>
      </c>
      <c r="C105" s="88">
        <v>-1413</v>
      </c>
      <c r="D105" s="88">
        <v>5521</v>
      </c>
      <c r="E105" s="85">
        <v>-15933</v>
      </c>
      <c r="F105" s="85">
        <v>-22475</v>
      </c>
      <c r="G105" s="85">
        <v>-71769</v>
      </c>
    </row>
    <row r="106" spans="1:7">
      <c r="A106" s="14" t="s">
        <v>37</v>
      </c>
      <c r="B106" s="13">
        <f t="shared" ref="B106:G106" si="15">SUM(B90:B105)</f>
        <v>249987</v>
      </c>
      <c r="C106" s="13">
        <f t="shared" si="15"/>
        <v>105726</v>
      </c>
      <c r="D106" s="13">
        <f t="shared" si="15"/>
        <v>396922</v>
      </c>
      <c r="E106" s="13">
        <f t="shared" si="15"/>
        <v>267072</v>
      </c>
      <c r="F106" s="13">
        <f t="shared" si="15"/>
        <v>119032</v>
      </c>
      <c r="G106" s="13">
        <f t="shared" si="15"/>
        <v>171204</v>
      </c>
    </row>
    <row r="107" spans="1:7">
      <c r="A107" s="1" t="s">
        <v>36</v>
      </c>
      <c r="B107" s="88">
        <v>164</v>
      </c>
      <c r="C107" s="88"/>
      <c r="D107" s="88">
        <v>98</v>
      </c>
      <c r="E107" s="85"/>
      <c r="F107" s="85">
        <v>53</v>
      </c>
      <c r="G107" s="85">
        <v>29</v>
      </c>
    </row>
    <row r="108" spans="1:7">
      <c r="A108" s="1" t="s">
        <v>35</v>
      </c>
      <c r="B108" s="88">
        <v>-50764</v>
      </c>
      <c r="C108" s="88">
        <v>-23701</v>
      </c>
      <c r="D108" s="88">
        <v>-36800</v>
      </c>
      <c r="E108" s="85">
        <v>-41608</v>
      </c>
      <c r="F108" s="85">
        <v>-58086</v>
      </c>
      <c r="G108" s="85">
        <v>-61308</v>
      </c>
    </row>
    <row r="109" spans="1:7">
      <c r="A109" s="1" t="s">
        <v>34</v>
      </c>
      <c r="B109" s="88"/>
      <c r="C109" s="88"/>
      <c r="D109" s="88"/>
      <c r="E109" s="85"/>
      <c r="F109" s="85"/>
      <c r="G109" s="85"/>
    </row>
    <row r="110" spans="1:7">
      <c r="A110" s="1" t="s">
        <v>33</v>
      </c>
      <c r="B110" s="88"/>
      <c r="C110" s="88"/>
      <c r="D110" s="88"/>
      <c r="E110" s="85"/>
      <c r="F110" s="85"/>
      <c r="G110" s="85"/>
    </row>
    <row r="111" spans="1:7">
      <c r="A111" s="1" t="s">
        <v>32</v>
      </c>
      <c r="B111" s="88"/>
      <c r="C111" s="88">
        <v>-7581</v>
      </c>
      <c r="D111" s="88">
        <v>-3629</v>
      </c>
      <c r="E111" s="85"/>
      <c r="F111" s="85"/>
      <c r="G111" s="85"/>
    </row>
    <row r="112" spans="1:7">
      <c r="A112" s="1" t="s">
        <v>31</v>
      </c>
      <c r="B112" s="88">
        <v>-12776</v>
      </c>
      <c r="C112" s="88">
        <v>-6109</v>
      </c>
      <c r="D112" s="88">
        <v>-7689</v>
      </c>
      <c r="E112" s="85">
        <v>-14255</v>
      </c>
      <c r="F112" s="85">
        <v>-13655</v>
      </c>
      <c r="G112" s="85">
        <v>-9430</v>
      </c>
    </row>
    <row r="113" spans="1:9">
      <c r="A113" s="1" t="s">
        <v>30</v>
      </c>
      <c r="B113" s="88"/>
      <c r="C113" s="88"/>
      <c r="D113" s="88">
        <v>17128</v>
      </c>
      <c r="E113" s="85">
        <v>-9999</v>
      </c>
      <c r="F113" s="85">
        <v>-25278</v>
      </c>
      <c r="G113" s="85">
        <v>-15141</v>
      </c>
    </row>
    <row r="114" spans="1:9">
      <c r="A114" s="14" t="s">
        <v>29</v>
      </c>
      <c r="B114" s="13">
        <f t="shared" ref="B114:G114" si="16">SUM(B107:B113)</f>
        <v>-63376</v>
      </c>
      <c r="C114" s="13">
        <f t="shared" si="16"/>
        <v>-37391</v>
      </c>
      <c r="D114" s="13">
        <f t="shared" si="16"/>
        <v>-30892</v>
      </c>
      <c r="E114" s="13">
        <f t="shared" si="16"/>
        <v>-65862</v>
      </c>
      <c r="F114" s="13">
        <f t="shared" si="16"/>
        <v>-96966</v>
      </c>
      <c r="G114" s="13">
        <f t="shared" si="16"/>
        <v>-85850</v>
      </c>
    </row>
    <row r="115" spans="1:9">
      <c r="A115" s="1" t="s">
        <v>28</v>
      </c>
      <c r="B115" s="88">
        <v>10009</v>
      </c>
      <c r="C115" s="88">
        <v>141122</v>
      </c>
      <c r="D115" s="88">
        <v>-47152</v>
      </c>
      <c r="E115" s="85">
        <v>-109265</v>
      </c>
      <c r="F115" s="85">
        <v>51563</v>
      </c>
      <c r="G115" s="85">
        <v>29565</v>
      </c>
    </row>
    <row r="116" spans="1:9">
      <c r="A116" s="1" t="s">
        <v>27</v>
      </c>
      <c r="B116" s="88"/>
      <c r="C116" s="88"/>
      <c r="D116" s="88"/>
      <c r="E116" s="85"/>
      <c r="F116" s="85"/>
      <c r="G116" s="85"/>
    </row>
    <row r="117" spans="1:9">
      <c r="A117" s="1" t="s">
        <v>26</v>
      </c>
      <c r="B117" s="88"/>
      <c r="C117" s="88"/>
      <c r="D117" s="88"/>
      <c r="E117" s="85"/>
      <c r="F117" s="85"/>
      <c r="G117" s="85"/>
    </row>
    <row r="118" spans="1:9">
      <c r="A118" s="1" t="s">
        <v>25</v>
      </c>
      <c r="B118" s="88"/>
      <c r="C118" s="88"/>
      <c r="D118" s="88"/>
      <c r="E118" s="85"/>
      <c r="F118" s="85"/>
      <c r="G118" s="85"/>
    </row>
    <row r="119" spans="1:9">
      <c r="A119" s="1" t="s">
        <v>24</v>
      </c>
      <c r="B119" s="88"/>
      <c r="C119" s="88"/>
      <c r="D119" s="88"/>
      <c r="E119" s="85"/>
      <c r="F119" s="85"/>
      <c r="G119" s="85"/>
    </row>
    <row r="120" spans="1:9">
      <c r="A120" s="1" t="s">
        <v>23</v>
      </c>
      <c r="B120" s="88"/>
      <c r="C120" s="88"/>
      <c r="D120" s="88"/>
      <c r="E120" s="85"/>
      <c r="F120" s="85"/>
      <c r="G120" s="85"/>
    </row>
    <row r="121" spans="1:9">
      <c r="A121" s="1" t="s">
        <v>22</v>
      </c>
      <c r="B121" s="88">
        <v>-2525</v>
      </c>
      <c r="C121" s="88"/>
      <c r="D121" s="88">
        <v>-12756</v>
      </c>
      <c r="E121" s="85">
        <v>-42670</v>
      </c>
      <c r="F121" s="85"/>
      <c r="G121" s="85"/>
      <c r="I121" s="89"/>
    </row>
    <row r="122" spans="1:9">
      <c r="A122" s="1" t="s">
        <v>21</v>
      </c>
      <c r="B122" s="88">
        <v>-57372</v>
      </c>
      <c r="C122" s="88"/>
      <c r="D122" s="88">
        <v>-6021</v>
      </c>
      <c r="E122" s="85">
        <v>-56733</v>
      </c>
      <c r="F122" s="85">
        <v>-46350</v>
      </c>
      <c r="G122" s="85">
        <v>-16568</v>
      </c>
      <c r="I122" s="89"/>
    </row>
    <row r="123" spans="1:9">
      <c r="A123" s="1" t="s">
        <v>20</v>
      </c>
      <c r="B123" s="88">
        <v>-20581</v>
      </c>
      <c r="C123" s="88">
        <v>-17681</v>
      </c>
      <c r="D123" s="88">
        <v>-14479</v>
      </c>
      <c r="E123" s="85">
        <v>-15853</v>
      </c>
      <c r="F123" s="85">
        <v>-38904</v>
      </c>
      <c r="G123" s="85">
        <v>-10954</v>
      </c>
      <c r="I123" s="89"/>
    </row>
    <row r="124" spans="1:9">
      <c r="A124" s="1" t="s">
        <v>19</v>
      </c>
      <c r="B124" s="88">
        <v>-100669</v>
      </c>
      <c r="C124" s="88">
        <v>-93573</v>
      </c>
      <c r="D124" s="88">
        <v>-100669</v>
      </c>
      <c r="E124" s="85">
        <v>-98757</v>
      </c>
      <c r="F124" s="85">
        <v>-116403</v>
      </c>
      <c r="G124" s="85">
        <v>-114949</v>
      </c>
    </row>
    <row r="125" spans="1:9">
      <c r="A125" s="14" t="s">
        <v>18</v>
      </c>
      <c r="B125" s="13">
        <f t="shared" ref="B125:G125" si="17">SUM(B115:B124)</f>
        <v>-171138</v>
      </c>
      <c r="C125" s="13">
        <f t="shared" si="17"/>
        <v>29868</v>
      </c>
      <c r="D125" s="13">
        <f t="shared" si="17"/>
        <v>-181077</v>
      </c>
      <c r="E125" s="13">
        <f t="shared" si="17"/>
        <v>-323278</v>
      </c>
      <c r="F125" s="13">
        <f t="shared" si="17"/>
        <v>-150094</v>
      </c>
      <c r="G125" s="13">
        <f t="shared" si="17"/>
        <v>-112906</v>
      </c>
    </row>
    <row r="126" spans="1:9">
      <c r="A126" s="1" t="s">
        <v>17</v>
      </c>
      <c r="B126" s="85">
        <v>-2660</v>
      </c>
      <c r="C126" s="85">
        <v>7345</v>
      </c>
      <c r="D126" s="85">
        <v>-1037</v>
      </c>
      <c r="E126" s="85">
        <v>1626</v>
      </c>
      <c r="F126" s="85">
        <v>5662</v>
      </c>
      <c r="G126" s="85">
        <v>-3242</v>
      </c>
    </row>
    <row r="127" spans="1:9">
      <c r="A127" s="14" t="s">
        <v>16</v>
      </c>
      <c r="B127" s="13">
        <f t="shared" ref="B127:G127" si="18">B106+B114+B125+B126</f>
        <v>12813</v>
      </c>
      <c r="C127" s="13">
        <f t="shared" si="18"/>
        <v>105548</v>
      </c>
      <c r="D127" s="13">
        <f t="shared" si="18"/>
        <v>183916</v>
      </c>
      <c r="E127" s="13">
        <f t="shared" si="18"/>
        <v>-120442</v>
      </c>
      <c r="F127" s="13">
        <f t="shared" si="18"/>
        <v>-122366</v>
      </c>
      <c r="G127" s="13">
        <f t="shared" si="18"/>
        <v>-30794</v>
      </c>
    </row>
    <row r="128" spans="1:9">
      <c r="A128" s="1" t="s">
        <v>15</v>
      </c>
      <c r="B128" s="88">
        <v>207707</v>
      </c>
      <c r="C128" s="88">
        <f>B9</f>
        <v>222332</v>
      </c>
      <c r="D128" s="88">
        <f>C9</f>
        <v>327880</v>
      </c>
      <c r="E128" s="88">
        <f>D9</f>
        <v>511796</v>
      </c>
      <c r="F128" s="88">
        <f>E9</f>
        <v>391354</v>
      </c>
      <c r="G128" s="88">
        <f>F9</f>
        <v>268988</v>
      </c>
    </row>
    <row r="129" spans="1:9">
      <c r="A129" s="1" t="s">
        <v>14</v>
      </c>
      <c r="B129" s="88" t="s">
        <v>1215</v>
      </c>
      <c r="C129" s="88">
        <f t="shared" ref="C129:G129" si="19">C9</f>
        <v>327880</v>
      </c>
      <c r="D129" s="88">
        <f t="shared" si="19"/>
        <v>511796</v>
      </c>
      <c r="E129" s="88">
        <f t="shared" si="19"/>
        <v>391354</v>
      </c>
      <c r="F129" s="88">
        <f t="shared" si="19"/>
        <v>268988</v>
      </c>
      <c r="G129" s="88">
        <f t="shared" si="19"/>
        <v>238194</v>
      </c>
    </row>
    <row r="130" spans="1:9">
      <c r="B130" s="5"/>
      <c r="C130" s="5"/>
      <c r="D130" s="5"/>
      <c r="E130" s="4"/>
      <c r="F130" s="4"/>
      <c r="G130" s="4"/>
    </row>
    <row r="131" spans="1:9">
      <c r="B131" s="5"/>
      <c r="C131" s="5"/>
      <c r="D131" s="5"/>
      <c r="E131" s="4"/>
      <c r="F131" s="4"/>
      <c r="G131" s="4"/>
    </row>
    <row r="132" spans="1:9">
      <c r="B132" s="6"/>
      <c r="C132" s="6"/>
      <c r="D132" s="6"/>
    </row>
    <row r="133" spans="1:9">
      <c r="A133" s="12" t="s">
        <v>13</v>
      </c>
      <c r="B133" s="11">
        <f t="shared" ref="B133:G133" si="20">B4</f>
        <v>2019</v>
      </c>
      <c r="C133" s="11">
        <f t="shared" si="20"/>
        <v>2020</v>
      </c>
      <c r="D133" s="11">
        <f t="shared" si="20"/>
        <v>2021</v>
      </c>
      <c r="E133" s="10">
        <f t="shared" si="20"/>
        <v>2022</v>
      </c>
      <c r="F133" s="10">
        <f t="shared" si="20"/>
        <v>2023</v>
      </c>
      <c r="G133" s="10">
        <f t="shared" si="20"/>
        <v>2024</v>
      </c>
      <c r="I133" s="12"/>
    </row>
    <row r="134" spans="1:9">
      <c r="A134" s="12"/>
      <c r="B134" s="11"/>
      <c r="C134" s="11"/>
      <c r="D134" s="11"/>
      <c r="E134" s="10"/>
      <c r="F134" s="10"/>
      <c r="G134" s="10"/>
    </row>
    <row r="135" spans="1:9">
      <c r="A135" s="1" t="s">
        <v>12</v>
      </c>
      <c r="B135" s="92">
        <v>0.21</v>
      </c>
      <c r="C135" s="92">
        <v>0.21</v>
      </c>
      <c r="D135" s="92">
        <v>0.21</v>
      </c>
      <c r="E135" s="92">
        <v>0.21</v>
      </c>
      <c r="F135" s="92">
        <v>0.21</v>
      </c>
      <c r="G135" s="92">
        <v>0.21</v>
      </c>
    </row>
    <row r="136" spans="1:9">
      <c r="A136" s="1" t="s">
        <v>11</v>
      </c>
      <c r="B136" s="93">
        <f t="shared" ref="B136:G136" si="21">-B75/B74</f>
        <v>0.25414265590984764</v>
      </c>
      <c r="C136" s="93">
        <f t="shared" si="21"/>
        <v>0.10183526464140306</v>
      </c>
      <c r="D136" s="93">
        <f t="shared" si="21"/>
        <v>0.29595165473258411</v>
      </c>
      <c r="E136" s="94">
        <f t="shared" si="21"/>
        <v>0.35398667483837803</v>
      </c>
      <c r="F136" s="94">
        <f t="shared" si="21"/>
        <v>0.42446911196911197</v>
      </c>
      <c r="G136" s="94">
        <f t="shared" si="21"/>
        <v>9.9342392526826945E-2</v>
      </c>
      <c r="H136" s="89"/>
    </row>
    <row r="137" spans="1:9" ht="25.5">
      <c r="A137" s="9" t="s">
        <v>10</v>
      </c>
      <c r="B137" s="95">
        <f t="shared" ref="B137:G137" si="22">(B65+B68+B73)*(1-B135)+B76+B77+B78</f>
        <v>-46518.36</v>
      </c>
      <c r="C137" s="95">
        <f t="shared" si="22"/>
        <v>-24403.100000000002</v>
      </c>
      <c r="D137" s="95">
        <f t="shared" si="22"/>
        <v>-36550.26</v>
      </c>
      <c r="E137" s="96">
        <f t="shared" si="22"/>
        <v>-34567.24</v>
      </c>
      <c r="F137" s="96">
        <f t="shared" si="22"/>
        <v>-73321.48000000001</v>
      </c>
      <c r="G137" s="96">
        <f t="shared" si="22"/>
        <v>-49498.240000000005</v>
      </c>
    </row>
    <row r="138" spans="1:9">
      <c r="A138" s="9" t="s">
        <v>9</v>
      </c>
      <c r="B138" s="95">
        <v>185832</v>
      </c>
      <c r="C138" s="95">
        <v>221767</v>
      </c>
      <c r="D138" s="95">
        <v>163172</v>
      </c>
      <c r="E138" s="95">
        <v>170962</v>
      </c>
      <c r="F138" s="95">
        <v>179789</v>
      </c>
      <c r="G138" s="95">
        <v>264219</v>
      </c>
    </row>
    <row r="139" spans="1:9">
      <c r="A139" s="1" t="s">
        <v>8</v>
      </c>
      <c r="B139" s="85"/>
      <c r="C139" s="85"/>
      <c r="D139" s="85"/>
      <c r="E139" s="85"/>
      <c r="F139" s="85"/>
      <c r="G139" s="85"/>
    </row>
    <row r="140" spans="1:9">
      <c r="A140" s="1" t="s">
        <v>7</v>
      </c>
      <c r="B140" s="95">
        <v>168790</v>
      </c>
      <c r="C140" s="95">
        <v>168790</v>
      </c>
      <c r="D140" s="95">
        <v>168790</v>
      </c>
      <c r="E140" s="95">
        <v>168790</v>
      </c>
      <c r="F140" s="95">
        <v>168790</v>
      </c>
      <c r="G140" s="994">
        <v>168790</v>
      </c>
    </row>
    <row r="141" spans="1:9">
      <c r="A141" s="1" t="s">
        <v>6</v>
      </c>
      <c r="B141" s="671">
        <v>0.51800000000000002</v>
      </c>
      <c r="C141" s="671">
        <v>-0.45600000000000002</v>
      </c>
      <c r="D141" s="671">
        <v>0.495</v>
      </c>
      <c r="E141" s="671">
        <v>0.41199999999999998</v>
      </c>
      <c r="F141" s="671">
        <v>0.154</v>
      </c>
      <c r="G141" s="671">
        <v>-0.40300000000000002</v>
      </c>
    </row>
    <row r="142" spans="1:9">
      <c r="A142" s="1" t="s">
        <v>5</v>
      </c>
      <c r="B142" s="671">
        <f t="shared" ref="B142:G142" si="23">-B122/B140</f>
        <v>0.33990165294152497</v>
      </c>
      <c r="C142" s="671">
        <f t="shared" si="23"/>
        <v>0</v>
      </c>
      <c r="D142" s="671">
        <f t="shared" si="23"/>
        <v>3.5671544522779784E-2</v>
      </c>
      <c r="E142" s="671">
        <f t="shared" si="23"/>
        <v>0.33611588364239586</v>
      </c>
      <c r="F142" s="671">
        <f t="shared" si="23"/>
        <v>0.27460157592274426</v>
      </c>
      <c r="G142" s="671">
        <f t="shared" si="23"/>
        <v>9.8157473783991936E-2</v>
      </c>
    </row>
    <row r="143" spans="1:9">
      <c r="A143" s="1" t="s">
        <v>4</v>
      </c>
      <c r="B143" s="97">
        <v>17.5</v>
      </c>
      <c r="C143" s="97">
        <v>16.8</v>
      </c>
      <c r="D143" s="97">
        <v>18.2</v>
      </c>
      <c r="E143" s="97">
        <v>15.1</v>
      </c>
      <c r="F143" s="97">
        <v>9.85</v>
      </c>
      <c r="G143" s="97">
        <v>8.1999999999999993</v>
      </c>
      <c r="H143" s="98"/>
    </row>
    <row r="144" spans="1:9">
      <c r="B144" s="6"/>
      <c r="C144" s="6"/>
      <c r="D144" s="6"/>
    </row>
    <row r="145" spans="1:7">
      <c r="B145" s="5"/>
      <c r="C145" s="5"/>
      <c r="D145" s="5"/>
      <c r="E145" s="4"/>
      <c r="F145" s="4"/>
      <c r="G145" s="4"/>
    </row>
    <row r="146" spans="1:7">
      <c r="A146" s="3" t="s">
        <v>3</v>
      </c>
      <c r="B146" s="99">
        <v>2019</v>
      </c>
      <c r="C146" s="99">
        <v>2020</v>
      </c>
      <c r="D146" s="99">
        <v>2021</v>
      </c>
      <c r="E146" s="99">
        <v>2022</v>
      </c>
      <c r="F146" s="99">
        <v>2023</v>
      </c>
      <c r="G146" s="99">
        <v>2024</v>
      </c>
    </row>
    <row r="147" spans="1:7">
      <c r="A147" s="2" t="s">
        <v>2</v>
      </c>
      <c r="B147" s="2">
        <f t="shared" ref="B147:G147" si="24">B26-B53</f>
        <v>0</v>
      </c>
      <c r="C147" s="2">
        <f t="shared" si="24"/>
        <v>0</v>
      </c>
      <c r="D147" s="2">
        <f t="shared" si="24"/>
        <v>0</v>
      </c>
      <c r="E147" s="2">
        <f t="shared" si="24"/>
        <v>0</v>
      </c>
      <c r="F147" s="2">
        <f t="shared" si="24"/>
        <v>0</v>
      </c>
      <c r="G147" s="2">
        <f t="shared" si="24"/>
        <v>0</v>
      </c>
    </row>
    <row r="148" spans="1:7">
      <c r="A148" s="2" t="s">
        <v>1</v>
      </c>
      <c r="B148" s="2">
        <f t="shared" ref="B148:G148" si="25">B81-B82</f>
        <v>0</v>
      </c>
      <c r="C148" s="2">
        <f t="shared" si="25"/>
        <v>0</v>
      </c>
      <c r="D148" s="2">
        <f t="shared" si="25"/>
        <v>0</v>
      </c>
      <c r="E148" s="2">
        <f t="shared" si="25"/>
        <v>0</v>
      </c>
      <c r="F148" s="2">
        <f t="shared" si="25"/>
        <v>0</v>
      </c>
      <c r="G148" s="2">
        <f t="shared" si="25"/>
        <v>0</v>
      </c>
    </row>
    <row r="149" spans="1:7">
      <c r="A149" s="2" t="s">
        <v>0</v>
      </c>
      <c r="B149" s="2"/>
      <c r="C149" s="2">
        <f>C127-(C9-B9)</f>
        <v>0</v>
      </c>
      <c r="D149" s="2">
        <f>D127-(D9-C9)</f>
        <v>0</v>
      </c>
      <c r="E149" s="2">
        <f>E127-(E9-D9)</f>
        <v>0</v>
      </c>
      <c r="F149" s="2">
        <f>F127-(F9-E9)</f>
        <v>0</v>
      </c>
      <c r="G149" s="2">
        <f>G127-(G9-F9)</f>
        <v>0</v>
      </c>
    </row>
  </sheetData>
  <pageMargins left="0.75" right="0.75" top="1" bottom="1" header="0.5" footer="0.5"/>
  <pageSetup scale="83" orientation="portrait" r:id="rId1"/>
  <headerFooter alignWithMargins="0"/>
  <rowBreaks count="3" manualBreakCount="3">
    <brk id="53" max="6" man="1"/>
    <brk id="86" max="6" man="1"/>
    <brk id="131" max="6" man="1"/>
  </rowBreaks>
  <colBreaks count="1" manualBreakCount="1">
    <brk id="7"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A4684-72CB-4A52-A684-64ADB8239928}">
  <sheetPr>
    <tabColor rgb="FF4472C4"/>
  </sheetPr>
  <dimension ref="A1:AE117"/>
  <sheetViews>
    <sheetView topLeftCell="A24" zoomScale="98" zoomScaleNormal="120" workbookViewId="0">
      <selection sqref="A1:XFD9"/>
    </sheetView>
  </sheetViews>
  <sheetFormatPr defaultColWidth="9.140625" defaultRowHeight="12.75"/>
  <cols>
    <col min="1" max="1" width="38.85546875" style="7" customWidth="1"/>
    <col min="2" max="2" width="17.28515625" style="7" customWidth="1"/>
    <col min="3" max="3" width="16.42578125" style="7" customWidth="1"/>
    <col min="4" max="4" width="16.140625" style="7" customWidth="1"/>
    <col min="5" max="5" width="16.28515625" style="7" customWidth="1"/>
    <col min="6" max="6" width="16.7109375" style="7" customWidth="1"/>
    <col min="7" max="7" width="17.85546875" style="7" bestFit="1" customWidth="1"/>
    <col min="8" max="8" width="18" style="7" customWidth="1"/>
    <col min="9" max="9" width="18.85546875" style="7" customWidth="1"/>
    <col min="10" max="10" width="10.7109375" style="7" customWidth="1"/>
    <col min="11" max="16384" width="9.140625" style="7"/>
  </cols>
  <sheetData>
    <row r="1" spans="1:31">
      <c r="A1" s="33"/>
    </row>
    <row r="2" spans="1:31">
      <c r="A2" s="84" t="s">
        <v>133</v>
      </c>
      <c r="B2" s="83" t="str">
        <f>'Data '!B2</f>
        <v>ARYAN Shrenick kothari</v>
      </c>
      <c r="C2" s="74"/>
      <c r="D2" s="74"/>
      <c r="E2" s="74"/>
      <c r="F2" s="74"/>
      <c r="G2" s="74"/>
      <c r="H2" s="74"/>
      <c r="I2" s="74"/>
    </row>
    <row r="3" spans="1:31">
      <c r="A3" s="84" t="s">
        <v>131</v>
      </c>
      <c r="B3" s="83" t="str">
        <f>'Data '!B3</f>
        <v>Salvatore Ferragamo Group</v>
      </c>
      <c r="C3" s="79"/>
      <c r="D3" s="79"/>
      <c r="E3" s="79"/>
      <c r="F3" s="79"/>
      <c r="G3" s="79"/>
      <c r="H3" s="79"/>
      <c r="I3" s="79"/>
    </row>
    <row r="4" spans="1:31">
      <c r="A4" s="33"/>
    </row>
    <row r="5" spans="1:31" s="33" customFormat="1">
      <c r="K5" s="7"/>
    </row>
    <row r="6" spans="1:31" s="33" customFormat="1">
      <c r="K6" s="7"/>
    </row>
    <row r="7" spans="1:31">
      <c r="A7" s="41" t="s">
        <v>212</v>
      </c>
      <c r="B7" s="82"/>
      <c r="C7" s="82"/>
      <c r="D7" s="82"/>
      <c r="E7" s="82"/>
      <c r="F7" s="82"/>
      <c r="G7" s="82"/>
      <c r="H7" s="82"/>
      <c r="I7" s="82"/>
    </row>
    <row r="8" spans="1:31">
      <c r="A8" s="33"/>
      <c r="B8" s="81"/>
      <c r="C8" s="81"/>
      <c r="D8" s="81"/>
      <c r="E8" s="81"/>
      <c r="F8" s="81"/>
      <c r="G8" s="81"/>
      <c r="H8" s="81"/>
      <c r="I8" s="81"/>
      <c r="AB8" s="8"/>
      <c r="AC8" s="8"/>
      <c r="AD8" s="8"/>
      <c r="AE8" s="8"/>
    </row>
    <row r="9" spans="1:31">
      <c r="A9" s="33"/>
      <c r="B9" s="80" t="s">
        <v>208</v>
      </c>
      <c r="C9" s="79"/>
      <c r="D9" s="79"/>
      <c r="E9" s="78" t="s">
        <v>207</v>
      </c>
      <c r="F9" s="77"/>
      <c r="G9" s="77"/>
      <c r="H9" s="77"/>
      <c r="I9" s="77"/>
      <c r="J9" s="33"/>
      <c r="AB9" s="8"/>
      <c r="AC9" s="8"/>
      <c r="AD9" s="8"/>
      <c r="AE9" s="8"/>
    </row>
    <row r="10" spans="1:31">
      <c r="A10" s="33" t="s">
        <v>206</v>
      </c>
      <c r="B10" s="43">
        <f>'Forecasts '!B12</f>
        <v>2022</v>
      </c>
      <c r="C10" s="43">
        <f>'Forecasts '!C12</f>
        <v>2023</v>
      </c>
      <c r="D10" s="43">
        <f>'Forecasts '!D12</f>
        <v>2024</v>
      </c>
      <c r="E10" s="43" t="str">
        <f>'Forecasts '!E12</f>
        <v>Year +1</v>
      </c>
      <c r="F10" s="43" t="str">
        <f>'Forecasts '!F12</f>
        <v>Year +2</v>
      </c>
      <c r="G10" s="43" t="str">
        <f>'Forecasts '!G12</f>
        <v>Year +3</v>
      </c>
      <c r="H10" s="43" t="str">
        <f>'Forecasts '!H12</f>
        <v>Year +4</v>
      </c>
      <c r="I10" s="43" t="str">
        <f>'Forecasts '!I12</f>
        <v>Year +5</v>
      </c>
      <c r="J10" s="43"/>
      <c r="AB10" s="8"/>
      <c r="AC10" s="8"/>
      <c r="AD10" s="8"/>
      <c r="AE10" s="8"/>
    </row>
    <row r="11" spans="1:31">
      <c r="A11" s="33"/>
      <c r="B11" s="43"/>
      <c r="C11" s="43"/>
      <c r="D11" s="43"/>
      <c r="E11" s="43"/>
      <c r="F11" s="43"/>
      <c r="G11" s="43"/>
      <c r="H11" s="43"/>
      <c r="I11" s="43"/>
      <c r="J11" s="43"/>
    </row>
    <row r="12" spans="1:31">
      <c r="A12" s="33" t="s">
        <v>205</v>
      </c>
      <c r="B12" s="43"/>
      <c r="C12" s="100"/>
      <c r="D12" s="100"/>
      <c r="E12" s="43"/>
      <c r="F12" s="43"/>
      <c r="G12" s="43"/>
      <c r="H12" s="43"/>
      <c r="I12" s="43"/>
      <c r="J12" s="43"/>
    </row>
    <row r="13" spans="1:31">
      <c r="A13" s="33" t="s">
        <v>211</v>
      </c>
      <c r="B13" s="100">
        <v>262900</v>
      </c>
      <c r="C13" s="100">
        <v>243200</v>
      </c>
      <c r="D13" s="100">
        <v>252400</v>
      </c>
      <c r="E13" s="101">
        <f>E23</f>
        <v>257448</v>
      </c>
      <c r="F13" s="101">
        <f>F23</f>
        <v>265171.44</v>
      </c>
      <c r="G13" s="101">
        <f>G23</f>
        <v>273656.92608</v>
      </c>
      <c r="H13" s="101">
        <f>H23</f>
        <v>282413.94771456002</v>
      </c>
      <c r="I13" s="101">
        <f>I23</f>
        <v>292580.84983228421</v>
      </c>
      <c r="J13" s="43"/>
    </row>
    <row r="14" spans="1:31">
      <c r="A14" s="33" t="s">
        <v>210</v>
      </c>
      <c r="B14" s="102">
        <v>414700</v>
      </c>
      <c r="C14" s="100">
        <v>379600</v>
      </c>
      <c r="D14" s="100">
        <v>397900</v>
      </c>
      <c r="E14" s="101">
        <f>E27</f>
        <v>407847.49999999994</v>
      </c>
      <c r="F14" s="101">
        <f>F27</f>
        <v>422122.16249999992</v>
      </c>
      <c r="G14" s="101">
        <f>G27</f>
        <v>438162.8046749999</v>
      </c>
      <c r="H14" s="101">
        <f>H27</f>
        <v>456565.64247134991</v>
      </c>
      <c r="I14" s="101">
        <f>I27</f>
        <v>476654.53074008931</v>
      </c>
      <c r="J14" s="43"/>
    </row>
    <row r="15" spans="1:31">
      <c r="A15" s="33" t="s">
        <v>209</v>
      </c>
      <c r="B15" s="102">
        <v>574208</v>
      </c>
      <c r="C15" s="100">
        <v>533471</v>
      </c>
      <c r="D15" s="100">
        <v>384806</v>
      </c>
      <c r="E15" s="101">
        <f>E31</f>
        <v>380957.94</v>
      </c>
      <c r="F15" s="101">
        <f>F31</f>
        <v>396196.25760000001</v>
      </c>
      <c r="G15" s="101">
        <f>G31</f>
        <v>419968.03305600001</v>
      </c>
      <c r="H15" s="101">
        <f>H31</f>
        <v>445166.11503936001</v>
      </c>
      <c r="I15" s="101">
        <f>I31</f>
        <v>463863.09187101317</v>
      </c>
      <c r="J15" s="43"/>
    </row>
    <row r="16" spans="1:31" ht="13.5" thickBot="1">
      <c r="A16" s="33" t="s">
        <v>204</v>
      </c>
      <c r="B16" s="103">
        <f t="shared" ref="B16:I16" si="0">SUM(B13:B15)</f>
        <v>1251808</v>
      </c>
      <c r="C16" s="103">
        <f t="shared" si="0"/>
        <v>1156271</v>
      </c>
      <c r="D16" s="103">
        <f t="shared" si="0"/>
        <v>1035106</v>
      </c>
      <c r="E16" s="104">
        <f t="shared" si="0"/>
        <v>1046253.44</v>
      </c>
      <c r="F16" s="104">
        <f t="shared" si="0"/>
        <v>1083489.8600999999</v>
      </c>
      <c r="G16" s="104">
        <f t="shared" si="0"/>
        <v>1131787.7638109999</v>
      </c>
      <c r="H16" s="104">
        <f t="shared" si="0"/>
        <v>1184145.70522527</v>
      </c>
      <c r="I16" s="104">
        <f t="shared" si="0"/>
        <v>1233098.4724433867</v>
      </c>
      <c r="J16" s="105"/>
    </row>
    <row r="17" spans="1:10" ht="13.5" thickTop="1">
      <c r="A17" s="32" t="s">
        <v>203</v>
      </c>
      <c r="B17" s="33"/>
      <c r="C17" s="106">
        <f t="shared" ref="C17:I17" si="1">C16/B16-1</f>
        <v>-7.6319211891919481E-2</v>
      </c>
      <c r="D17" s="106">
        <f t="shared" si="1"/>
        <v>-0.10478944814840119</v>
      </c>
      <c r="E17" s="665">
        <f t="shared" si="1"/>
        <v>1.0769370479931428E-2</v>
      </c>
      <c r="F17" s="665">
        <f t="shared" si="1"/>
        <v>3.5590248668620816E-2</v>
      </c>
      <c r="G17" s="665">
        <f t="shared" si="1"/>
        <v>4.4576239695074182E-2</v>
      </c>
      <c r="H17" s="665">
        <f t="shared" si="1"/>
        <v>4.6261271846559371E-2</v>
      </c>
      <c r="I17" s="665">
        <f t="shared" si="1"/>
        <v>4.1340155187071348E-2</v>
      </c>
      <c r="J17" s="76"/>
    </row>
    <row r="18" spans="1:10">
      <c r="A18" s="33"/>
      <c r="D18" s="106"/>
      <c r="E18" s="666" t="s">
        <v>202</v>
      </c>
    </row>
    <row r="20" spans="1:10">
      <c r="A20" s="107" t="s">
        <v>201</v>
      </c>
      <c r="B20" s="107"/>
      <c r="C20" s="108"/>
      <c r="D20" s="107"/>
      <c r="E20" s="109" t="s">
        <v>645</v>
      </c>
      <c r="F20" s="110"/>
      <c r="G20" s="110"/>
      <c r="H20" s="110"/>
      <c r="I20" s="110"/>
    </row>
    <row r="21" spans="1:10">
      <c r="A21" s="111"/>
      <c r="B21" s="112">
        <f t="shared" ref="B21:I21" si="2">B10</f>
        <v>2022</v>
      </c>
      <c r="C21" s="112">
        <f t="shared" si="2"/>
        <v>2023</v>
      </c>
      <c r="D21" s="112">
        <f t="shared" si="2"/>
        <v>2024</v>
      </c>
      <c r="E21" s="112" t="str">
        <f t="shared" si="2"/>
        <v>Year +1</v>
      </c>
      <c r="F21" s="112" t="str">
        <f t="shared" si="2"/>
        <v>Year +2</v>
      </c>
      <c r="G21" s="112" t="str">
        <f t="shared" si="2"/>
        <v>Year +3</v>
      </c>
      <c r="H21" s="112" t="str">
        <f t="shared" si="2"/>
        <v>Year +4</v>
      </c>
      <c r="I21" s="112" t="str">
        <f t="shared" si="2"/>
        <v>Year +5</v>
      </c>
    </row>
    <row r="22" spans="1:10">
      <c r="A22" s="113"/>
      <c r="B22" s="114"/>
      <c r="C22" s="114"/>
      <c r="D22" s="114"/>
      <c r="E22" s="114"/>
      <c r="F22" s="114"/>
      <c r="G22" s="114"/>
      <c r="H22" s="114"/>
      <c r="I22" s="114"/>
    </row>
    <row r="23" spans="1:10">
      <c r="A23" s="107" t="str">
        <f>A13</f>
        <v>Europe</v>
      </c>
      <c r="B23" s="115">
        <f>B13</f>
        <v>262900</v>
      </c>
      <c r="C23" s="115">
        <f>C13</f>
        <v>243200</v>
      </c>
      <c r="D23" s="115">
        <f>D13</f>
        <v>252400</v>
      </c>
      <c r="E23" s="116">
        <f>D23*(1+E24)</f>
        <v>257448</v>
      </c>
      <c r="F23" s="116">
        <f>E23*(1+F24)</f>
        <v>265171.44</v>
      </c>
      <c r="G23" s="116">
        <f>F23*(1+G24)</f>
        <v>273656.92608</v>
      </c>
      <c r="H23" s="116">
        <f>G23*(1+H24)</f>
        <v>282413.94771456002</v>
      </c>
      <c r="I23" s="116">
        <f>H23*(1+I24)</f>
        <v>292580.84983228421</v>
      </c>
    </row>
    <row r="24" spans="1:10">
      <c r="A24" s="117" t="s">
        <v>200</v>
      </c>
      <c r="B24" s="117"/>
      <c r="C24" s="118">
        <f>C23/B23-1</f>
        <v>-7.4933434766070728E-2</v>
      </c>
      <c r="D24" s="118">
        <f>D23/C23-1</f>
        <v>3.7828947368421018E-2</v>
      </c>
      <c r="E24" s="119">
        <v>0.02</v>
      </c>
      <c r="F24" s="119">
        <v>0.03</v>
      </c>
      <c r="G24" s="119">
        <v>3.2000000000000001E-2</v>
      </c>
      <c r="H24" s="119">
        <v>3.2000000000000001E-2</v>
      </c>
      <c r="I24" s="119">
        <v>3.5999999999999997E-2</v>
      </c>
    </row>
    <row r="25" spans="1:10">
      <c r="A25" s="113"/>
      <c r="B25" s="114"/>
      <c r="C25" s="120">
        <f>AVERAGE(C24:D24)</f>
        <v>-1.8552243698824855E-2</v>
      </c>
      <c r="D25" s="114"/>
      <c r="E25" s="114"/>
      <c r="F25" s="114"/>
      <c r="G25" s="114"/>
      <c r="H25" s="114"/>
      <c r="I25" s="114"/>
    </row>
    <row r="26" spans="1:10">
      <c r="A26" s="113"/>
      <c r="B26" s="114"/>
      <c r="D26" s="114"/>
      <c r="E26" s="114"/>
      <c r="F26" s="114"/>
      <c r="G26" s="114"/>
      <c r="H26" s="114"/>
      <c r="I26" s="114"/>
    </row>
    <row r="27" spans="1:10">
      <c r="A27" s="107" t="str">
        <f>A14</f>
        <v>Americas</v>
      </c>
      <c r="B27" s="115">
        <f>B14</f>
        <v>414700</v>
      </c>
      <c r="C27" s="115">
        <f>C14</f>
        <v>379600</v>
      </c>
      <c r="D27" s="115">
        <f>D14</f>
        <v>397900</v>
      </c>
      <c r="E27" s="116">
        <f>D27*(1+E28)</f>
        <v>407847.49999999994</v>
      </c>
      <c r="F27" s="116">
        <f>E27*(1+F28)</f>
        <v>422122.16249999992</v>
      </c>
      <c r="G27" s="116">
        <f>F27*(1+G28)</f>
        <v>438162.8046749999</v>
      </c>
      <c r="H27" s="116">
        <f>G27*(1+H28)</f>
        <v>456565.64247134991</v>
      </c>
      <c r="I27" s="116">
        <f>H27*(1+I28)</f>
        <v>476654.53074008931</v>
      </c>
    </row>
    <row r="28" spans="1:10">
      <c r="A28" s="117" t="s">
        <v>200</v>
      </c>
      <c r="B28" s="117"/>
      <c r="C28" s="118">
        <f>C27/B27-1</f>
        <v>-8.4639498432601878E-2</v>
      </c>
      <c r="D28" s="118">
        <f>D27/C27-1</f>
        <v>4.820864067439401E-2</v>
      </c>
      <c r="E28" s="119">
        <v>2.5000000000000001E-2</v>
      </c>
      <c r="F28" s="119">
        <v>3.5000000000000003E-2</v>
      </c>
      <c r="G28" s="119">
        <v>3.7999999999999999E-2</v>
      </c>
      <c r="H28" s="119">
        <v>4.2000000000000003E-2</v>
      </c>
      <c r="I28" s="119">
        <v>4.3999999999999997E-2</v>
      </c>
    </row>
    <row r="29" spans="1:10">
      <c r="A29" s="113"/>
      <c r="B29" s="114"/>
      <c r="C29" s="120">
        <f>AVERAGE(C28:D28)</f>
        <v>-1.8215428879103934E-2</v>
      </c>
      <c r="D29" s="114"/>
      <c r="E29" s="114"/>
      <c r="F29" s="114"/>
      <c r="G29" s="114"/>
      <c r="H29" s="114"/>
      <c r="I29" s="114"/>
    </row>
    <row r="30" spans="1:10">
      <c r="A30" s="113"/>
      <c r="B30" s="114"/>
      <c r="C30" s="114"/>
      <c r="D30" s="114"/>
      <c r="E30" s="114"/>
      <c r="F30" s="114"/>
      <c r="G30" s="114"/>
      <c r="H30" s="114"/>
      <c r="I30" s="114"/>
    </row>
    <row r="31" spans="1:10">
      <c r="A31" s="107" t="str">
        <f>A15</f>
        <v>Asia</v>
      </c>
      <c r="B31" s="115">
        <f>B15</f>
        <v>574208</v>
      </c>
      <c r="C31" s="115">
        <f>C15</f>
        <v>533471</v>
      </c>
      <c r="D31" s="115">
        <f>D15</f>
        <v>384806</v>
      </c>
      <c r="E31" s="116">
        <f>D31*(1+E32)</f>
        <v>380957.94</v>
      </c>
      <c r="F31" s="116">
        <f>E31*(1+F32)</f>
        <v>396196.25760000001</v>
      </c>
      <c r="G31" s="116">
        <f>F31*(1+G32)</f>
        <v>419968.03305600001</v>
      </c>
      <c r="H31" s="116">
        <f>G31*(1+H32)</f>
        <v>445166.11503936001</v>
      </c>
      <c r="I31" s="116">
        <f>H31*(1+I32)</f>
        <v>463863.09187101317</v>
      </c>
    </row>
    <row r="32" spans="1:10">
      <c r="A32" s="117" t="s">
        <v>200</v>
      </c>
      <c r="B32" s="117"/>
      <c r="C32" s="118">
        <f>C31/B31-1</f>
        <v>-7.0944675100312105E-2</v>
      </c>
      <c r="D32" s="118">
        <f>D31/C31-1</f>
        <v>-0.2786749420305884</v>
      </c>
      <c r="E32" s="119">
        <v>-0.01</v>
      </c>
      <c r="F32" s="119">
        <v>0.04</v>
      </c>
      <c r="G32" s="119">
        <v>0.06</v>
      </c>
      <c r="H32" s="119">
        <v>0.06</v>
      </c>
      <c r="I32" s="119">
        <v>4.2000000000000003E-2</v>
      </c>
    </row>
    <row r="33" spans="1:11">
      <c r="A33" s="113"/>
      <c r="B33" s="121"/>
      <c r="C33" s="121">
        <f>AVERAGE(C32:D32)</f>
        <v>-0.17480980856545025</v>
      </c>
      <c r="D33" s="121"/>
      <c r="E33" s="122"/>
      <c r="F33" s="122"/>
      <c r="G33" s="122"/>
      <c r="H33" s="122"/>
      <c r="I33" s="122"/>
    </row>
    <row r="34" spans="1:11">
      <c r="A34" s="113"/>
      <c r="B34" s="123"/>
      <c r="C34" s="124"/>
      <c r="D34" s="124"/>
      <c r="E34" s="125"/>
      <c r="F34" s="125"/>
      <c r="G34" s="125"/>
      <c r="H34" s="125"/>
      <c r="I34" s="125"/>
    </row>
    <row r="35" spans="1:11">
      <c r="A35" s="126" t="s">
        <v>81</v>
      </c>
      <c r="B35" s="127">
        <f t="shared" ref="B35:I35" si="3">B23+B27+B31</f>
        <v>1251808</v>
      </c>
      <c r="C35" s="127">
        <f t="shared" si="3"/>
        <v>1156271</v>
      </c>
      <c r="D35" s="127">
        <f t="shared" si="3"/>
        <v>1035106</v>
      </c>
      <c r="E35" s="128">
        <f t="shared" si="3"/>
        <v>1046253.44</v>
      </c>
      <c r="F35" s="128">
        <f t="shared" si="3"/>
        <v>1083489.8600999999</v>
      </c>
      <c r="G35" s="128">
        <f t="shared" si="3"/>
        <v>1131787.7638109999</v>
      </c>
      <c r="H35" s="128">
        <f t="shared" si="3"/>
        <v>1184145.70522527</v>
      </c>
      <c r="I35" s="128">
        <f t="shared" si="3"/>
        <v>1233098.4724433867</v>
      </c>
    </row>
    <row r="36" spans="1:11">
      <c r="A36" s="113"/>
      <c r="B36" s="113"/>
      <c r="C36" s="129"/>
      <c r="D36" s="129"/>
      <c r="E36" s="129"/>
      <c r="F36" s="130"/>
      <c r="G36" s="130"/>
      <c r="H36" s="130"/>
      <c r="I36" s="130"/>
    </row>
    <row r="37" spans="1:11">
      <c r="A37" s="32"/>
      <c r="B37" s="8"/>
      <c r="C37" s="131"/>
      <c r="D37" s="131"/>
      <c r="E37" s="132"/>
      <c r="F37" s="132"/>
      <c r="G37" s="132"/>
      <c r="H37" s="132"/>
      <c r="I37" s="132"/>
    </row>
    <row r="38" spans="1:11">
      <c r="A38" s="113"/>
      <c r="B38" s="133"/>
      <c r="C38" s="133"/>
      <c r="D38" s="133"/>
      <c r="E38" s="133"/>
      <c r="F38" s="133"/>
      <c r="G38" s="133"/>
      <c r="H38" s="133"/>
      <c r="I38" s="133"/>
    </row>
    <row r="39" spans="1:11">
      <c r="B39" s="75"/>
      <c r="C39" s="75"/>
      <c r="D39" s="75"/>
      <c r="E39" s="75"/>
      <c r="F39" s="75"/>
      <c r="G39" s="75"/>
      <c r="H39" s="75"/>
      <c r="I39" s="75"/>
    </row>
    <row r="41" spans="1:11">
      <c r="A41" s="41" t="s">
        <v>199</v>
      </c>
      <c r="B41" s="74"/>
      <c r="C41" s="74"/>
      <c r="D41" s="74"/>
      <c r="E41" s="74"/>
      <c r="F41" s="74"/>
      <c r="G41" s="74"/>
      <c r="H41" s="74"/>
      <c r="I41" s="74"/>
    </row>
    <row r="43" spans="1:11">
      <c r="A43" s="41" t="s">
        <v>198</v>
      </c>
      <c r="B43" s="40"/>
      <c r="C43" s="40"/>
      <c r="D43" s="39"/>
      <c r="E43" s="995">
        <v>41000</v>
      </c>
      <c r="F43" s="37"/>
      <c r="G43" s="73"/>
      <c r="H43" s="36"/>
      <c r="I43" s="36"/>
      <c r="J43" s="33"/>
      <c r="K43" s="7" t="s">
        <v>197</v>
      </c>
    </row>
    <row r="44" spans="1:11">
      <c r="A44" s="35"/>
      <c r="B44" s="35">
        <f t="shared" ref="B44:I44" si="4">B10</f>
        <v>2022</v>
      </c>
      <c r="C44" s="35">
        <f t="shared" si="4"/>
        <v>2023</v>
      </c>
      <c r="D44" s="35">
        <f t="shared" si="4"/>
        <v>2024</v>
      </c>
      <c r="E44" s="34" t="str">
        <f t="shared" si="4"/>
        <v>Year +1</v>
      </c>
      <c r="F44" s="34" t="str">
        <f t="shared" si="4"/>
        <v>Year +2</v>
      </c>
      <c r="G44" s="34" t="str">
        <f t="shared" si="4"/>
        <v>Year +3</v>
      </c>
      <c r="H44" s="34" t="str">
        <f t="shared" si="4"/>
        <v>Year +4</v>
      </c>
      <c r="I44" s="34" t="str">
        <f t="shared" si="4"/>
        <v>Year +5</v>
      </c>
      <c r="J44" s="72"/>
      <c r="K44" s="71"/>
    </row>
    <row r="45" spans="1:11">
      <c r="A45" s="43" t="s">
        <v>196</v>
      </c>
      <c r="C45" s="134"/>
      <c r="D45" s="134"/>
      <c r="J45" s="70"/>
      <c r="K45" s="135"/>
    </row>
    <row r="46" spans="1:11">
      <c r="A46" s="43" t="s">
        <v>195</v>
      </c>
      <c r="B46" s="133">
        <f>-'Data '!E108</f>
        <v>41608</v>
      </c>
      <c r="C46" s="133">
        <f>-'Data '!F108</f>
        <v>58086</v>
      </c>
      <c r="D46" s="133">
        <f>-'Data '!G108</f>
        <v>61308</v>
      </c>
      <c r="E46" s="69">
        <v>41000</v>
      </c>
      <c r="F46" s="69">
        <f>E46*1.005</f>
        <v>41204.999999999993</v>
      </c>
      <c r="G46" s="69">
        <f>F46*1.005</f>
        <v>41411.024999999987</v>
      </c>
      <c r="H46" s="69">
        <f>G46*1.005</f>
        <v>41618.080124999986</v>
      </c>
      <c r="I46" s="69">
        <f>H46*1.01</f>
        <v>42034.260926249983</v>
      </c>
      <c r="J46" s="33"/>
      <c r="K46" s="33"/>
    </row>
    <row r="47" spans="1:11">
      <c r="A47" s="43" t="s">
        <v>194</v>
      </c>
      <c r="B47" s="68">
        <f>-'Data '!E107</f>
        <v>0</v>
      </c>
      <c r="C47" s="68">
        <f>-'Data '!F107</f>
        <v>-53</v>
      </c>
      <c r="D47" s="68">
        <f>-'Data '!G107</f>
        <v>-29</v>
      </c>
      <c r="E47" s="136">
        <f>D47*(1.05)</f>
        <v>-30.450000000000003</v>
      </c>
      <c r="F47" s="136">
        <f>E47*(1.05)</f>
        <v>-31.972500000000004</v>
      </c>
      <c r="G47" s="136">
        <f>F47*(1.05)</f>
        <v>-33.571125000000002</v>
      </c>
      <c r="H47" s="136">
        <f>G47*(1.05)</f>
        <v>-35.249681250000002</v>
      </c>
      <c r="I47" s="136">
        <f>H47*(1.05)</f>
        <v>-37.012165312500002</v>
      </c>
      <c r="J47" s="67"/>
      <c r="K47" s="67"/>
    </row>
    <row r="48" spans="1:11">
      <c r="A48" s="43" t="s">
        <v>193</v>
      </c>
      <c r="B48" s="137">
        <f>B46+B47</f>
        <v>41608</v>
      </c>
      <c r="C48" s="137">
        <f>C46+C47</f>
        <v>58033</v>
      </c>
      <c r="D48" s="137">
        <f>D46+D47</f>
        <v>61279</v>
      </c>
      <c r="E48" s="138">
        <f>SUM(E46:E47)</f>
        <v>40969.550000000003</v>
      </c>
      <c r="F48" s="138">
        <f>SUM(F46:F47)</f>
        <v>41173.027499999989</v>
      </c>
      <c r="G48" s="138">
        <f>SUM(G46:G47)</f>
        <v>41377.453874999985</v>
      </c>
      <c r="H48" s="138">
        <f>SUM(H46:H47)</f>
        <v>41582.830443749983</v>
      </c>
      <c r="I48" s="138">
        <f>SUM(I46:I47)</f>
        <v>41997.24876093748</v>
      </c>
      <c r="J48" s="139"/>
      <c r="K48" s="33"/>
    </row>
    <row r="49" spans="1:11">
      <c r="A49" s="43"/>
      <c r="B49" s="133"/>
      <c r="C49" s="133"/>
      <c r="D49" s="133"/>
      <c r="E49" s="140"/>
      <c r="F49" s="140"/>
      <c r="G49" s="140"/>
      <c r="H49" s="140"/>
      <c r="I49" s="140"/>
      <c r="J49" s="139"/>
      <c r="K49" s="33"/>
    </row>
    <row r="50" spans="1:11">
      <c r="A50" s="33" t="s">
        <v>192</v>
      </c>
      <c r="B50" s="43"/>
      <c r="C50" s="141"/>
      <c r="D50" s="141"/>
      <c r="E50" s="141"/>
      <c r="F50" s="141"/>
      <c r="G50" s="141"/>
      <c r="H50" s="141"/>
      <c r="I50" s="141"/>
      <c r="J50" s="141"/>
      <c r="K50" s="141"/>
    </row>
    <row r="51" spans="1:11">
      <c r="A51" s="43" t="s">
        <v>191</v>
      </c>
      <c r="B51" s="142">
        <f>B48/'Data '!D20</f>
        <v>0.12371734831928401</v>
      </c>
      <c r="C51" s="142">
        <f t="shared" ref="C51:I51" si="5">C48/B60</f>
        <v>0.16981126554498902</v>
      </c>
      <c r="D51" s="142">
        <f t="shared" si="5"/>
        <v>0.15319749999999999</v>
      </c>
      <c r="E51" s="66">
        <f t="shared" si="5"/>
        <v>9.754654761904763E-2</v>
      </c>
      <c r="F51" s="66">
        <f t="shared" si="5"/>
        <v>8.9318323737435562E-2</v>
      </c>
      <c r="G51" s="66">
        <f t="shared" si="5"/>
        <v>8.2401803250790828E-2</v>
      </c>
      <c r="H51" s="66">
        <f t="shared" si="5"/>
        <v>7.6506527898435525E-2</v>
      </c>
      <c r="I51" s="66">
        <f t="shared" si="5"/>
        <v>7.177754802017558E-2</v>
      </c>
      <c r="J51" s="33"/>
      <c r="K51" s="33"/>
    </row>
    <row r="52" spans="1:11">
      <c r="A52" s="43" t="s">
        <v>81</v>
      </c>
      <c r="B52" s="142">
        <f>B48/'Data '!E58</f>
        <v>3.3238324088039062E-2</v>
      </c>
      <c r="C52" s="142">
        <f>C48/'Data '!F58</f>
        <v>5.0189791147576997E-2</v>
      </c>
      <c r="D52" s="142">
        <f>D48/'Data '!G58</f>
        <v>5.9200700218141909E-2</v>
      </c>
      <c r="E52" s="66">
        <f>E48/E16</f>
        <v>3.9158341978784802E-2</v>
      </c>
      <c r="F52" s="66">
        <f>F48/F16</f>
        <v>3.800038100605755E-2</v>
      </c>
      <c r="G52" s="66">
        <f>G48/G16</f>
        <v>3.6559375527857103E-2</v>
      </c>
      <c r="H52" s="66">
        <f>H48/H16</f>
        <v>3.5116312342524887E-2</v>
      </c>
      <c r="I52" s="66">
        <f>I48/I16</f>
        <v>3.405830896677689E-2</v>
      </c>
      <c r="J52" s="65"/>
      <c r="K52" s="63"/>
    </row>
    <row r="53" spans="1:11">
      <c r="A53" s="33"/>
      <c r="B53" s="33"/>
      <c r="C53" s="33"/>
      <c r="D53" s="64"/>
      <c r="E53" s="46"/>
      <c r="F53" s="143"/>
      <c r="G53" s="63"/>
      <c r="H53" s="63"/>
      <c r="I53" s="63"/>
      <c r="J53" s="63"/>
      <c r="K53" s="63"/>
    </row>
    <row r="54" spans="1:11">
      <c r="A54" s="33"/>
      <c r="B54" s="33"/>
      <c r="C54" s="33"/>
      <c r="D54" s="46"/>
      <c r="E54" s="46"/>
      <c r="F54" s="46"/>
      <c r="G54" s="46"/>
      <c r="H54" s="46"/>
      <c r="I54" s="33"/>
      <c r="J54" s="33"/>
      <c r="K54" s="33"/>
    </row>
    <row r="55" spans="1:11">
      <c r="A55" s="41" t="s">
        <v>190</v>
      </c>
      <c r="B55" s="40"/>
      <c r="C55" s="40"/>
      <c r="D55" s="39"/>
      <c r="E55" s="38" t="s">
        <v>189</v>
      </c>
      <c r="F55" s="37"/>
      <c r="G55" s="36"/>
      <c r="H55" s="36"/>
      <c r="I55" s="36"/>
      <c r="J55" s="33"/>
      <c r="K55" s="7" t="s">
        <v>188</v>
      </c>
    </row>
    <row r="56" spans="1:11">
      <c r="A56" s="33"/>
      <c r="B56" s="33"/>
      <c r="C56" s="33"/>
      <c r="D56" s="46"/>
      <c r="E56" s="46"/>
      <c r="F56" s="46"/>
      <c r="G56" s="46"/>
      <c r="H56" s="46"/>
      <c r="I56" s="33"/>
      <c r="J56" s="33"/>
      <c r="K56" s="7" t="s">
        <v>187</v>
      </c>
    </row>
    <row r="57" spans="1:11">
      <c r="A57" s="35" t="s">
        <v>186</v>
      </c>
      <c r="B57" s="35">
        <f t="shared" ref="B57:I57" si="6">B44</f>
        <v>2022</v>
      </c>
      <c r="C57" s="35">
        <f t="shared" si="6"/>
        <v>2023</v>
      </c>
      <c r="D57" s="35">
        <f t="shared" si="6"/>
        <v>2024</v>
      </c>
      <c r="E57" s="34" t="str">
        <f t="shared" si="6"/>
        <v>Year +1</v>
      </c>
      <c r="F57" s="34" t="str">
        <f t="shared" si="6"/>
        <v>Year +2</v>
      </c>
      <c r="G57" s="34" t="str">
        <f t="shared" si="6"/>
        <v>Year +3</v>
      </c>
      <c r="H57" s="34" t="str">
        <f t="shared" si="6"/>
        <v>Year +4</v>
      </c>
      <c r="I57" s="34" t="str">
        <f t="shared" si="6"/>
        <v>Year +5</v>
      </c>
      <c r="J57" s="33"/>
      <c r="K57" s="48"/>
    </row>
    <row r="58" spans="1:11">
      <c r="A58" s="61" t="s">
        <v>185</v>
      </c>
      <c r="B58" s="31"/>
      <c r="C58" s="31"/>
      <c r="D58" s="31"/>
      <c r="E58" s="101">
        <f>D60</f>
        <v>420000</v>
      </c>
      <c r="F58" s="101">
        <f>E60</f>
        <v>460969.55</v>
      </c>
      <c r="G58" s="101">
        <f>F60</f>
        <v>502142.57749999996</v>
      </c>
      <c r="H58" s="101">
        <f>G60</f>
        <v>543520.0313749999</v>
      </c>
      <c r="I58" s="101">
        <f>H60</f>
        <v>585102.86181874992</v>
      </c>
      <c r="J58" s="33"/>
      <c r="K58" s="48"/>
    </row>
    <row r="59" spans="1:11">
      <c r="A59" s="61" t="s">
        <v>184</v>
      </c>
      <c r="B59" s="31"/>
      <c r="C59" s="31"/>
      <c r="D59" s="31"/>
      <c r="E59" s="62">
        <f>E48</f>
        <v>40969.550000000003</v>
      </c>
      <c r="F59" s="62">
        <f>F48</f>
        <v>41173.027499999989</v>
      </c>
      <c r="G59" s="62">
        <f>G48</f>
        <v>41377.453874999985</v>
      </c>
      <c r="H59" s="62">
        <f>H48</f>
        <v>41582.830443749983</v>
      </c>
      <c r="I59" s="62">
        <f>I48</f>
        <v>41997.24876093748</v>
      </c>
      <c r="J59" s="33"/>
      <c r="K59" s="48"/>
    </row>
    <row r="60" spans="1:11">
      <c r="A60" s="61" t="s">
        <v>183</v>
      </c>
      <c r="B60" s="144">
        <f>'Data '!E20</f>
        <v>341750</v>
      </c>
      <c r="C60" s="144">
        <f>'Data '!F20</f>
        <v>400000</v>
      </c>
      <c r="D60" s="144">
        <f>'Data '!G20</f>
        <v>420000</v>
      </c>
      <c r="E60" s="145">
        <f>E58+E59</f>
        <v>460969.55</v>
      </c>
      <c r="F60" s="145">
        <f>F58+F59</f>
        <v>502142.57749999996</v>
      </c>
      <c r="G60" s="145">
        <f>G58+G59</f>
        <v>543520.0313749999</v>
      </c>
      <c r="H60" s="145">
        <f>H58+H59</f>
        <v>585102.86181874992</v>
      </c>
      <c r="I60" s="145">
        <f>I58+I59</f>
        <v>627100.1105796874</v>
      </c>
      <c r="J60" s="58"/>
      <c r="K60" s="57"/>
    </row>
    <row r="61" spans="1:11">
      <c r="A61" s="43"/>
      <c r="B61" s="31"/>
      <c r="C61" s="31"/>
      <c r="D61" s="31"/>
      <c r="E61" s="31"/>
      <c r="F61" s="31"/>
      <c r="G61" s="31"/>
      <c r="H61" s="31"/>
      <c r="I61" s="31"/>
      <c r="J61" s="58"/>
      <c r="K61" s="57"/>
    </row>
    <row r="62" spans="1:11">
      <c r="A62" s="33" t="s">
        <v>182</v>
      </c>
      <c r="B62" s="31"/>
      <c r="C62" s="31"/>
      <c r="D62" s="31"/>
      <c r="E62" s="31"/>
      <c r="F62" s="31"/>
      <c r="G62" s="31"/>
      <c r="H62" s="31"/>
      <c r="I62" s="31"/>
      <c r="J62" s="58"/>
      <c r="K62" s="57"/>
    </row>
    <row r="63" spans="1:11">
      <c r="A63" s="33" t="s">
        <v>181</v>
      </c>
      <c r="B63" s="31"/>
      <c r="C63" s="31"/>
      <c r="D63" s="31"/>
      <c r="E63" s="146">
        <f>D65</f>
        <v>-208000</v>
      </c>
      <c r="F63" s="146">
        <f>E65</f>
        <v>-254096.95500000002</v>
      </c>
      <c r="G63" s="146">
        <f>F65</f>
        <v>-304311.21275000001</v>
      </c>
      <c r="H63" s="146">
        <f>G65</f>
        <v>-358663.21588749997</v>
      </c>
      <c r="I63" s="146">
        <f>H65</f>
        <v>-417173.50206937495</v>
      </c>
      <c r="J63" s="58"/>
      <c r="K63" s="57"/>
    </row>
    <row r="64" spans="1:11">
      <c r="A64" s="33" t="s">
        <v>180</v>
      </c>
      <c r="B64" s="31"/>
      <c r="C64" s="31"/>
      <c r="D64" s="31"/>
      <c r="E64" s="60">
        <f>-E80</f>
        <v>-46096.955000000002</v>
      </c>
      <c r="F64" s="60">
        <f>-F80</f>
        <v>-50214.257749999997</v>
      </c>
      <c r="G64" s="60">
        <f>-G80</f>
        <v>-54352.003137499996</v>
      </c>
      <c r="H64" s="60">
        <f>-H80</f>
        <v>-58510.286181874995</v>
      </c>
      <c r="I64" s="60">
        <f>-I80</f>
        <v>-62710.011057968746</v>
      </c>
      <c r="J64" s="58"/>
      <c r="K64" s="57"/>
    </row>
    <row r="65" spans="1:11">
      <c r="A65" s="33" t="s">
        <v>179</v>
      </c>
      <c r="B65" s="144">
        <f>'Data '!E21</f>
        <v>-150186</v>
      </c>
      <c r="C65" s="144">
        <f>'Data '!F21</f>
        <v>-176646</v>
      </c>
      <c r="D65" s="144">
        <f>'Data '!G21</f>
        <v>-208000</v>
      </c>
      <c r="E65" s="145">
        <f>E63+E64</f>
        <v>-254096.95500000002</v>
      </c>
      <c r="F65" s="145">
        <f>F63+F64</f>
        <v>-304311.21275000001</v>
      </c>
      <c r="G65" s="145">
        <f>G63+G64</f>
        <v>-358663.21588749997</v>
      </c>
      <c r="H65" s="145">
        <f>H63+H64</f>
        <v>-417173.50206937495</v>
      </c>
      <c r="I65" s="145">
        <f>I63+I64</f>
        <v>-479883.51312734373</v>
      </c>
      <c r="J65" s="57"/>
      <c r="K65" s="57"/>
    </row>
    <row r="66" spans="1:11">
      <c r="A66" s="33"/>
      <c r="B66" s="31"/>
      <c r="C66" s="31"/>
      <c r="D66" s="31"/>
      <c r="E66" s="59"/>
      <c r="F66" s="59"/>
      <c r="G66" s="59"/>
      <c r="H66" s="59"/>
      <c r="I66" s="59"/>
      <c r="J66" s="57"/>
      <c r="K66" s="57"/>
    </row>
    <row r="67" spans="1:11">
      <c r="A67" s="33" t="s">
        <v>178</v>
      </c>
      <c r="B67" s="144">
        <f>B60+B65</f>
        <v>191564</v>
      </c>
      <c r="C67" s="144">
        <f t="shared" ref="C67:I67" si="7">C60+C65</f>
        <v>223354</v>
      </c>
      <c r="D67" s="144">
        <f t="shared" si="7"/>
        <v>212000</v>
      </c>
      <c r="E67" s="145">
        <f>E60+E65</f>
        <v>206872.59499999997</v>
      </c>
      <c r="F67" s="145">
        <f>F60+F65</f>
        <v>197831.36474999995</v>
      </c>
      <c r="G67" s="145">
        <f>G60+G65</f>
        <v>184856.81548749993</v>
      </c>
      <c r="H67" s="145">
        <f t="shared" si="7"/>
        <v>167929.35974937497</v>
      </c>
      <c r="I67" s="145">
        <f t="shared" si="7"/>
        <v>147216.59745234367</v>
      </c>
      <c r="J67" s="57"/>
      <c r="K67" s="57"/>
    </row>
    <row r="68" spans="1:11">
      <c r="A68" s="33"/>
      <c r="B68" s="33"/>
      <c r="C68" s="33"/>
      <c r="D68" s="33"/>
      <c r="E68" s="33"/>
      <c r="F68" s="33"/>
      <c r="G68" s="57"/>
      <c r="H68" s="57"/>
      <c r="I68" s="57"/>
      <c r="J68" s="57"/>
      <c r="K68" s="57"/>
    </row>
    <row r="69" spans="1:11">
      <c r="A69" s="33"/>
      <c r="B69" s="58"/>
      <c r="C69" s="58"/>
      <c r="D69" s="58"/>
      <c r="E69" s="50"/>
      <c r="F69" s="50"/>
      <c r="G69" s="33"/>
      <c r="H69" s="57"/>
      <c r="I69" s="57"/>
      <c r="J69" s="57"/>
      <c r="K69" s="33"/>
    </row>
    <row r="70" spans="1:11">
      <c r="A70" s="33" t="s">
        <v>177</v>
      </c>
      <c r="B70" s="58"/>
      <c r="C70" s="58"/>
      <c r="D70" s="58"/>
      <c r="E70" s="50" t="s">
        <v>176</v>
      </c>
      <c r="F70" s="50"/>
      <c r="G70" s="33"/>
      <c r="H70" s="57"/>
      <c r="I70" s="57"/>
      <c r="J70" s="57"/>
      <c r="K70" s="33"/>
    </row>
    <row r="71" spans="1:11">
      <c r="B71" s="33"/>
      <c r="C71" s="43" t="s">
        <v>175</v>
      </c>
      <c r="D71" s="147">
        <f>D60</f>
        <v>420000</v>
      </c>
      <c r="E71" s="101">
        <f>$D$71/$D$92</f>
        <v>42000</v>
      </c>
      <c r="F71" s="101">
        <f>$D$71/$D$92</f>
        <v>42000</v>
      </c>
      <c r="G71" s="101">
        <f>$D$71/$D$92</f>
        <v>42000</v>
      </c>
      <c r="H71" s="101">
        <f>$D$71/$D$92</f>
        <v>42000</v>
      </c>
      <c r="I71" s="101">
        <f>$D$71/$D$92</f>
        <v>42000</v>
      </c>
      <c r="J71" s="56"/>
      <c r="K71" s="55" t="s">
        <v>174</v>
      </c>
    </row>
    <row r="72" spans="1:11">
      <c r="B72" s="33"/>
      <c r="C72" s="43" t="s">
        <v>173</v>
      </c>
      <c r="D72" s="147">
        <f>D67</f>
        <v>212000</v>
      </c>
      <c r="E72" s="101">
        <f>$D$67-E71</f>
        <v>170000</v>
      </c>
      <c r="F72" s="101">
        <f>E72-F71</f>
        <v>128000</v>
      </c>
      <c r="G72" s="101">
        <f>F72-G71</f>
        <v>86000</v>
      </c>
      <c r="H72" s="101">
        <f>G72-H71</f>
        <v>44000</v>
      </c>
      <c r="I72" s="101">
        <f>H72-I71</f>
        <v>2000</v>
      </c>
      <c r="J72" s="54"/>
      <c r="K72" s="7" t="s">
        <v>172</v>
      </c>
    </row>
    <row r="73" spans="1:11">
      <c r="A73" s="53"/>
      <c r="B73" s="33"/>
      <c r="C73" s="33"/>
      <c r="D73" s="31"/>
      <c r="E73" s="31"/>
      <c r="F73" s="31"/>
      <c r="G73" s="31"/>
      <c r="H73" s="31"/>
      <c r="I73" s="31"/>
      <c r="J73" s="33"/>
      <c r="K73" s="33"/>
    </row>
    <row r="74" spans="1:11">
      <c r="A74" s="33" t="s">
        <v>171</v>
      </c>
      <c r="B74" s="33"/>
      <c r="C74" s="33"/>
      <c r="D74" s="31"/>
      <c r="E74" s="31" t="s">
        <v>170</v>
      </c>
      <c r="F74" s="31"/>
      <c r="G74" s="31"/>
      <c r="H74" s="31"/>
      <c r="I74" s="31"/>
      <c r="J74" s="33"/>
      <c r="K74" s="33"/>
    </row>
    <row r="75" spans="1:11">
      <c r="A75" s="33"/>
      <c r="C75" s="43" t="s">
        <v>169</v>
      </c>
      <c r="D75" s="147">
        <f>E48</f>
        <v>40969.550000000003</v>
      </c>
      <c r="E75" s="147">
        <f>$D$75/$D$92</f>
        <v>4096.9549999999999</v>
      </c>
      <c r="F75" s="147">
        <f t="shared" ref="F75:I75" si="8">$D$75/$D$92</f>
        <v>4096.9549999999999</v>
      </c>
      <c r="G75" s="147">
        <f t="shared" si="8"/>
        <v>4096.9549999999999</v>
      </c>
      <c r="H75" s="147">
        <f t="shared" si="8"/>
        <v>4096.9549999999999</v>
      </c>
      <c r="I75" s="147">
        <f t="shared" si="8"/>
        <v>4096.9549999999999</v>
      </c>
      <c r="J75" s="51"/>
      <c r="K75" s="52" t="s">
        <v>168</v>
      </c>
    </row>
    <row r="76" spans="1:11">
      <c r="A76" s="33"/>
      <c r="C76" s="43" t="s">
        <v>167</v>
      </c>
      <c r="D76" s="147">
        <f>F48</f>
        <v>41173.027499999989</v>
      </c>
      <c r="E76" s="147"/>
      <c r="F76" s="147">
        <f>$D$76/$D$92</f>
        <v>4117.3027499999989</v>
      </c>
      <c r="G76" s="147">
        <f>$D$76/$D$92</f>
        <v>4117.3027499999989</v>
      </c>
      <c r="H76" s="147">
        <f>$D$76/$D$92</f>
        <v>4117.3027499999989</v>
      </c>
      <c r="I76" s="147">
        <f>$D$76/$D$92</f>
        <v>4117.3027499999989</v>
      </c>
      <c r="J76" s="51"/>
      <c r="K76" s="50"/>
    </row>
    <row r="77" spans="1:11">
      <c r="A77" s="33"/>
      <c r="C77" s="43" t="s">
        <v>166</v>
      </c>
      <c r="D77" s="147">
        <f>G48</f>
        <v>41377.453874999985</v>
      </c>
      <c r="E77" s="147"/>
      <c r="F77" s="147"/>
      <c r="G77" s="147">
        <f>$D$77/$D$92</f>
        <v>4137.7453874999983</v>
      </c>
      <c r="H77" s="147">
        <f>$D$77/$D$92</f>
        <v>4137.7453874999983</v>
      </c>
      <c r="I77" s="147">
        <f>$D$77/$D$92</f>
        <v>4137.7453874999983</v>
      </c>
      <c r="J77" s="51"/>
      <c r="K77" s="50"/>
    </row>
    <row r="78" spans="1:11">
      <c r="A78" s="33"/>
      <c r="C78" s="43" t="s">
        <v>165</v>
      </c>
      <c r="D78" s="147">
        <f>H48</f>
        <v>41582.830443749983</v>
      </c>
      <c r="E78" s="147"/>
      <c r="F78" s="147"/>
      <c r="G78" s="147"/>
      <c r="H78" s="147">
        <f>$D$78/$D$92</f>
        <v>4158.2830443749981</v>
      </c>
      <c r="I78" s="147">
        <f>$D$78/$D$92</f>
        <v>4158.2830443749981</v>
      </c>
      <c r="J78" s="51"/>
      <c r="K78" s="50"/>
    </row>
    <row r="79" spans="1:11">
      <c r="A79" s="33"/>
      <c r="C79" s="43" t="s">
        <v>164</v>
      </c>
      <c r="D79" s="147">
        <f>I48</f>
        <v>41997.24876093748</v>
      </c>
      <c r="E79" s="147"/>
      <c r="F79" s="147"/>
      <c r="G79" s="147"/>
      <c r="H79" s="147"/>
      <c r="I79" s="147">
        <f>$D$79/$D$92</f>
        <v>4199.7248760937482</v>
      </c>
      <c r="J79" s="51"/>
      <c r="K79" s="50"/>
    </row>
    <row r="80" spans="1:11">
      <c r="A80" s="33" t="s">
        <v>163</v>
      </c>
      <c r="B80" s="33"/>
      <c r="C80" s="33"/>
      <c r="D80" s="147"/>
      <c r="E80" s="148">
        <f>E71+SUM(E75:E79)</f>
        <v>46096.955000000002</v>
      </c>
      <c r="F80" s="148">
        <f>F71+SUM(F75:F79)</f>
        <v>50214.257749999997</v>
      </c>
      <c r="G80" s="148">
        <f>G71+SUM(G75:G79)</f>
        <v>54352.003137499996</v>
      </c>
      <c r="H80" s="148">
        <f>H71+SUM(H75:H79)</f>
        <v>58510.286181874995</v>
      </c>
      <c r="I80" s="148">
        <f>I71+SUM(I75:I79)</f>
        <v>62710.011057968746</v>
      </c>
      <c r="J80" s="51"/>
      <c r="K80" s="50"/>
    </row>
    <row r="81" spans="1:11">
      <c r="A81" s="33"/>
      <c r="B81" s="33"/>
      <c r="C81" s="33"/>
      <c r="D81" s="33"/>
      <c r="E81" s="33"/>
      <c r="F81" s="33"/>
      <c r="G81" s="33"/>
      <c r="H81" s="33"/>
      <c r="I81" s="33"/>
      <c r="J81" s="33"/>
      <c r="K81" s="33"/>
    </row>
    <row r="82" spans="1:11">
      <c r="A82" s="33"/>
      <c r="B82" s="33"/>
      <c r="C82" s="33"/>
      <c r="D82" s="43" t="s">
        <v>162</v>
      </c>
      <c r="E82" s="49">
        <f>E80*0.95</f>
        <v>43792.107250000001</v>
      </c>
      <c r="F82" s="49">
        <f>F80*0.95</f>
        <v>47703.544862499992</v>
      </c>
      <c r="G82" s="49">
        <f>G80*0.95</f>
        <v>51634.402980624996</v>
      </c>
      <c r="H82" s="49">
        <f>H80*0.95</f>
        <v>55584.771872781246</v>
      </c>
      <c r="I82" s="49">
        <f>I80*0.95</f>
        <v>59574.510505070306</v>
      </c>
      <c r="J82" s="33"/>
      <c r="K82" s="33"/>
    </row>
    <row r="83" spans="1:11">
      <c r="A83" s="33"/>
      <c r="B83" s="33"/>
      <c r="C83" s="33"/>
      <c r="D83" s="43" t="s">
        <v>161</v>
      </c>
      <c r="E83" s="49">
        <f>E80*0.05</f>
        <v>2304.8477500000004</v>
      </c>
      <c r="F83" s="49">
        <f>F80*0.05</f>
        <v>2510.7128874999999</v>
      </c>
      <c r="G83" s="49">
        <f>G80*0.05</f>
        <v>2717.6001568749998</v>
      </c>
      <c r="H83" s="49">
        <f>H80*0.05</f>
        <v>2925.5143090937499</v>
      </c>
      <c r="I83" s="49">
        <f>I80*0.05</f>
        <v>3135.5005528984375</v>
      </c>
      <c r="J83" s="33"/>
      <c r="K83" s="33"/>
    </row>
    <row r="84" spans="1:11">
      <c r="A84" s="951" t="s">
        <v>1321</v>
      </c>
      <c r="B84" s="952" t="s">
        <v>1322</v>
      </c>
      <c r="C84" s="33"/>
      <c r="D84" s="33"/>
      <c r="E84" s="33"/>
      <c r="F84" s="33"/>
      <c r="G84" s="33"/>
      <c r="H84" s="33"/>
      <c r="I84" s="33"/>
      <c r="J84" s="33"/>
      <c r="K84" s="33"/>
    </row>
    <row r="85" spans="1:11">
      <c r="A85" s="33" t="s">
        <v>1323</v>
      </c>
      <c r="B85" s="33">
        <v>0</v>
      </c>
      <c r="C85" s="33">
        <v>0</v>
      </c>
      <c r="D85" s="996">
        <v>232865</v>
      </c>
      <c r="E85" s="954">
        <f>$D$85*(1-0.02)^1</f>
        <v>228207.69999999998</v>
      </c>
      <c r="F85" s="954">
        <f>$D$85*(1-0.02)^2</f>
        <v>223643.54599999997</v>
      </c>
      <c r="G85" s="954">
        <f>$D$85*(1-0.02)^3</f>
        <v>219170.67507999999</v>
      </c>
      <c r="H85" s="954">
        <f>$D$85*(1-0.02)^4</f>
        <v>214787.26157839998</v>
      </c>
      <c r="I85" s="954">
        <f>$D$85*(1-0.02)^5</f>
        <v>210491.51634683195</v>
      </c>
      <c r="J85" s="33"/>
      <c r="K85" s="953" t="s">
        <v>1324</v>
      </c>
    </row>
    <row r="86" spans="1:11">
      <c r="A86" s="33" t="s">
        <v>160</v>
      </c>
      <c r="B86" s="48">
        <f>B57</f>
        <v>2022</v>
      </c>
      <c r="C86" s="48">
        <f>C57</f>
        <v>2023</v>
      </c>
      <c r="D86" s="48">
        <f>D57</f>
        <v>2024</v>
      </c>
      <c r="G86" s="33"/>
      <c r="H86" s="33"/>
      <c r="I86" s="33"/>
      <c r="J86" s="33"/>
      <c r="K86" s="33"/>
    </row>
    <row r="87" spans="1:11">
      <c r="B87" s="33"/>
      <c r="C87" s="33"/>
      <c r="D87" s="33"/>
      <c r="G87" s="33"/>
      <c r="H87" s="33"/>
      <c r="I87" s="33"/>
      <c r="J87" s="33"/>
      <c r="K87" s="33"/>
    </row>
    <row r="88" spans="1:11">
      <c r="A88" s="33" t="s">
        <v>159</v>
      </c>
      <c r="B88" s="100">
        <f>B60</f>
        <v>341750</v>
      </c>
      <c r="C88" s="100">
        <f>C60</f>
        <v>400000</v>
      </c>
      <c r="D88" s="100">
        <f>D60</f>
        <v>420000</v>
      </c>
      <c r="G88" s="33"/>
      <c r="H88" s="33"/>
      <c r="I88" s="33"/>
      <c r="J88" s="33"/>
      <c r="K88" s="7" t="s">
        <v>158</v>
      </c>
    </row>
    <row r="89" spans="1:11">
      <c r="A89" s="33" t="s">
        <v>157</v>
      </c>
      <c r="B89" s="147"/>
      <c r="C89" s="147">
        <f>(B88+C88)/2</f>
        <v>370875</v>
      </c>
      <c r="D89" s="147">
        <f>(C88+D88)/2</f>
        <v>410000</v>
      </c>
      <c r="G89" s="997"/>
      <c r="H89" s="33"/>
      <c r="I89" s="33"/>
      <c r="J89" s="33"/>
      <c r="K89" s="33"/>
    </row>
    <row r="90" spans="1:11">
      <c r="A90" s="33" t="s">
        <v>156</v>
      </c>
      <c r="B90" s="147">
        <f>'Data '!E138</f>
        <v>170962</v>
      </c>
      <c r="C90" s="147">
        <f>'Data '!F138</f>
        <v>179789</v>
      </c>
      <c r="D90" s="147">
        <f>'Data '!G138</f>
        <v>264219</v>
      </c>
      <c r="G90" s="33"/>
      <c r="H90" s="33"/>
      <c r="I90" s="33"/>
      <c r="J90" s="33"/>
      <c r="K90" s="33"/>
    </row>
    <row r="91" spans="1:11">
      <c r="A91" s="33" t="s">
        <v>155</v>
      </c>
      <c r="B91" s="998"/>
      <c r="C91" s="664" t="s">
        <v>1215</v>
      </c>
      <c r="D91" s="664">
        <f>D89/D90</f>
        <v>1.5517430616269079</v>
      </c>
      <c r="G91" s="33"/>
      <c r="H91" s="33"/>
      <c r="I91" s="33"/>
      <c r="J91" s="33"/>
      <c r="K91" s="33"/>
    </row>
    <row r="92" spans="1:11">
      <c r="A92" s="33" t="s">
        <v>154</v>
      </c>
      <c r="B92" s="33"/>
      <c r="C92" s="33" t="s">
        <v>153</v>
      </c>
      <c r="D92" s="976">
        <v>10</v>
      </c>
      <c r="E92" s="33"/>
      <c r="F92" s="33"/>
      <c r="G92" s="33"/>
      <c r="H92" s="33"/>
      <c r="I92" s="33"/>
      <c r="J92" s="33"/>
      <c r="K92" s="33"/>
    </row>
    <row r="93" spans="1:11">
      <c r="B93" s="33"/>
      <c r="C93" s="33"/>
      <c r="E93" s="33"/>
      <c r="F93" s="33"/>
      <c r="G93" s="33"/>
      <c r="H93" s="33"/>
      <c r="I93" s="33"/>
      <c r="J93" s="33"/>
      <c r="K93" s="33"/>
    </row>
    <row r="94" spans="1:11">
      <c r="D94" s="996">
        <v>10</v>
      </c>
      <c r="E94" s="33"/>
      <c r="F94" s="33"/>
      <c r="G94" s="33"/>
      <c r="H94" s="33"/>
      <c r="I94" s="33"/>
      <c r="J94" s="33"/>
      <c r="K94" s="33"/>
    </row>
    <row r="97" spans="1:9">
      <c r="A97" s="41" t="s">
        <v>152</v>
      </c>
      <c r="B97" s="40"/>
      <c r="C97" s="40"/>
      <c r="D97" s="39"/>
      <c r="E97" s="47"/>
      <c r="F97" s="46"/>
      <c r="G97" s="33"/>
      <c r="H97" s="33"/>
      <c r="I97" s="33"/>
    </row>
    <row r="99" spans="1:9" ht="38.25">
      <c r="A99" s="45" t="s">
        <v>151</v>
      </c>
      <c r="B99" s="45" t="s">
        <v>150</v>
      </c>
      <c r="C99" s="45" t="s">
        <v>149</v>
      </c>
      <c r="D99" s="45" t="s">
        <v>148</v>
      </c>
      <c r="E99" s="45" t="s">
        <v>147</v>
      </c>
      <c r="F99" s="45"/>
      <c r="H99" s="45"/>
    </row>
    <row r="100" spans="1:9" ht="15">
      <c r="A100" s="32" t="s">
        <v>146</v>
      </c>
      <c r="B100" s="149">
        <v>552344</v>
      </c>
      <c r="C100" s="44">
        <f t="shared" ref="C100:C107" si="9">B100/$B$107</f>
        <v>1</v>
      </c>
      <c r="D100" s="150">
        <v>6.0999999999999999E-2</v>
      </c>
      <c r="E100" s="151">
        <f t="shared" ref="E100:E106" si="10">C100*D100</f>
        <v>6.0999999999999999E-2</v>
      </c>
    </row>
    <row r="101" spans="1:9" ht="15">
      <c r="A101" s="32" t="s">
        <v>145</v>
      </c>
      <c r="B101" s="149">
        <v>0</v>
      </c>
      <c r="C101" s="44">
        <f t="shared" si="9"/>
        <v>0</v>
      </c>
      <c r="D101" s="150">
        <v>0</v>
      </c>
      <c r="E101" s="151">
        <f t="shared" si="10"/>
        <v>0</v>
      </c>
    </row>
    <row r="102" spans="1:9" ht="15">
      <c r="A102" s="32" t="s">
        <v>144</v>
      </c>
      <c r="B102" s="149">
        <v>0</v>
      </c>
      <c r="C102" s="44">
        <f t="shared" si="9"/>
        <v>0</v>
      </c>
      <c r="D102" s="150">
        <v>0</v>
      </c>
      <c r="E102" s="151">
        <f t="shared" si="10"/>
        <v>0</v>
      </c>
    </row>
    <row r="103" spans="1:9" ht="15">
      <c r="A103" s="32" t="s">
        <v>143</v>
      </c>
      <c r="B103" s="149">
        <v>0</v>
      </c>
      <c r="C103" s="44">
        <f t="shared" si="9"/>
        <v>0</v>
      </c>
      <c r="D103" s="150">
        <v>0</v>
      </c>
      <c r="E103" s="151">
        <f t="shared" si="10"/>
        <v>0</v>
      </c>
    </row>
    <row r="104" spans="1:9" ht="15">
      <c r="A104" s="32" t="s">
        <v>142</v>
      </c>
      <c r="B104" s="149">
        <v>0</v>
      </c>
      <c r="C104" s="44">
        <f t="shared" si="9"/>
        <v>0</v>
      </c>
      <c r="D104" s="150">
        <v>0</v>
      </c>
      <c r="E104" s="151">
        <f t="shared" si="10"/>
        <v>0</v>
      </c>
    </row>
    <row r="105" spans="1:9" ht="15">
      <c r="A105" s="32" t="s">
        <v>141</v>
      </c>
      <c r="B105" s="149">
        <v>0</v>
      </c>
      <c r="C105" s="44">
        <f t="shared" si="9"/>
        <v>0</v>
      </c>
      <c r="D105" s="150">
        <v>0</v>
      </c>
      <c r="E105" s="151">
        <f t="shared" si="10"/>
        <v>0</v>
      </c>
    </row>
    <row r="106" spans="1:9" ht="15">
      <c r="A106" s="32" t="s">
        <v>140</v>
      </c>
      <c r="B106" s="149">
        <v>0</v>
      </c>
      <c r="C106" s="44">
        <f t="shared" si="9"/>
        <v>0</v>
      </c>
      <c r="D106" s="150">
        <v>0</v>
      </c>
      <c r="E106" s="151">
        <f t="shared" si="10"/>
        <v>0</v>
      </c>
    </row>
    <row r="107" spans="1:9">
      <c r="A107" s="43" t="s">
        <v>139</v>
      </c>
      <c r="B107" s="152">
        <f>SUM(B100:B106)</f>
        <v>552344</v>
      </c>
      <c r="C107" s="42">
        <f t="shared" si="9"/>
        <v>1</v>
      </c>
      <c r="E107" s="153">
        <f>SUM(E100:E106)</f>
        <v>6.0999999999999999E-2</v>
      </c>
    </row>
    <row r="109" spans="1:9">
      <c r="D109" s="32" t="s">
        <v>138</v>
      </c>
      <c r="E109" s="154">
        <f>E107</f>
        <v>6.0999999999999999E-2</v>
      </c>
    </row>
    <row r="113" spans="1:9">
      <c r="A113" s="41" t="s">
        <v>137</v>
      </c>
      <c r="B113" s="40"/>
      <c r="C113" s="40"/>
      <c r="D113" s="39"/>
      <c r="E113" s="38" t="s">
        <v>136</v>
      </c>
      <c r="F113" s="37"/>
      <c r="G113" s="36"/>
      <c r="H113" s="36"/>
      <c r="I113" s="36"/>
    </row>
    <row r="115" spans="1:9" s="31" customFormat="1">
      <c r="A115" s="35"/>
      <c r="B115" s="35">
        <f t="shared" ref="B115:I115" si="11">B57</f>
        <v>2022</v>
      </c>
      <c r="C115" s="35">
        <f t="shared" si="11"/>
        <v>2023</v>
      </c>
      <c r="D115" s="34">
        <f t="shared" si="11"/>
        <v>2024</v>
      </c>
      <c r="E115" s="34" t="str">
        <f t="shared" si="11"/>
        <v>Year +1</v>
      </c>
      <c r="F115" s="34" t="str">
        <f t="shared" si="11"/>
        <v>Year +2</v>
      </c>
      <c r="G115" s="34" t="str">
        <f t="shared" si="11"/>
        <v>Year +3</v>
      </c>
      <c r="H115" s="34" t="str">
        <f t="shared" si="11"/>
        <v>Year +4</v>
      </c>
      <c r="I115" s="34" t="str">
        <f t="shared" si="11"/>
        <v>Year +5</v>
      </c>
    </row>
    <row r="116" spans="1:9" s="31" customFormat="1">
      <c r="A116" s="33" t="s">
        <v>135</v>
      </c>
      <c r="B116" s="155">
        <f>-'Data '!E59</f>
        <v>350693</v>
      </c>
      <c r="C116" s="155">
        <f>-'Data '!F59</f>
        <v>316839</v>
      </c>
      <c r="D116" s="155">
        <f>-'Data '!G59</f>
        <v>295098</v>
      </c>
      <c r="E116" s="156">
        <f>E35*E117</f>
        <v>298182.23039999994</v>
      </c>
      <c r="F116" s="156">
        <f>F35*F117</f>
        <v>308794.61012849997</v>
      </c>
      <c r="G116" s="156">
        <f>G35*G117</f>
        <v>322559.51268613496</v>
      </c>
      <c r="H116" s="156">
        <f>H35*H117</f>
        <v>337481.52598920191</v>
      </c>
      <c r="I116" s="156">
        <f>I35*I117</f>
        <v>351433.06464636518</v>
      </c>
    </row>
    <row r="117" spans="1:9" s="31" customFormat="1">
      <c r="A117" s="7" t="s">
        <v>134</v>
      </c>
      <c r="B117" s="157">
        <f>B116/B16</f>
        <v>0.2801491922083898</v>
      </c>
      <c r="C117" s="157">
        <f>C116/C16</f>
        <v>0.27401794216061803</v>
      </c>
      <c r="D117" s="157">
        <f>D116/D16</f>
        <v>0.28508964299308476</v>
      </c>
      <c r="E117" s="119">
        <v>0.28499999999999998</v>
      </c>
      <c r="F117" s="119">
        <v>0.28499999999999998</v>
      </c>
      <c r="G117" s="119">
        <v>0.28499999999999998</v>
      </c>
      <c r="H117" s="119">
        <v>0.28499999999999998</v>
      </c>
      <c r="I117" s="119">
        <v>0.28499999999999998</v>
      </c>
    </row>
  </sheetData>
  <printOptions headings="1"/>
  <pageMargins left="0.75" right="0.75" top="1" bottom="1" header="0.5" footer="0.5"/>
  <pageSetup scale="73" orientation="portrait" r:id="rId1"/>
  <headerFooter alignWithMargins="0"/>
  <colBreaks count="1" manualBreakCount="1">
    <brk id="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F612F-6BA6-437E-9FDB-FD96AA8619DF}">
  <sheetPr>
    <tabColor rgb="FF4472C4"/>
  </sheetPr>
  <dimension ref="A1:J382"/>
  <sheetViews>
    <sheetView zoomScale="109" zoomScaleNormal="160" workbookViewId="0">
      <pane ySplit="14" topLeftCell="A86" activePane="bottomLeft" state="frozen"/>
      <selection pane="bottomLeft" activeCell="K6" sqref="K1:XFD6"/>
    </sheetView>
  </sheetViews>
  <sheetFormatPr defaultColWidth="9.140625" defaultRowHeight="12.75"/>
  <cols>
    <col min="1" max="1" width="40" style="130" customWidth="1"/>
    <col min="2" max="6" width="10.7109375" style="130" customWidth="1"/>
    <col min="7" max="8" width="9.7109375" style="130" customWidth="1"/>
    <col min="9" max="9" width="10.7109375" style="130" customWidth="1"/>
    <col min="10" max="16384" width="9.140625" style="130"/>
  </cols>
  <sheetData>
    <row r="1" spans="1:10" ht="12.75" customHeight="1"/>
    <row r="2" spans="1:10" ht="12.75" customHeight="1" thickBot="1"/>
    <row r="3" spans="1:10" ht="12.75" customHeight="1">
      <c r="A3" s="160" t="str">
        <f>'Data '!A2</f>
        <v>Analyst Name:</v>
      </c>
      <c r="B3" s="161" t="str">
        <f>'Data '!B2</f>
        <v>ARYAN Shrenick kothari</v>
      </c>
      <c r="C3" s="161"/>
      <c r="D3" s="161"/>
      <c r="E3" s="161"/>
      <c r="F3" s="162"/>
      <c r="J3" s="163"/>
    </row>
    <row r="4" spans="1:10" ht="12.75" customHeight="1" thickBot="1">
      <c r="A4" s="164" t="str">
        <f>'Data '!A3</f>
        <v>Company Name:</v>
      </c>
      <c r="B4" s="165" t="str">
        <f>'Data '!B3</f>
        <v>Salvatore Ferragamo Group</v>
      </c>
      <c r="C4" s="166"/>
      <c r="D4" s="166"/>
      <c r="E4" s="166"/>
      <c r="F4" s="167"/>
    </row>
    <row r="5" spans="1:10" ht="12.75" customHeight="1"/>
    <row r="6" spans="1:10" ht="12.75" customHeight="1">
      <c r="A6" s="168"/>
      <c r="B6" s="168"/>
      <c r="C6" s="168"/>
      <c r="D6" s="168"/>
      <c r="E6" s="168"/>
      <c r="F6" s="168"/>
    </row>
    <row r="7" spans="1:10" ht="12.75" customHeight="1">
      <c r="A7" s="169" t="s">
        <v>347</v>
      </c>
      <c r="B7" s="170"/>
      <c r="C7" s="170"/>
      <c r="D7" s="170"/>
      <c r="E7" s="170"/>
      <c r="F7" s="171"/>
    </row>
    <row r="8" spans="1:10" ht="12.75" customHeight="1">
      <c r="A8" s="172" t="str">
        <f>'Data '!A147</f>
        <v>Assets - Liabilities - Equities</v>
      </c>
      <c r="B8" s="173">
        <f>'Data '!B147</f>
        <v>0</v>
      </c>
      <c r="C8" s="173">
        <f>'Data '!C147</f>
        <v>0</v>
      </c>
      <c r="D8" s="173">
        <f>'Data '!D147</f>
        <v>0</v>
      </c>
      <c r="E8" s="173">
        <f>'Data '!E147</f>
        <v>0</v>
      </c>
      <c r="F8" s="173">
        <f>'Data '!F147</f>
        <v>0</v>
      </c>
      <c r="J8" s="163"/>
    </row>
    <row r="9" spans="1:10" ht="12.75" customHeight="1">
      <c r="A9" s="174" t="str">
        <f>'Data '!A148</f>
        <v>Net Income (computed) - Net Income (reported)</v>
      </c>
      <c r="B9" s="173">
        <f>'Data '!B148</f>
        <v>0</v>
      </c>
      <c r="C9" s="173">
        <f>'Data '!C148</f>
        <v>0</v>
      </c>
      <c r="D9" s="173">
        <f>'Data '!D148</f>
        <v>0</v>
      </c>
      <c r="E9" s="173">
        <f>'Data '!E148</f>
        <v>0</v>
      </c>
      <c r="F9" s="173">
        <f>'Data '!F148</f>
        <v>0</v>
      </c>
      <c r="J9" s="163"/>
    </row>
    <row r="10" spans="1:10" ht="12.75" customHeight="1" thickBot="1">
      <c r="A10" s="172" t="str">
        <f>'Data '!A149</f>
        <v>Cash Changes</v>
      </c>
      <c r="B10" s="173"/>
      <c r="C10" s="173">
        <f>'Data '!C149</f>
        <v>0</v>
      </c>
      <c r="D10" s="173">
        <f>'Data '!D149</f>
        <v>0</v>
      </c>
      <c r="E10" s="173">
        <f>'Data '!E149</f>
        <v>0</v>
      </c>
      <c r="F10" s="173">
        <f>'Data '!F149</f>
        <v>0</v>
      </c>
      <c r="J10" s="163"/>
    </row>
    <row r="11" spans="1:10" ht="12.75" customHeight="1" thickBot="1">
      <c r="A11" s="175" t="s">
        <v>346</v>
      </c>
      <c r="B11" s="176"/>
      <c r="C11" s="176"/>
      <c r="D11" s="176"/>
      <c r="E11" s="176"/>
      <c r="F11" s="177"/>
    </row>
    <row r="12" spans="1:10" ht="12.75" customHeight="1">
      <c r="A12" s="178"/>
      <c r="B12" s="178"/>
      <c r="C12" s="178"/>
      <c r="D12" s="178"/>
      <c r="E12" s="178"/>
      <c r="F12" s="178"/>
    </row>
    <row r="13" spans="1:10" ht="12.75" customHeight="1" thickBot="1">
      <c r="A13" s="179"/>
      <c r="B13" s="170"/>
      <c r="C13" s="170"/>
      <c r="D13" s="170"/>
      <c r="E13" s="170"/>
      <c r="F13" s="180"/>
    </row>
    <row r="14" spans="1:10" ht="12.75" customHeight="1" thickBot="1">
      <c r="A14" s="181" t="s">
        <v>345</v>
      </c>
      <c r="B14" s="182"/>
      <c r="C14" s="182"/>
      <c r="D14" s="182"/>
      <c r="E14" s="182"/>
      <c r="F14" s="183"/>
      <c r="J14" s="113"/>
    </row>
    <row r="15" spans="1:10" ht="12.75" customHeight="1" thickBot="1">
      <c r="A15" s="184" t="s">
        <v>206</v>
      </c>
      <c r="B15" s="185">
        <f>'Data '!$C$4</f>
        <v>2020</v>
      </c>
      <c r="C15" s="185">
        <f>'Data '!$D$4</f>
        <v>2021</v>
      </c>
      <c r="D15" s="185">
        <f>'Data '!$E$4</f>
        <v>2022</v>
      </c>
      <c r="E15" s="185">
        <f>'Data '!$F$4</f>
        <v>2023</v>
      </c>
      <c r="F15" s="185">
        <f>'Data '!$G$4</f>
        <v>2024</v>
      </c>
    </row>
    <row r="16" spans="1:10" ht="12.75" customHeight="1">
      <c r="B16" s="170"/>
      <c r="C16" s="170"/>
      <c r="D16" s="170"/>
      <c r="E16" s="170"/>
      <c r="F16" s="186"/>
    </row>
    <row r="17" spans="1:6" ht="12.75" customHeight="1">
      <c r="A17" s="179" t="s">
        <v>344</v>
      </c>
      <c r="B17" s="170"/>
      <c r="C17" s="170"/>
      <c r="D17" s="170"/>
      <c r="E17" s="170"/>
      <c r="F17" s="171"/>
    </row>
    <row r="18" spans="1:6" ht="12.75" customHeight="1">
      <c r="A18" s="187" t="s">
        <v>342</v>
      </c>
      <c r="B18" s="188">
        <f>IF(ISERROR(('Data '!C79+(1-'Data '!C135)*(-'Data '!C71))/'Data '!C58),"",('Data '!C79+(1-'Data '!C135)*(-'Data '!C71))/'Data '!C58)</f>
        <v>-8.8102093740616387E-3</v>
      </c>
      <c r="C18" s="188">
        <f>IF(ISERROR(('Data '!D79+(1-'Data '!D135)*(-'Data '!D71))/'Data '!D58),"",('Data '!D79+(1-'Data '!D135)*(-'Data '!D71))/'Data '!D58)</f>
        <v>0.10659703043539523</v>
      </c>
      <c r="D18" s="188">
        <f>IF(ISERROR(('Data '!E79+(1-'Data '!E135)*(-'Data '!E71))/'Data '!E58),"",('Data '!E79+(1-'Data '!E135)*(-'Data '!E71))/'Data '!E58)</f>
        <v>0.10187454465860579</v>
      </c>
      <c r="E18" s="188">
        <f>IF(ISERROR(('Data '!F79+(1-'Data '!F135)*(-'Data '!F71))/'Data '!F58),"",('Data '!F79+(1-'Data '!F135)*(-'Data '!F71))/'Data '!F58)</f>
        <v>7.0096655541823677E-2</v>
      </c>
      <c r="F18" s="188">
        <f>IF(ISERROR(('Data '!G79+(1-'Data '!G135)*(-'Data '!G71))/'Data '!G58),"",('Data '!G79+(1-'Data '!G135)*(-'Data '!G71))/'Data '!G58)</f>
        <v>-1.6348113140103523E-2</v>
      </c>
    </row>
    <row r="19" spans="1:6" ht="12.75" customHeight="1">
      <c r="A19" s="187" t="s">
        <v>337</v>
      </c>
      <c r="B19" s="189">
        <f>IF(ISERROR('Data '!C58/(('Data '!B26+'Data '!C26)/2)),"",'Data '!C58/(('Data '!B26+'Data '!C26)/2))</f>
        <v>0.49678061534455825</v>
      </c>
      <c r="C19" s="189">
        <f>IF(ISERROR('Data '!D58/(('Data '!C26+'Data '!D26)/2)),"",'Data '!D58/(('Data '!C26+'Data '!D26)/2))</f>
        <v>0.63741065953018805</v>
      </c>
      <c r="D19" s="189">
        <f>IF(ISERROR('Data '!E58/(('Data '!D26+'Data '!E26)/2)),"",'Data '!E58/(('Data '!D26+'Data '!E26)/2))</f>
        <v>0.70142168941360394</v>
      </c>
      <c r="E19" s="189">
        <f>IF(ISERROR('Data '!F58/(('Data '!E26+'Data '!F26)/2)),"",'Data '!F58/(('Data '!E26+'Data '!F26)/2))</f>
        <v>0.64167833921955575</v>
      </c>
      <c r="F19" s="189">
        <f>IF(ISERROR('Data '!G58/(('Data '!F26+'Data '!G26)/2)),"",'Data '!G58/(('Data '!F26+'Data '!G26)/2))</f>
        <v>0.5705504310797429</v>
      </c>
    </row>
    <row r="20" spans="1:6" ht="12.75" customHeight="1">
      <c r="A20" s="190" t="s">
        <v>341</v>
      </c>
      <c r="B20" s="188">
        <f>IF(ISERROR(('Data '!C79+(1-'Data '!C135)*(-'Data '!C71))/(('Data '!B26+'Data '!C26)/2)),"",('Data '!C79+(1-'Data '!C135)*(-'Data '!C71))/(('Data '!B26+'Data '!C26)/2))</f>
        <v>-4.3767412341607359E-3</v>
      </c>
      <c r="C20" s="188">
        <f>IF(ISERROR(('Data '!D79+(1-'Data '!D135)*(-'Data '!D71))/(('Data '!C26+'Data '!D26)/2)),"",('Data '!D79+(1-'Data '!D135)*(-'Data '!D71))/(('Data '!C26+'Data '!D26)/2))</f>
        <v>6.7946083473784807E-2</v>
      </c>
      <c r="D20" s="188">
        <f>IF(ISERROR(('Data '!E79+(1-'Data '!E135)*(-'Data '!E71))/(('Data '!D26+'Data '!E26)/2)),"",('Data '!E79+(1-'Data '!E135)*(-'Data '!E71))/(('Data '!D26+'Data '!E26)/2))</f>
        <v>7.1457015222680914E-2</v>
      </c>
      <c r="E20" s="188">
        <f>IF(ISERROR(('Data '!F79+(1-'Data '!F135)*(-'Data '!F71))/(('Data '!E26+'Data '!F26)/2)),"",('Data '!F79+(1-'Data '!F135)*(-'Data '!F71))/(('Data '!E26+'Data '!F26)/2))</f>
        <v>4.4979505512922686E-2</v>
      </c>
      <c r="F20" s="188">
        <f>IF(ISERROR(('Data '!G79+(1-'Data '!G135)*(-'Data '!G71))/(('Data '!F26+'Data '!G26)/2)),"",('Data '!G79+(1-'Data '!G135)*(-'Data '!G71))/(('Data '!F26+'Data '!G26)/2))</f>
        <v>-9.3274229994264757E-3</v>
      </c>
    </row>
    <row r="21" spans="1:6" ht="12.75" customHeight="1">
      <c r="A21" s="191"/>
      <c r="B21" s="192"/>
      <c r="C21" s="192"/>
      <c r="D21" s="192"/>
      <c r="E21" s="192"/>
      <c r="F21" s="193"/>
    </row>
    <row r="22" spans="1:6" ht="12.75" customHeight="1">
      <c r="A22" s="113" t="s">
        <v>343</v>
      </c>
      <c r="B22" s="113"/>
      <c r="C22" s="113"/>
      <c r="D22" s="113"/>
      <c r="E22" s="113"/>
      <c r="F22" s="194"/>
    </row>
    <row r="23" spans="1:6" ht="12.75" customHeight="1">
      <c r="A23" s="187" t="s">
        <v>342</v>
      </c>
      <c r="B23" s="188">
        <f>IF(ISERROR(('Data '!C79+((1-'Data '!C135)*-'Data '!C71)-'Data '!C137)/'Data '!C58),"",('Data '!C79+((1-'Data '!C135)*-'Data '!C71)-'Data '!C137)/'Data '!C58)</f>
        <v>1.7835820162148883E-2</v>
      </c>
      <c r="C23" s="188">
        <f>IF(ISERROR(('Data '!D79+((1-'Data '!D135)*-'Data '!D71)-'Data '!D137)/'Data '!D58),"",('Data '!D79+((1-'Data '!D135)*-'Data '!D71)-'Data '!D137)/'Data '!D58)</f>
        <v>0.13878515569959138</v>
      </c>
      <c r="D23" s="188">
        <f>IF(ISERROR(('Data '!E79+((1-'Data '!E135)*-'Data '!E71)-'Data '!E137)/'Data '!E58),"",('Data '!E79+((1-'Data '!E135)*-'Data '!E71)-'Data '!E137)/'Data '!E58)</f>
        <v>0.12948839598404865</v>
      </c>
      <c r="E23" s="188">
        <f>IF(ISERROR(('Data '!F79+((1-'Data '!F135)*-'Data '!F71)-'Data '!F137)/'Data '!F58),"",('Data '!F79+((1-'Data '!F135)*-'Data '!F71)-'Data '!F137)/'Data '!F58)</f>
        <v>0.13350867573432182</v>
      </c>
      <c r="F23" s="188">
        <f>IF(ISERROR(('Data '!G79+((1-'Data '!G135)*-'Data '!G71)-'Data '!G137)/'Data '!G58),"",('Data '!G79+((1-'Data '!G135)*-'Data '!G71)-'Data '!G137)/'Data '!G58)</f>
        <v>3.1471375878412457E-2</v>
      </c>
    </row>
    <row r="24" spans="1:6" ht="12.75" customHeight="1">
      <c r="A24" s="187" t="s">
        <v>337</v>
      </c>
      <c r="B24" s="189">
        <f>IF(ISERROR('Data '!C58/(('Data '!B26+'Data '!C26)/2)),"",'Data '!C58/(('Data '!B26+'Data '!C26)/2))</f>
        <v>0.49678061534455825</v>
      </c>
      <c r="C24" s="189">
        <f>IF(ISERROR('Data '!D58/(('Data '!C26+'Data '!D26)/2)),"",'Data '!D58/(('Data '!C26+'Data '!D26)/2))</f>
        <v>0.63741065953018805</v>
      </c>
      <c r="D24" s="189">
        <f>IF(ISERROR('Data '!E58/(('Data '!D26+'Data '!E26)/2)),"",'Data '!E58/(('Data '!D26+'Data '!E26)/2))</f>
        <v>0.70142168941360394</v>
      </c>
      <c r="E24" s="189">
        <f>IF(ISERROR('Data '!F58/(('Data '!E26+'Data '!F26)/2)),"",'Data '!F58/(('Data '!E26+'Data '!F26)/2))</f>
        <v>0.64167833921955575</v>
      </c>
      <c r="F24" s="189">
        <f>IF(ISERROR('Data '!G58/(('Data '!F26+'Data '!G26)/2)),"",'Data '!G58/(('Data '!F26+'Data '!G26)/2))</f>
        <v>0.5705504310797429</v>
      </c>
    </row>
    <row r="25" spans="1:6" ht="12.75" customHeight="1">
      <c r="A25" s="190" t="s">
        <v>341</v>
      </c>
      <c r="B25" s="188">
        <f>IF(ISERROR(('Data '!C79+((1-'Data '!C135)*-'Data '!C71)-'Data '!C137)/(('Data '!B26+'Data '!C26)/2)),"",('Data '!C79+((1-'Data '!C135)*-'Data '!C71)-'Data '!C137)/(('Data '!B26+'Data '!C26)/2))</f>
        <v>8.8604897153272012E-3</v>
      </c>
      <c r="C25" s="188">
        <f>IF(ISERROR(('Data '!D79+((1-'Data '!D135)*-'Data '!D71)-'Data '!D137)/(('Data '!C26+'Data '!D26)/2)),"",('Data '!D79+((1-'Data '!D135)*-'Data '!D71)-'Data '!D137)/(('Data '!C26+'Data '!D26)/2))</f>
        <v>8.8463137627476388E-2</v>
      </c>
      <c r="D25" s="188">
        <f>IF(ISERROR(('Data '!E79+((1-'Data '!E135)*-'Data '!E71)-'Data '!E137)/(('Data '!D26+'Data '!E26)/2)),"",('Data '!E79+((1-'Data '!E135)*-'Data '!E71)-'Data '!E137)/(('Data '!D26+'Data '!E26)/2))</f>
        <v>9.082596947058913E-2</v>
      </c>
      <c r="E25" s="188">
        <f>IF(ISERROR(('Data '!F79+((1-'Data '!F135)*-'Data '!F71)-'Data '!F137)/(('Data '!E26+'Data '!F26)/2)),"",('Data '!F79+((1-'Data '!F135)*-'Data '!F71)-'Data '!F137)/(('Data '!E26+'Data '!F26)/2))</f>
        <v>8.5669625316601827E-2</v>
      </c>
      <c r="F25" s="188">
        <f>IF(ISERROR(('Data '!G79+((1-'Data '!G135)*-'Data '!G71)-'Data '!G137)/(('Data '!F26+'Data '!G26)/2)),"",('Data '!G79+((1-'Data '!G135)*-'Data '!G71)-'Data '!G137)/(('Data '!F26+'Data '!G26)/2))</f>
        <v>1.795600707410085E-2</v>
      </c>
    </row>
    <row r="26" spans="1:6" ht="12.75" customHeight="1">
      <c r="A26" s="191"/>
      <c r="B26" s="113"/>
      <c r="C26" s="113"/>
      <c r="D26" s="113"/>
      <c r="E26" s="113"/>
      <c r="F26" s="195"/>
    </row>
    <row r="27" spans="1:6" ht="12.75" customHeight="1">
      <c r="A27" s="179" t="s">
        <v>340</v>
      </c>
      <c r="B27" s="179"/>
      <c r="C27" s="179"/>
      <c r="D27" s="179"/>
      <c r="E27" s="179"/>
      <c r="F27" s="196"/>
    </row>
    <row r="28" spans="1:6" ht="12.75" customHeight="1">
      <c r="A28" s="187" t="s">
        <v>338</v>
      </c>
      <c r="B28" s="188">
        <f>IF(ISERROR(('Data '!C81-'Data '!C139)/'Data '!C58),"",('Data '!C81-'Data '!C139)/'Data '!C58)</f>
        <v>-8.4071738596347562E-2</v>
      </c>
      <c r="C28" s="188">
        <f>IF(ISERROR(('Data '!D81-'Data '!D139)/'Data '!D58),"",('Data '!D81-'Data '!D139)/'Data '!D58)</f>
        <v>7.3646435113428207E-2</v>
      </c>
      <c r="D28" s="188">
        <f>IF(ISERROR(('Data '!E81-'Data '!E139)/'Data '!E58),"",('Data '!E81-'Data '!E139)/'Data '!E58)</f>
        <v>5.5606770367340679E-2</v>
      </c>
      <c r="E28" s="188">
        <f>IF(ISERROR(('Data '!F81-'Data '!F139)/'Data '!F58),"",('Data '!F81-'Data '!F139)/'Data '!F58)</f>
        <v>2.2537969040129866E-2</v>
      </c>
      <c r="F28" s="188">
        <f>IF(ISERROR(('Data '!G81-'Data '!G139)/'Data '!G58),"",('Data '!G81-'Data '!G139)/'Data '!G58)</f>
        <v>-6.5777804398776549E-2</v>
      </c>
    </row>
    <row r="29" spans="1:6" ht="12.75" customHeight="1">
      <c r="A29" s="187" t="s">
        <v>337</v>
      </c>
      <c r="B29" s="189">
        <f>IF(ISERROR('Data '!C58/(('Data '!B26+'Data '!C26)/2)),"",'Data '!C58/(('Data '!B26+'Data '!C26)/2))</f>
        <v>0.49678061534455825</v>
      </c>
      <c r="C29" s="189">
        <f>IF(ISERROR('Data '!D58/(('Data '!C26+'Data '!D26)/2)),"",'Data '!D58/(('Data '!C26+'Data '!D26)/2))</f>
        <v>0.63741065953018805</v>
      </c>
      <c r="D29" s="189">
        <f>IF(ISERROR('Data '!E58/(('Data '!D26+'Data '!E26)/2)),"",'Data '!E58/(('Data '!D26+'Data '!E26)/2))</f>
        <v>0.70142168941360394</v>
      </c>
      <c r="E29" s="189">
        <f>IF(ISERROR('Data '!F58/(('Data '!E26+'Data '!F26)/2)),"",'Data '!F58/(('Data '!E26+'Data '!F26)/2))</f>
        <v>0.64167833921955575</v>
      </c>
      <c r="F29" s="189">
        <f>IF(ISERROR('Data '!G58/(('Data '!F26+'Data '!G26)/2)),"",'Data '!G58/(('Data '!F26+'Data '!G26)/2))</f>
        <v>0.5705504310797429</v>
      </c>
    </row>
    <row r="30" spans="1:6" ht="12.75" customHeight="1">
      <c r="A30" s="187" t="s">
        <v>336</v>
      </c>
      <c r="B30" s="189">
        <f>IF(ISERROR((('Data '!B26+'Data '!C26)/2)/(('Data '!B50+'Data '!C50)/2)),"",(('Data '!B26+'Data '!C26)/2)/(('Data '!B50+'Data '!C50)/2))</f>
        <v>2.5301719908127001</v>
      </c>
      <c r="C30" s="189">
        <f>IF(ISERROR((('Data '!C26+'Data '!D26)/2)/(('Data '!C50+'Data '!D50)/2)),"",(('Data '!C26+'Data '!D26)/2)/(('Data '!C50+'Data '!D50)/2))</f>
        <v>2.4438762736685429</v>
      </c>
      <c r="D30" s="189">
        <f>IF(ISERROR((('Data '!D26+'Data '!E26)/2)/(('Data '!D50+'Data '!E50)/2)),"",(('Data '!D26+'Data '!E26)/2)/(('Data '!D50+'Data '!E50)/2))</f>
        <v>2.3542581967294209</v>
      </c>
      <c r="E30" s="189">
        <f>IF(ISERROR((('Data '!E26+'Data '!F26)/2)/(('Data '!E50+'Data '!F50)/2)),"",(('Data '!E26+'Data '!F26)/2)/(('Data '!E50+'Data '!F50)/2))</f>
        <v>2.4401595222457697</v>
      </c>
      <c r="F30" s="189">
        <f>IF(ISERROR((('Data '!F26+'Data '!G26)/2)/(('Data '!F50+'Data '!G50)/2)),"",(('Data '!F26+'Data '!G26)/2)/(('Data '!F50+'Data '!G50)/2))</f>
        <v>2.6926351253575946</v>
      </c>
    </row>
    <row r="31" spans="1:6" ht="12.75" customHeight="1">
      <c r="A31" s="190" t="s">
        <v>335</v>
      </c>
      <c r="B31" s="188">
        <f>IF(ISERROR(('Data '!C81-'Data '!C139)/(('Data '!B50+'Data '!C50)/2)),"",('Data '!C81-'Data '!C139)/(('Data '!B50+'Data '!C50)/2))</f>
        <v>-0.10567316461585653</v>
      </c>
      <c r="C31" s="188">
        <f>IF(ISERROR(('Data '!D81-'Data '!D139)/(('Data '!C50+'Data '!D50)/2)),"",('Data '!D81-'Data '!D139)/(('Data '!C50+'Data '!D50)/2))</f>
        <v>0.11472293958069682</v>
      </c>
      <c r="D31" s="188">
        <f>IF(ISERROR(('Data '!E81-'Data '!E139)/(('Data '!D50+'Data '!E50)/2)),"",('Data '!E81-'Data '!E139)/(('Data '!D50+'Data '!E50)/2))</f>
        <v>9.1825003644163433E-2</v>
      </c>
      <c r="E31" s="188">
        <f>IF(ISERROR(('Data '!F81-'Data '!F139)/(('Data '!E50+'Data '!F50)/2)),"",('Data '!F81-'Data '!F139)/(('Data '!E50+'Data '!F50)/2))</f>
        <v>3.5289895795952361E-2</v>
      </c>
      <c r="F31" s="188">
        <f>IF(ISERROR(('Data '!G81-'Data '!G139)/(('Data '!F50+'Data '!G50)/2)),"",('Data '!G81-'Data '!G139)/(('Data '!F50+'Data '!G50)/2))</f>
        <v>-0.10105339710362177</v>
      </c>
    </row>
    <row r="32" spans="1:6" ht="12.75" customHeight="1">
      <c r="A32" s="191"/>
      <c r="B32" s="192"/>
      <c r="C32" s="192"/>
      <c r="D32" s="192"/>
      <c r="E32" s="192"/>
      <c r="F32" s="193"/>
    </row>
    <row r="33" spans="1:6" ht="12.75" customHeight="1">
      <c r="A33" s="179" t="s">
        <v>339</v>
      </c>
      <c r="B33" s="179"/>
      <c r="C33" s="179"/>
      <c r="D33" s="179"/>
      <c r="E33" s="179"/>
      <c r="F33" s="196"/>
    </row>
    <row r="34" spans="1:6" ht="12.75" customHeight="1">
      <c r="A34" s="187" t="s">
        <v>338</v>
      </c>
      <c r="B34" s="188">
        <f>IF(ISERROR(('Data '!C81-'Data '!C139-'Data '!C137)/'Data '!C58),"",('Data '!C81-'Data '!C139-'Data '!C137)/'Data '!C58)</f>
        <v>-5.7425709060137026E-2</v>
      </c>
      <c r="C34" s="188">
        <f>IF(ISERROR(('Data '!D81-'Data '!D139-'Data '!D137)/'Data '!D58),"",('Data '!D81-'Data '!D139-'Data '!D137)/'Data '!D58)</f>
        <v>0.10583456037762436</v>
      </c>
      <c r="D34" s="188">
        <f>IF(ISERROR(('Data '!E81-'Data '!E139-'Data '!E137)/'Data '!E58),"",('Data '!E81-'Data '!E139-'Data '!E137)/'Data '!E58)</f>
        <v>8.3220621692783547E-2</v>
      </c>
      <c r="E34" s="188">
        <f>IF(ISERROR(('Data '!F81-'Data '!F139-'Data '!F137)/'Data '!F58),"",('Data '!F81-'Data '!F139-'Data '!F137)/'Data '!F58)</f>
        <v>8.5949989232628005E-2</v>
      </c>
      <c r="F34" s="188">
        <f>IF(ISERROR(('Data '!G81-'Data '!G139-'Data '!G137)/'Data '!G58),"",('Data '!G81-'Data '!G139-'Data '!G137)/'Data '!G58)</f>
        <v>-1.7958315380260569E-2</v>
      </c>
    </row>
    <row r="35" spans="1:6" ht="12.75" customHeight="1">
      <c r="A35" s="187" t="s">
        <v>337</v>
      </c>
      <c r="B35" s="189">
        <f>IF(ISERROR('Data '!C58/(('Data '!B26+'Data '!C26)/2)),"",'Data '!C58/(('Data '!B26+'Data '!C26)/2))</f>
        <v>0.49678061534455825</v>
      </c>
      <c r="C35" s="189">
        <f>IF(ISERROR('Data '!D58/(('Data '!C26+'Data '!D26)/2)),"",'Data '!D58/(('Data '!C26+'Data '!D26)/2))</f>
        <v>0.63741065953018805</v>
      </c>
      <c r="D35" s="189">
        <f>IF(ISERROR('Data '!E58/(('Data '!D26+'Data '!E26)/2)),"",'Data '!E58/(('Data '!D26+'Data '!E26)/2))</f>
        <v>0.70142168941360394</v>
      </c>
      <c r="E35" s="189">
        <f>IF(ISERROR('Data '!F58/(('Data '!E26+'Data '!F26)/2)),"",'Data '!F58/(('Data '!E26+'Data '!F26)/2))</f>
        <v>0.64167833921955575</v>
      </c>
      <c r="F35" s="189">
        <f>IF(ISERROR('Data '!G58/(('Data '!F26+'Data '!G26)/2)),"",'Data '!G58/(('Data '!F26+'Data '!G26)/2))</f>
        <v>0.5705504310797429</v>
      </c>
    </row>
    <row r="36" spans="1:6" ht="12.75" customHeight="1">
      <c r="A36" s="187" t="s">
        <v>336</v>
      </c>
      <c r="B36" s="189">
        <f>IF(ISERROR((('Data '!B26+'Data '!C26)/2)/(('Data '!B50+'Data '!C50)/2)),"",(('Data '!B26+'Data '!C26)/2)/(('Data '!B50+'Data '!C50)/2))</f>
        <v>2.5301719908127001</v>
      </c>
      <c r="C36" s="189">
        <f>IF(ISERROR((('Data '!C26+'Data '!D26)/2)/(('Data '!C50+'Data '!D50)/2)),"",(('Data '!C26+'Data '!D26)/2)/(('Data '!C50+'Data '!D50)/2))</f>
        <v>2.4438762736685429</v>
      </c>
      <c r="D36" s="189">
        <f>IF(ISERROR((('Data '!D26+'Data '!E26)/2)/(('Data '!D50+'Data '!E50)/2)),"",(('Data '!D26+'Data '!E26)/2)/(('Data '!D50+'Data '!E50)/2))</f>
        <v>2.3542581967294209</v>
      </c>
      <c r="E36" s="189">
        <f>IF(ISERROR((('Data '!E26+'Data '!F26)/2)/(('Data '!E50+'Data '!F50)/2)),"",(('Data '!E26+'Data '!F26)/2)/(('Data '!E50+'Data '!F50)/2))</f>
        <v>2.4401595222457697</v>
      </c>
      <c r="F36" s="189">
        <f>IF(ISERROR((('Data '!F26+'Data '!G26)/2)/(('Data '!F50+'Data '!G50)/2)),"",(('Data '!F26+'Data '!G26)/2)/(('Data '!F50+'Data '!G50)/2))</f>
        <v>2.6926351253575946</v>
      </c>
    </row>
    <row r="37" spans="1:6" ht="12.75" customHeight="1">
      <c r="A37" s="190" t="s">
        <v>335</v>
      </c>
      <c r="B37" s="188">
        <f>IF(ISERROR(('Data '!C81-'Data '!C139-'Data '!C137)/(('Data '!B50+'Data '!C50)/2)),"",('Data '!C81-'Data '!C139-'Data '!C137)/(('Data '!B50+'Data '!C50)/2))</f>
        <v>-7.2180693631543141E-2</v>
      </c>
      <c r="C37" s="188">
        <f>IF(ISERROR(('Data '!D81-'Data '!D139-'Data '!D137)/(('Data '!C50+'Data '!D50)/2)),"",('Data '!D81-'Data '!D139-'Data '!D137)/(('Data '!C50+'Data '!D50)/2))</f>
        <v>0.1648640814324763</v>
      </c>
      <c r="D37" s="188">
        <f>IF(ISERROR(('Data '!E81-'Data '!E139-'Data '!E137)/(('Data '!D50+'Data '!E50)/2)),"",('Data '!E81-'Data '!E139-'Data '!E137)/(('Data '!D50+'Data '!E50)/2))</f>
        <v>0.13742452294437851</v>
      </c>
      <c r="E37" s="188">
        <f>IF(ISERROR(('Data '!F81-'Data '!F139-'Data '!F137)/(('Data '!E50+'Data '!F50)/2)),"",('Data '!F81-'Data '!F139-'Data '!F137)/(('Data '!E50+'Data '!F50)/2))</f>
        <v>0.13458027909622117</v>
      </c>
      <c r="F37" s="188">
        <f>IF(ISERROR(('Data '!G81-'Data '!G139-'Data '!G137)/(('Data '!F50+'Data '!G50)/2)),"",('Data '!G81-'Data '!G139-'Data '!G137)/(('Data '!F50+'Data '!G50)/2))</f>
        <v>-2.7589074947404348E-2</v>
      </c>
    </row>
    <row r="38" spans="1:6" ht="12.75" customHeight="1">
      <c r="A38" s="197"/>
      <c r="B38" s="179"/>
      <c r="C38" s="179"/>
      <c r="D38" s="179"/>
      <c r="E38" s="179"/>
      <c r="F38" s="196"/>
    </row>
    <row r="39" spans="1:6" ht="12.75" customHeight="1">
      <c r="A39" s="179" t="s">
        <v>334</v>
      </c>
      <c r="B39" s="179"/>
      <c r="C39" s="179"/>
      <c r="D39" s="179"/>
      <c r="E39" s="179"/>
      <c r="F39" s="196"/>
    </row>
    <row r="40" spans="1:6" ht="12.75" customHeight="1">
      <c r="A40" s="187" t="s">
        <v>333</v>
      </c>
      <c r="B40" s="188">
        <f>IF(ISERROR('Data '!C60/'Data '!C58),"",'Data '!C60/'Data '!C58)</f>
        <v>0.61752081456610164</v>
      </c>
      <c r="C40" s="188">
        <f>IF(ISERROR('Data '!D60/'Data '!D58),"",'Data '!D60/'Data '!D58)</f>
        <v>0.68774129914048188</v>
      </c>
      <c r="D40" s="188">
        <f>IF(ISERROR('Data '!E60/'Data '!E58),"",'Data '!E60/'Data '!E58)</f>
        <v>0.71985080779161026</v>
      </c>
      <c r="E40" s="188">
        <f>IF(ISERROR('Data '!F60/'Data '!F58),"",'Data '!F60/'Data '!F58)</f>
        <v>0.72598205783938197</v>
      </c>
      <c r="F40" s="188">
        <f>IF(ISERROR('Data '!G60/'Data '!G58),"",'Data '!G60/'Data '!G58)</f>
        <v>0.71491035700691519</v>
      </c>
    </row>
    <row r="41" spans="1:6" ht="12.75" customHeight="1">
      <c r="A41" s="187" t="s">
        <v>332</v>
      </c>
      <c r="B41" s="188">
        <f>IF(ISERROR('Data '!C69/'Data '!C58),"",'Data '!C69/'Data '!C58)</f>
        <v>-6.7197335735539002E-2</v>
      </c>
      <c r="C41" s="188">
        <f>IF(ISERROR('Data '!D69/'Data '!D58),"",'Data '!D69/'Data '!D58)</f>
        <v>0.12635620684796392</v>
      </c>
      <c r="D41" s="188">
        <f>IF(ISERROR('Data '!E69/'Data '!E58),"",'Data '!E69/'Data '!E58)</f>
        <v>0.10220257419668193</v>
      </c>
      <c r="E41" s="188">
        <f>IF(ISERROR('Data '!F69/'Data '!F58),"",'Data '!F69/'Data '!F58)</f>
        <v>6.2288166009525449E-2</v>
      </c>
      <c r="F41" s="188">
        <f>IF(ISERROR('Data '!G69/'Data '!G58),"",'Data '!G69/'Data '!G58)</f>
        <v>-4.7339113095663632E-2</v>
      </c>
    </row>
    <row r="42" spans="1:6" ht="12.75" customHeight="1">
      <c r="A42" s="187" t="s">
        <v>331</v>
      </c>
      <c r="B42" s="188">
        <f>IF(ISERROR('Data '!C81/'Data '!C58),"",'Data '!C81/'Data '!C58)</f>
        <v>-8.4071738596347562E-2</v>
      </c>
      <c r="C42" s="188">
        <f>IF(ISERROR('Data '!D81/'Data '!D58),"",'Data '!D81/'Data '!D58)</f>
        <v>7.3646435113428207E-2</v>
      </c>
      <c r="D42" s="188">
        <f>IF(ISERROR('Data '!E81/'Data '!E58),"",'Data '!E81/'Data '!E58)</f>
        <v>5.5606770367340679E-2</v>
      </c>
      <c r="E42" s="188">
        <f>IF(ISERROR('Data '!F81/'Data '!F58),"",'Data '!F81/'Data '!F58)</f>
        <v>2.2537969040129866E-2</v>
      </c>
      <c r="F42" s="188">
        <f>IF(ISERROR('Data '!G81/'Data '!G58),"",'Data '!G81/'Data '!G58)</f>
        <v>-6.5777804398776549E-2</v>
      </c>
    </row>
    <row r="43" spans="1:6" ht="12.75" customHeight="1">
      <c r="A43" s="187" t="s">
        <v>330</v>
      </c>
      <c r="B43" s="188">
        <f>IF(ISERROR('Data '!C85/'Data '!C58),"",'Data '!C85/'Data '!C58)</f>
        <v>-8.5045723800944509E-2</v>
      </c>
      <c r="C43" s="188">
        <f>IF(ISERROR('Data '!D85/'Data '!D58),"",'Data '!D85/'Data '!D58)</f>
        <v>7.8324468085106388E-2</v>
      </c>
      <c r="D43" s="188">
        <f>IF(ISERROR('Data '!E85/'Data '!E58),"",'Data '!E85/'Data '!E58)</f>
        <v>6.6684347759400797E-2</v>
      </c>
      <c r="E43" s="188">
        <f>IF(ISERROR('Data '!F85/'Data '!F58),"",'Data '!F85/'Data '!F58)</f>
        <v>2.3983131982035354E-2</v>
      </c>
      <c r="F43" s="188">
        <f>IF(ISERROR('Data '!G85/'Data '!G58),"",'Data '!G85/'Data '!G58)</f>
        <v>-8.5117852664364807E-2</v>
      </c>
    </row>
    <row r="44" spans="1:6" ht="12.75" customHeight="1"/>
    <row r="45" spans="1:6" ht="12.75" customHeight="1">
      <c r="A45" s="113" t="s">
        <v>329</v>
      </c>
      <c r="B45" s="192"/>
      <c r="C45" s="192"/>
      <c r="D45" s="192"/>
      <c r="E45" s="192"/>
      <c r="F45" s="192"/>
    </row>
    <row r="46" spans="1:6" ht="12.75" customHeight="1">
      <c r="A46" s="187" t="s">
        <v>328</v>
      </c>
      <c r="B46" s="188">
        <f>IF(ISERROR(('Data '!C69-'Data '!C68)/'Data '!C58),"",('Data '!C69-'Data '!C68)/'Data '!C58)</f>
        <v>-9.2700024568012449E-2</v>
      </c>
      <c r="C46" s="188">
        <f>IF(ISERROR(('Data '!D69-'Data '!D68)/'Data '!D58),"",('Data '!D69-'Data '!D68)/'Data '!D58)</f>
        <v>0.10285596026490067</v>
      </c>
      <c r="D46" s="188">
        <f>IF(ISERROR(('Data '!E69-'Data '!E68)/'Data '!E58),"",('Data '!E69-'Data '!E68)/'Data '!E58)</f>
        <v>6.3611991615327587E-2</v>
      </c>
      <c r="E46" s="188">
        <f>IF(ISERROR(('Data '!F69-'Data '!F68)/'Data '!F58),"",('Data '!F69-'Data '!F68)/'Data '!F58)</f>
        <v>4.4227521056914861E-2</v>
      </c>
      <c r="F46" s="188">
        <f>IF(ISERROR(('Data '!G69-'Data '!G68)/'Data '!G58),"",('Data '!G69-'Data '!G68)/'Data '!G58)</f>
        <v>-7.0529974707904314E-2</v>
      </c>
    </row>
    <row r="47" spans="1:6" ht="12.75" customHeight="1">
      <c r="A47" s="187" t="s">
        <v>327</v>
      </c>
      <c r="B47" s="188">
        <f>IF(ISERROR(('Data '!C81-'Data '!C137)/'Data '!C58),"",('Data '!C81-'Data '!C137)/'Data '!C58)</f>
        <v>-5.7425709060137026E-2</v>
      </c>
      <c r="C47" s="188">
        <f>IF(ISERROR(('Data '!D81-'Data '!D137)/'Data '!D58),"",('Data '!D81-'Data '!D137)/'Data '!D58)</f>
        <v>0.10583456037762436</v>
      </c>
      <c r="D47" s="188">
        <f>IF(ISERROR(('Data '!E81-'Data '!E137)/'Data '!E58),"",('Data '!E81-'Data '!E137)/'Data '!E58)</f>
        <v>8.3220621692783547E-2</v>
      </c>
      <c r="E47" s="188">
        <f>IF(ISERROR(('Data '!F81-'Data '!F137)/'Data '!F58),"",('Data '!F81-'Data '!F137)/'Data '!F58)</f>
        <v>8.5949989232628005E-2</v>
      </c>
      <c r="F47" s="188">
        <f>IF(ISERROR(('Data '!G81-'Data '!G137)/'Data '!G58),"",('Data '!G81-'Data '!G137)/'Data '!G58)</f>
        <v>-1.7958315380260569E-2</v>
      </c>
    </row>
    <row r="48" spans="1:6" ht="12.75" customHeight="1">
      <c r="B48" s="192"/>
      <c r="C48" s="192"/>
      <c r="D48" s="192"/>
      <c r="E48" s="192"/>
      <c r="F48" s="192"/>
    </row>
    <row r="49" spans="1:7" ht="12.75" customHeight="1">
      <c r="A49" s="113" t="s">
        <v>326</v>
      </c>
      <c r="B49" s="192"/>
      <c r="C49" s="192"/>
      <c r="D49" s="192"/>
      <c r="E49" s="192"/>
      <c r="F49" s="192"/>
    </row>
    <row r="50" spans="1:7" ht="12.75" customHeight="1">
      <c r="A50" s="187" t="s">
        <v>325</v>
      </c>
      <c r="B50" s="188">
        <f>IF(ISERROR('Data '!C58/'Data '!B58-1),"",'Data '!C58/'Data '!B58-1)</f>
        <v>-0.33503889241037099</v>
      </c>
      <c r="C50" s="188">
        <f>IF(ISERROR('Data '!D58/'Data '!C58-1),"",'Data '!D58/'Data '!C58-1)</f>
        <v>0.23988753309857236</v>
      </c>
      <c r="D50" s="188">
        <f>IF(ISERROR('Data '!E58/'Data '!D58-1),"",'Data '!E58/'Data '!D58-1)</f>
        <v>0.10240946878962953</v>
      </c>
      <c r="E50" s="188">
        <f>IF(ISERROR('Data '!F58/'Data '!E58-1),"",'Data '!F58/'Data '!E58-1)</f>
        <v>-7.6319211891919481E-2</v>
      </c>
      <c r="F50" s="188">
        <f>IF(ISERROR('Data '!G58/'Data '!F58-1),"",'Data '!G58/'Data '!F58-1)</f>
        <v>-0.10478944814840119</v>
      </c>
    </row>
    <row r="51" spans="1:7" ht="12.75" customHeight="1">
      <c r="A51" s="187" t="s">
        <v>324</v>
      </c>
      <c r="B51" s="188">
        <f>IF(ISERROR('Data '!C81/'Data '!B81-1),"",'Data '!C81/'Data '!B81-1)</f>
        <v>-1.8804459691252144</v>
      </c>
      <c r="C51" s="188">
        <f>IF(ISERROR('Data '!D81/'Data '!C81-1),"",'Data '!D81/'Data '!C81-1)</f>
        <v>-2.0861354633417752</v>
      </c>
      <c r="D51" s="188">
        <f>IF(ISERROR('Data '!E81/'Data '!D81-1),"",'Data '!E81/'Data '!D81-1)</f>
        <v>-0.16762528848338454</v>
      </c>
      <c r="E51" s="188">
        <f>IF(ISERROR('Data '!F81/'Data '!E81-1),"",'Data '!F81/'Data '!E81-1)</f>
        <v>-0.6256231234466807</v>
      </c>
      <c r="F51" s="188">
        <f>IF(ISERROR('Data '!G81/'Data '!F81-1),"",'Data '!G81/'Data '!F81-1)</f>
        <v>-3.6127014581734458</v>
      </c>
    </row>
    <row r="52" spans="1:7" ht="12.75" customHeight="1">
      <c r="A52" s="187" t="s">
        <v>323</v>
      </c>
      <c r="B52" s="188">
        <f>IF(ISERROR((('Data '!C81-'Data '!C137)/('Data '!B81-'Data '!B137))-1),"",(('Data '!C81-'Data '!C137)/('Data '!B81-'Data '!B137))-1)</f>
        <v>-1.3925695589615339</v>
      </c>
      <c r="C52" s="188">
        <f>IF(ISERROR((('Data '!D81-'Data '!D137)/('Data '!C81-'Data '!C137))-1),"",(('Data '!D81-'Data '!D137)/('Data '!C81-'Data '!C137))-1)</f>
        <v>-3.2850906698560047</v>
      </c>
      <c r="D52" s="188">
        <f>IF(ISERROR((('Data '!E81-'Data '!E137)/('Data '!D81-'Data '!D137))-1),"",(('Data '!E81-'Data '!E137)/('Data '!D81-'Data '!D137))-1)</f>
        <v>-0.13314515574743524</v>
      </c>
      <c r="E52" s="188">
        <f>IF(ISERROR((('Data '!F81-'Data '!F137)/('Data '!E81-'Data '!E137))-1),"",(('Data '!F81-'Data '!F137)/('Data '!E81-'Data '!E137))-1)</f>
        <v>-4.6025466075565569E-2</v>
      </c>
      <c r="F52" s="188">
        <f>IF(ISERROR((('Data '!G81-'Data '!G137)/('Data '!F81-'Data '!F137))-1),"",(('Data '!G81-'Data '!G137)/('Data '!F81-'Data '!F137))-1)</f>
        <v>-1.1870445076889578</v>
      </c>
    </row>
    <row r="53" spans="1:7" ht="12.75" customHeight="1">
      <c r="B53" s="198"/>
      <c r="C53" s="198"/>
      <c r="D53" s="198"/>
      <c r="E53" s="198"/>
      <c r="F53" s="198"/>
    </row>
    <row r="54" spans="1:7" ht="12.75" customHeight="1">
      <c r="A54" s="179" t="s">
        <v>322</v>
      </c>
      <c r="B54" s="179"/>
      <c r="C54" s="179"/>
      <c r="D54" s="179"/>
      <c r="E54" s="179"/>
      <c r="F54" s="196"/>
    </row>
    <row r="55" spans="1:7" ht="12.75" customHeight="1">
      <c r="A55" s="187" t="s">
        <v>321</v>
      </c>
      <c r="B55" s="188">
        <f>IF(ISERROR(('Data '!C60/'Data '!B60)/('Data '!C58/'Data '!B58)),"",('Data '!C60/'Data '!B60)/('Data '!C58/'Data '!B58))</f>
        <v>0.95186686714194335</v>
      </c>
      <c r="C55" s="188">
        <f>IF(ISERROR(('Data '!D60/'Data '!C60)/('Data '!D58/'Data '!C58)),"",('Data '!D60/'Data '!C60)/('Data '!D58/'Data '!C58))</f>
        <v>1.1137135508925644</v>
      </c>
      <c r="D55" s="188">
        <f>IF(ISERROR(('Data '!E60/'Data '!D60)/('Data '!E58/'Data '!D58)),"",('Data '!E60/'Data '!D60)/('Data '!E58/'Data '!D58))</f>
        <v>1.0466883531514797</v>
      </c>
      <c r="E55" s="188">
        <f>IF(ISERROR(('Data '!F60/'Data '!E60)/('Data '!F58/'Data '!E58)),"",('Data '!F60/'Data '!E60)/('Data '!F58/'Data '!E58))</f>
        <v>1.0085173899666535</v>
      </c>
      <c r="F55" s="188">
        <f>IF(ISERROR(('Data '!G60/'Data '!F60)/('Data '!G58/'Data '!F58)),"",('Data '!G60/'Data '!F60)/('Data '!G58/'Data '!F58))</f>
        <v>0.98474934647087886</v>
      </c>
    </row>
    <row r="56" spans="1:7" ht="12.75" customHeight="1">
      <c r="A56" s="187" t="s">
        <v>320</v>
      </c>
      <c r="B56" s="188">
        <f>IF(ISERROR(('Data '!C69/'Data '!B69)/('Data '!C58/'Data '!B58)),"",('Data '!C69/'Data '!B69)/('Data '!C58/'Data '!B58))</f>
        <v>-0.61823317487517648</v>
      </c>
      <c r="C56" s="188">
        <f>IF(ISERROR(('Data '!D69/'Data '!C69)/('Data '!D58/'Data '!C58)),"",('Data '!D69/'Data '!C69)/('Data '!D58/'Data '!C58))</f>
        <v>-1.8803752479897395</v>
      </c>
      <c r="D56" s="188">
        <f>IF(ISERROR(('Data '!E69/'Data '!D69)/('Data '!E58/'Data '!D58)),"",('Data '!E69/'Data '!D69)/('Data '!E58/'Data '!D58))</f>
        <v>0.80884490557440925</v>
      </c>
      <c r="E56" s="188">
        <f>IF(ISERROR(('Data '!F69/'Data '!E69)/('Data '!F58/'Data '!E58)),"",('Data '!F69/'Data '!E69)/('Data '!F58/'Data '!E58))</f>
        <v>0.60945789770085523</v>
      </c>
      <c r="F56" s="188">
        <f>IF(ISERROR(('Data '!G69/'Data '!F69)/('Data '!G58/'Data '!F58)),"",('Data '!G69/'Data '!F69)/('Data '!G58/'Data '!F58))</f>
        <v>-0.76000171667318428</v>
      </c>
    </row>
    <row r="57" spans="1:7" ht="12.75" customHeight="1">
      <c r="A57" s="187" t="s">
        <v>319</v>
      </c>
      <c r="B57" s="188">
        <f>IF(ISERROR(('Data '!C79/'Data '!B79)/('Data '!C58/'Data '!B58)),"",('Data '!C79/'Data '!B79)/('Data '!C58/'Data '!B58))</f>
        <v>-1.2341167005393809</v>
      </c>
      <c r="C57" s="188">
        <f>IF(ISERROR(('Data '!D79/'Data '!C79)/('Data '!D58/'Data '!C58)),"",('Data '!D79/'Data '!C79)/('Data '!D58/'Data '!C58))</f>
        <v>-0.9127287404518144</v>
      </c>
      <c r="D57" s="188">
        <f>IF(ISERROR(('Data '!E79/'Data '!D79)/('Data '!E58/'Data '!D58)),"",('Data '!E79/'Data '!D79)/('Data '!E58/'Data '!D58))</f>
        <v>0.73062916190223293</v>
      </c>
      <c r="E57" s="188">
        <f>IF(ISERROR(('Data '!F79/'Data '!E79)/('Data '!F58/'Data '!E58)),"",('Data '!F79/'Data '!E79)/('Data '!F58/'Data '!E58))</f>
        <v>0.43461056034439849</v>
      </c>
      <c r="F57" s="188">
        <f>IF(ISERROR(('Data '!G79/'Data '!F79)/('Data '!G58/'Data '!F58)),"",('Data '!G79/'Data '!F79)/('Data '!G58/'Data '!F58))</f>
        <v>-2.8982984817372208</v>
      </c>
    </row>
    <row r="58" spans="1:7" ht="12.75" customHeight="1">
      <c r="A58" s="187"/>
      <c r="B58" s="192"/>
      <c r="C58" s="192"/>
      <c r="D58" s="192"/>
      <c r="E58" s="192"/>
      <c r="F58" s="192"/>
    </row>
    <row r="59" spans="1:7" ht="12.75" customHeight="1">
      <c r="A59" s="199" t="s">
        <v>318</v>
      </c>
    </row>
    <row r="60" spans="1:7" ht="12.75" customHeight="1">
      <c r="A60" s="187" t="s">
        <v>317</v>
      </c>
      <c r="B60" s="188">
        <f>IF(ISERROR('Data '!C60/'Data '!C58),"",'Data '!C60/'Data '!C58)</f>
        <v>0.61752081456610164</v>
      </c>
      <c r="C60" s="188">
        <f>IF(ISERROR('Data '!D60/'Data '!D58),"",'Data '!D60/'Data '!D58)</f>
        <v>0.68774129914048188</v>
      </c>
      <c r="D60" s="188">
        <f>IF(ISERROR('Data '!E60/'Data '!E58),"",'Data '!E60/'Data '!E58)</f>
        <v>0.71985080779161026</v>
      </c>
      <c r="E60" s="188">
        <f>IF(ISERROR('Data '!F60/'Data '!F58),"",'Data '!F60/'Data '!F58)</f>
        <v>0.72598205783938197</v>
      </c>
      <c r="F60" s="188">
        <f>IF(ISERROR('Data '!G60/'Data '!G58),"",'Data '!G60/'Data '!G58)</f>
        <v>0.71491035700691519</v>
      </c>
    </row>
    <row r="61" spans="1:7" ht="12.75" customHeight="1">
      <c r="A61" s="187" t="s">
        <v>316</v>
      </c>
      <c r="B61" s="188">
        <f>IF(ISERROR('Data '!C69/'Data '!C60),"",'Data '!C69/'Data '!C60)</f>
        <v>-0.10881792831996266</v>
      </c>
      <c r="C61" s="188">
        <f>IF(ISERROR('Data '!D69/'Data '!D60),"",'Data '!D69/'Data '!D60)</f>
        <v>0.18372636194144523</v>
      </c>
      <c r="D61" s="188">
        <f>IF(ISERROR('Data '!E69/'Data '!E60),"",'Data '!E69/'Data '!E60)</f>
        <v>0.14197743906160701</v>
      </c>
      <c r="E61" s="188">
        <f>IF(ISERROR('Data '!F69/'Data '!F60),"",'Data '!F69/'Data '!F60)</f>
        <v>8.5798492313850325E-2</v>
      </c>
      <c r="F61" s="188">
        <f>IF(ISERROR('Data '!G69/'Data '!G60),"",'Data '!G69/'Data '!G60)</f>
        <v>-6.6216851709711241E-2</v>
      </c>
    </row>
    <row r="62" spans="1:7" ht="12.75" customHeight="1">
      <c r="A62" s="187" t="s">
        <v>315</v>
      </c>
      <c r="B62" s="188">
        <f>IF(ISERROR('Data '!C74/'Data '!C69),"",'Data '!C74/'Data '!C69)</f>
        <v>1.2971027445117889</v>
      </c>
      <c r="C62" s="188">
        <f>IF(ISERROR('Data '!D74/'Data '!D69),"",'Data '!D74/'Data '!D69)</f>
        <v>0.85459994424310004</v>
      </c>
      <c r="D62" s="188">
        <f>IF(ISERROR('Data '!E74/'Data '!E69),"",'Data '!E74/'Data '!E69)</f>
        <v>0.7907111257015117</v>
      </c>
      <c r="E62" s="188">
        <f>IF(ISERROR('Data '!F74/'Data '!F69),"",'Data '!F74/'Data '!F69)</f>
        <v>0.6329177195856821</v>
      </c>
      <c r="F62" s="188">
        <f>IF(ISERROR('Data '!G74/'Data '!G69),"",'Data '!G74/'Data '!G69)</f>
        <v>1.5423562784432971</v>
      </c>
    </row>
    <row r="63" spans="1:7" ht="12.75" customHeight="1">
      <c r="A63" s="187" t="s">
        <v>314</v>
      </c>
      <c r="B63" s="188">
        <f>IF(ISERROR('Data '!C79/'Data '!C74),"",'Data '!C79/'Data '!C74)</f>
        <v>0.89816473535859698</v>
      </c>
      <c r="C63" s="188">
        <f>IF(ISERROR('Data '!D79/'Data '!D74),"",'Data '!D79/'Data '!D74)</f>
        <v>0.66170545923110802</v>
      </c>
      <c r="D63" s="188">
        <f>IF(ISERROR('Data '!E79/'Data '!E74),"",'Data '!E79/'Data '!E74)</f>
        <v>0.64601332516162191</v>
      </c>
      <c r="E63" s="188">
        <f>IF(ISERROR('Data '!F79/'Data '!F74),"",'Data '!F79/'Data '!F74)</f>
        <v>0.57553088803088803</v>
      </c>
      <c r="F63" s="188">
        <f>IF(ISERROR('Data '!G79/'Data '!G74),"",'Data '!G79/'Data '!G74)</f>
        <v>0.90065760747317303</v>
      </c>
    </row>
    <row r="64" spans="1:7" ht="12.75" customHeight="1">
      <c r="A64" s="187" t="s">
        <v>313</v>
      </c>
      <c r="B64" s="188">
        <f>IF(ISERROR('Data '!C79/'Data '!C58),"",'Data '!C79/'Data '!C58)</f>
        <v>-7.8285698686976227E-2</v>
      </c>
      <c r="C64" s="188">
        <f>IF(ISERROR('Data '!D79/'Data '!D58),"",'Data '!D79/'Data '!D58)</f>
        <v>7.1453607157954069E-2</v>
      </c>
      <c r="D64" s="188">
        <f>IF(ISERROR('Data '!E79/'Data '!E58),"",'Data '!E79/'Data '!E58)</f>
        <v>5.2206089112707382E-2</v>
      </c>
      <c r="E64" s="188">
        <f>IF(ISERROR('Data '!F79/'Data '!F58),"",'Data '!F79/'Data '!F58)</f>
        <v>2.2689317642663354E-2</v>
      </c>
      <c r="F64" s="188">
        <f>IF(ISERROR('Data '!G79/'Data '!G58),"",'Data '!G79/'Data '!G58)</f>
        <v>-6.576041487538474E-2</v>
      </c>
      <c r="G64" s="200"/>
    </row>
    <row r="65" spans="1:10" ht="12.75" customHeight="1">
      <c r="A65" s="187"/>
      <c r="B65" s="188"/>
      <c r="C65" s="188"/>
      <c r="D65" s="188"/>
      <c r="E65" s="188"/>
      <c r="F65" s="188"/>
      <c r="G65" s="200"/>
    </row>
    <row r="66" spans="1:10" ht="12.75" customHeight="1">
      <c r="A66" s="199" t="s">
        <v>312</v>
      </c>
      <c r="B66" s="188"/>
      <c r="C66" s="188"/>
      <c r="D66" s="188"/>
      <c r="E66" s="188"/>
      <c r="F66" s="188"/>
    </row>
    <row r="67" spans="1:10" ht="12.75" customHeight="1">
      <c r="A67" s="187" t="s">
        <v>311</v>
      </c>
      <c r="B67" s="188">
        <f>IF(ISERROR('Data '!C85/'Data '!C79),"",'Data '!C85/'Data '!C79)</f>
        <v>1.0863507029680874</v>
      </c>
      <c r="C67" s="188">
        <f>IF(ISERROR('Data '!D85/'Data '!D79),"",'Data '!D85/'Data '!D79)</f>
        <v>1.0961583494583236</v>
      </c>
      <c r="D67" s="188">
        <f>IF(ISERROR('Data '!E85/'Data '!E79),"",'Data '!E85/'Data '!E79)</f>
        <v>1.2773289264291836</v>
      </c>
      <c r="E67" s="188">
        <f>IF(ISERROR('Data '!F85/'Data '!F79),"",'Data '!F85/'Data '!F79)</f>
        <v>1.0570230607966458</v>
      </c>
      <c r="F67" s="188">
        <f>IF(ISERROR('Data '!G85/'Data '!G79),"",'Data '!G85/'Data '!G79)</f>
        <v>1.2943630727644009</v>
      </c>
    </row>
    <row r="68" spans="1:10" ht="12.75" customHeight="1">
      <c r="A68" s="187" t="s">
        <v>310</v>
      </c>
      <c r="B68" s="188">
        <f>IF(ISERROR('Data '!C85/'Data '!C58),"",'Data '!C85/'Data '!C58)</f>
        <v>-8.5045723800944509E-2</v>
      </c>
      <c r="C68" s="188">
        <f>IF(ISERROR('Data '!D85/'Data '!D58),"",'Data '!D85/'Data '!D58)</f>
        <v>7.8324468085106388E-2</v>
      </c>
      <c r="D68" s="188">
        <f>IF(ISERROR('Data '!E85/'Data '!E58),"",'Data '!E85/'Data '!E58)</f>
        <v>6.6684347759400797E-2</v>
      </c>
      <c r="E68" s="188">
        <f>IF(ISERROR('Data '!F85/'Data '!F58),"",'Data '!F85/'Data '!F58)</f>
        <v>2.3983131982035354E-2</v>
      </c>
      <c r="F68" s="188">
        <f>IF(ISERROR('Data '!G85/'Data '!G58),"",'Data '!G85/'Data '!G58)</f>
        <v>-8.5117852664364807E-2</v>
      </c>
    </row>
    <row r="69" spans="1:10" ht="12.75" customHeight="1">
      <c r="B69" s="198"/>
      <c r="C69" s="198"/>
      <c r="D69" s="198"/>
      <c r="E69" s="198"/>
      <c r="F69" s="198"/>
    </row>
    <row r="70" spans="1:10" ht="12.75" customHeight="1" thickBot="1">
      <c r="B70" s="198"/>
      <c r="C70" s="198"/>
      <c r="D70" s="198"/>
      <c r="E70" s="198"/>
      <c r="F70" s="198"/>
    </row>
    <row r="71" spans="1:10" ht="12.75" customHeight="1" thickBot="1">
      <c r="A71" s="201" t="s">
        <v>283</v>
      </c>
      <c r="B71" s="202"/>
      <c r="C71" s="202"/>
      <c r="D71" s="202"/>
      <c r="E71" s="202"/>
      <c r="F71" s="203"/>
      <c r="J71" s="113"/>
    </row>
    <row r="72" spans="1:10" ht="12.75" customHeight="1" thickBot="1">
      <c r="A72" s="184" t="s">
        <v>206</v>
      </c>
      <c r="B72" s="185">
        <f>'Data '!$C$4</f>
        <v>2020</v>
      </c>
      <c r="C72" s="185">
        <f>'Data '!$D$4</f>
        <v>2021</v>
      </c>
      <c r="D72" s="185">
        <f>'Data '!$E$4</f>
        <v>2022</v>
      </c>
      <c r="E72" s="185">
        <f>'Data '!$F$4</f>
        <v>2023</v>
      </c>
      <c r="F72" s="185">
        <f>'Data '!$G$4</f>
        <v>2024</v>
      </c>
    </row>
    <row r="73" spans="1:10" ht="12.75" customHeight="1">
      <c r="A73" s="179"/>
      <c r="B73" s="170"/>
      <c r="C73" s="170"/>
      <c r="D73" s="170"/>
      <c r="E73" s="170"/>
      <c r="F73" s="170"/>
    </row>
    <row r="74" spans="1:10" ht="12.75" customHeight="1">
      <c r="A74" s="179" t="s">
        <v>309</v>
      </c>
      <c r="B74" s="170"/>
      <c r="C74" s="170"/>
      <c r="D74" s="170"/>
      <c r="E74" s="170"/>
      <c r="F74" s="170"/>
    </row>
    <row r="75" spans="1:10" ht="12.75" customHeight="1">
      <c r="A75" s="187" t="s">
        <v>308</v>
      </c>
      <c r="B75" s="204">
        <f>IF(ISERROR('Data '!C17/'Data '!C37),"",'Data '!C17/'Data '!C37)</f>
        <v>2.3039771481205316</v>
      </c>
      <c r="C75" s="204">
        <f>IF(ISERROR('Data '!D17/'Data '!D37),"",'Data '!D17/'Data '!D37)</f>
        <v>2.0801608995197158</v>
      </c>
      <c r="D75" s="204">
        <f>IF(ISERROR('Data '!E17/'Data '!E37),"",'Data '!E17/'Data '!E37)</f>
        <v>2.0021857382348571</v>
      </c>
      <c r="E75" s="204">
        <f>IF(ISERROR('Data '!F17/'Data '!F37),"",'Data '!F17/'Data '!F37)</f>
        <v>0.71454258712227237</v>
      </c>
      <c r="F75" s="204">
        <f>IF(ISERROR('Data '!G17/'Data '!G37),"",'Data '!G17/'Data '!G37)</f>
        <v>0.7061887602573953</v>
      </c>
    </row>
    <row r="76" spans="1:10" ht="12.75" customHeight="1">
      <c r="A76" s="187" t="s">
        <v>307</v>
      </c>
      <c r="B76" s="204">
        <f>IF(ISERROR(('Data '!C9+'Data '!C10+'Data '!C11)/'Data '!C37),"",('Data '!C9+'Data '!C10+'Data '!C11)/'Data '!C37)</f>
        <v>1.2110975262072898</v>
      </c>
      <c r="C76" s="204">
        <f>IF(ISERROR(('Data '!D9+'Data '!D10+'Data '!D11)/'Data '!D37),"",('Data '!D9+'Data '!D10+'Data '!D11)/'Data '!D37)</f>
        <v>1.346145223457184</v>
      </c>
      <c r="D76" s="204">
        <f>IF(ISERROR(('Data '!E9+'Data '!E10+'Data '!E11)/'Data '!E37),"",('Data '!E9+'Data '!E10+'Data '!E11)/'Data '!E37)</f>
        <v>1.1455531898338414</v>
      </c>
      <c r="E76" s="204">
        <f>IF(ISERROR(('Data '!F9+'Data '!F10+'Data '!F11)/'Data '!F37),"",('Data '!F9+'Data '!F10+'Data '!F11)/'Data '!F37)</f>
        <v>0.34042612938963002</v>
      </c>
      <c r="F76" s="204">
        <f>IF(ISERROR(('Data '!G9+'Data '!G10+'Data '!G11)/'Data '!G37),"",('Data '!G9+'Data '!G10+'Data '!G11)/'Data '!G37)</f>
        <v>0.30023309936581344</v>
      </c>
    </row>
    <row r="77" spans="1:10" ht="12.75" customHeight="1">
      <c r="A77" s="187" t="s">
        <v>306</v>
      </c>
      <c r="B77" s="188">
        <f>IF(ISERROR('Data '!C106/(('Data '!B37+'Data '!C37)/2)),"",'Data '!C106/(('Data '!B37+'Data '!C37)/2))</f>
        <v>0.25760283610182189</v>
      </c>
      <c r="C77" s="188">
        <f>IF(ISERROR('Data '!D106/(('Data '!C37+'Data '!D37)/2)),"",'Data '!D106/(('Data '!C37+'Data '!D37)/2))</f>
        <v>0.95796668420468312</v>
      </c>
      <c r="D77" s="188">
        <f>IF(ISERROR('Data '!E106/(('Data '!D37+'Data '!E37)/2)),"",'Data '!E106/(('Data '!D37+'Data '!E37)/2))</f>
        <v>0.60151012663216985</v>
      </c>
      <c r="E77" s="188">
        <f>IF(ISERROR('Data '!F106/(('Data '!E37+'Data '!F37)/2)),"",'Data '!F106/(('Data '!E37+'Data '!F37)/2))</f>
        <v>0.15579594908543568</v>
      </c>
      <c r="F77" s="188">
        <f>IF(ISERROR('Data '!G106/(('Data '!F37+'Data '!G37)/2)),"",'Data '!G106/(('Data '!F37+'Data '!G37)/2))</f>
        <v>0.15713889073732856</v>
      </c>
    </row>
    <row r="78" spans="1:10" ht="12.75" customHeight="1">
      <c r="B78" s="192"/>
      <c r="C78" s="192"/>
      <c r="D78" s="192"/>
      <c r="E78" s="192"/>
      <c r="F78" s="193"/>
    </row>
    <row r="79" spans="1:10" ht="12.75" customHeight="1">
      <c r="A79" s="179" t="s">
        <v>305</v>
      </c>
      <c r="B79" s="179"/>
      <c r="C79" s="179"/>
      <c r="D79" s="179"/>
      <c r="E79" s="179"/>
      <c r="F79" s="179"/>
    </row>
    <row r="80" spans="1:10" ht="12.75" customHeight="1">
      <c r="A80" s="187" t="s">
        <v>304</v>
      </c>
      <c r="B80" s="189">
        <f>IF(ISERROR('Data '!C58/(('Data '!B9+'Data '!C9)/2)),"",'Data '!C58/(('Data '!B9+'Data '!C9)/2))</f>
        <v>3.3289895531177072</v>
      </c>
      <c r="C80" s="189">
        <f>IF(ISERROR('Data '!D58/(('Data '!C9+'Data '!D9)/2)),"",'Data '!D58/(('Data '!C9+'Data '!D9)/2))</f>
        <v>2.7046622744963535</v>
      </c>
      <c r="D80" s="189">
        <f>IF(ISERROR('Data '!E58/(('Data '!D9+'Data '!E9)/2)),"",'Data '!E58/(('Data '!D9+'Data '!E9)/2))</f>
        <v>2.7720932292531693</v>
      </c>
      <c r="E80" s="189">
        <f>IF(ISERROR('Data '!F58/(('Data '!E9+'Data '!F9)/2)),"",'Data '!F58/(('Data '!E9+'Data '!F9)/2))</f>
        <v>3.5020368233430554</v>
      </c>
      <c r="F80" s="189">
        <f>IF(ISERROR('Data '!G58/(('Data '!F9+'Data '!G9)/2)),"",'Data '!G58/(('Data '!F9+'Data '!G9)/2))</f>
        <v>4.0817931235729974</v>
      </c>
    </row>
    <row r="81" spans="1:8" ht="12.75" customHeight="1">
      <c r="A81" s="187" t="s">
        <v>303</v>
      </c>
      <c r="B81" s="189">
        <f>IF(ISERROR(365/B80),"",365/B80)</f>
        <v>109.64287937105888</v>
      </c>
      <c r="C81" s="189">
        <f>IF(ISERROR(365/C80),"",365/C80)</f>
        <v>134.95215407918838</v>
      </c>
      <c r="D81" s="189">
        <f>IF(ISERROR(365/D80),"",365/D80)</f>
        <v>131.66945330274291</v>
      </c>
      <c r="E81" s="189">
        <f>IF(ISERROR(365/E80),"",365/E80)</f>
        <v>104.22506056106225</v>
      </c>
      <c r="F81" s="189">
        <f>IF(ISERROR(365/F80),"",365/F80)</f>
        <v>89.421484369716723</v>
      </c>
      <c r="H81" s="198"/>
    </row>
    <row r="82" spans="1:8" ht="12.75" customHeight="1">
      <c r="A82" s="187" t="s">
        <v>302</v>
      </c>
      <c r="B82" s="189">
        <f>IF(ISERROR('Data '!C58/(('Data '!B11+'Data '!C11)/2)),"",'Data '!C58/(('Data '!B11+'Data '!C11)/2))</f>
        <v>7.0148327722692647</v>
      </c>
      <c r="C82" s="189">
        <f>IF(ISERROR('Data '!D58/(('Data '!C11+'Data '!D11)/2)),"",'Data '!D58/(('Data '!C11+'Data '!D11)/2))</f>
        <v>10.023170726325034</v>
      </c>
      <c r="D82" s="189">
        <f>IF(ISERROR('Data '!E58/(('Data '!D11+'Data '!E11)/2)),"",'Data '!E58/(('Data '!D11+'Data '!E11)/2))</f>
        <v>12.085421896118941</v>
      </c>
      <c r="E82" s="189">
        <f>IF(ISERROR('Data '!F58/(('Data '!E11+'Data '!F11)/2)),"",'Data '!F58/(('Data '!E11+'Data '!F11)/2))</f>
        <v>11.487410027271237</v>
      </c>
      <c r="F82" s="189">
        <f>IF(ISERROR('Data '!G58/(('Data '!F11+'Data '!G11)/2)),"",'Data '!G58/(('Data '!F11+'Data '!G11)/2))</f>
        <v>10.816098139508153</v>
      </c>
    </row>
    <row r="83" spans="1:8" ht="12.75" customHeight="1">
      <c r="A83" s="187" t="s">
        <v>301</v>
      </c>
      <c r="B83" s="205">
        <f>IF(ISERROR(365/B82),"",365/B82)</f>
        <v>52.032601752518225</v>
      </c>
      <c r="C83" s="205">
        <f>IF(ISERROR(365/C82),"",365/C82)</f>
        <v>36.415622358038611</v>
      </c>
      <c r="D83" s="205">
        <f>IF(ISERROR(365/D82),"",365/D82)</f>
        <v>30.201676295406326</v>
      </c>
      <c r="E83" s="205">
        <f>IF(ISERROR(365/E82),"",365/E82)</f>
        <v>31.773915889960055</v>
      </c>
      <c r="F83" s="205">
        <f>IF(ISERROR(365/F82),"",365/F82)</f>
        <v>33.745995579196723</v>
      </c>
    </row>
    <row r="84" spans="1:8" ht="12.75" customHeight="1">
      <c r="A84" s="187" t="s">
        <v>300</v>
      </c>
      <c r="B84" s="189">
        <f>IF(ISERROR(-'Data '!C59/(('Data '!B12+'Data '!C12)/2)),"",-'Data '!C59/(('Data '!B12+'Data '!C12)/2))</f>
        <v>0.95815046357398514</v>
      </c>
      <c r="C84" s="189">
        <f>IF(ISERROR(-'Data '!D59/(('Data '!C12+'Data '!D12)/2)),"",-'Data '!D59/(('Data '!C12+'Data '!D12)/2))</f>
        <v>1.1508433922642249</v>
      </c>
      <c r="D84" s="189">
        <f>IF(ISERROR(-'Data '!E59/(('Data '!D12+'Data '!E12)/2)),"",-'Data '!E59/(('Data '!D12+'Data '!E12)/2))</f>
        <v>1.2755046927652671</v>
      </c>
      <c r="E84" s="189">
        <f>IF(ISERROR(-'Data '!F59/(('Data '!E12+'Data '!F12)/2)),"",-'Data '!F59/(('Data '!E12+'Data '!F12)/2))</f>
        <v>1.1046075430388309</v>
      </c>
      <c r="F84" s="189">
        <f>IF(ISERROR(-'Data '!G59/(('Data '!F12+'Data '!G12)/2)),"",-'Data '!G59/(('Data '!F12+'Data '!G12)/2))</f>
        <v>0.97354647470527012</v>
      </c>
    </row>
    <row r="85" spans="1:8" ht="12.75" customHeight="1">
      <c r="A85" s="187" t="s">
        <v>299</v>
      </c>
      <c r="B85" s="205">
        <f>IF(ISERROR(365/B84),"",365/B84)</f>
        <v>380.94225685443814</v>
      </c>
      <c r="C85" s="205">
        <f>IF(ISERROR(365/C84),"",365/C84)</f>
        <v>317.15870504489874</v>
      </c>
      <c r="D85" s="205">
        <f>IF(ISERROR(365/D84),"",365/D84)</f>
        <v>286.16123646608287</v>
      </c>
      <c r="E85" s="205">
        <f>IF(ISERROR(365/E84),"",365/E84)</f>
        <v>330.43410059998922</v>
      </c>
      <c r="F85" s="205">
        <f>IF(ISERROR(365/F84),"",365/F84)</f>
        <v>374.91790015520269</v>
      </c>
    </row>
    <row r="86" spans="1:8" ht="12.75" customHeight="1">
      <c r="A86" s="187" t="s">
        <v>298</v>
      </c>
      <c r="B86" s="189">
        <f>IF(ISERROR((-'Data '!C59+'Data '!C12-'Data '!B12)/(('Data '!C29+'Data '!B29)/2)),"",(-'Data '!C59+'Data '!C12-'Data '!B12)/(('Data '!C29+'Data '!B29)/2))</f>
        <v>1.803514715223375</v>
      </c>
      <c r="C86" s="189">
        <f>IF(ISERROR((-'Data '!D59+'Data '!D12-'Data '!C12)/(('Data '!D29+'Data '!C29)/2)),"",(-'Data '!D59+'Data '!D12-'Data '!C12)/(('Data '!D29+'Data '!C29)/2))</f>
        <v>1.7958406076373166</v>
      </c>
      <c r="D86" s="189">
        <f>IF(ISERROR((-'Data '!E59+'Data '!E12-'Data '!D12)/(('Data '!E29+'Data '!D29)/2)),"",(-'Data '!E59+'Data '!E12-'Data '!D12)/(('Data '!E29+'Data '!D29)/2))</f>
        <v>1.9644613871126415</v>
      </c>
      <c r="E86" s="189">
        <f>IF(ISERROR((-'Data '!F59+'Data '!F12-'Data '!E12)/(('Data '!F29+'Data '!E29)/2)),"",(-'Data '!F59+'Data '!F12-'Data '!E12)/(('Data '!F29+'Data '!E29)/2))</f>
        <v>3.4339106009780545</v>
      </c>
      <c r="F86" s="189">
        <f>IF(ISERROR((-'Data '!G59+'Data '!G12-'Data '!F12)/(('Data '!G29+'Data '!F29)/2)),"",(-'Data '!G59+'Data '!G12-'Data '!F12)/(('Data '!G29+'Data '!F29)/2))</f>
        <v>13.119202446061754</v>
      </c>
    </row>
    <row r="87" spans="1:8" ht="12.75" customHeight="1">
      <c r="A87" s="187" t="s">
        <v>297</v>
      </c>
      <c r="B87" s="205">
        <f>IF(ISERROR(365/B86),"",365/B86)</f>
        <v>202.38260154965954</v>
      </c>
      <c r="C87" s="205">
        <f>IF(ISERROR(365/C86),"",365/C86)</f>
        <v>203.24743657523669</v>
      </c>
      <c r="D87" s="205">
        <f>IF(ISERROR(365/D86),"",365/D86)</f>
        <v>185.80156494522691</v>
      </c>
      <c r="E87" s="205">
        <f>IF(ISERROR(365/E86),"",365/E86)</f>
        <v>106.29280794207044</v>
      </c>
      <c r="F87" s="205">
        <f>IF(ISERROR(365/F86),"",365/F86)</f>
        <v>27.821813216211869</v>
      </c>
    </row>
    <row r="88" spans="1:8" ht="12.75" customHeight="1">
      <c r="A88" s="187" t="s">
        <v>296</v>
      </c>
      <c r="B88" s="205">
        <f>IF(ISERROR(B83+B85-B87),"",B83+B85-B87)</f>
        <v>230.59225705729685</v>
      </c>
      <c r="C88" s="205">
        <f>IF(ISERROR(C83+C85-C87),"",C83+C85-C87)</f>
        <v>150.32689082770065</v>
      </c>
      <c r="D88" s="205">
        <f>IF(ISERROR(D83+D85-D87),"",D83+D85-D87)</f>
        <v>130.5613478162623</v>
      </c>
      <c r="E88" s="205">
        <f>IF(ISERROR(E83+E85-E87),"",E83+E85-E87)</f>
        <v>255.91520854787882</v>
      </c>
      <c r="F88" s="205">
        <f>IF(ISERROR(F83+F85-F87),"",F83+F85-F87)</f>
        <v>380.84208251818757</v>
      </c>
    </row>
    <row r="89" spans="1:8" ht="12.75" customHeight="1">
      <c r="A89" s="187" t="s">
        <v>295</v>
      </c>
      <c r="B89" s="189">
        <f>IF(ISERROR('Data '!C58/(('Data '!B20+'Data '!B21+'Data '!C20+'Data '!C21)/2)),"",'Data '!C58/(('Data '!B20+'Data '!B21+'Data '!C20+'Data '!C21)/2))</f>
        <v>4.2114060782753846</v>
      </c>
      <c r="C89" s="189">
        <f>IF(ISERROR('Data '!D58/(('Data '!C20+'Data '!C21+'Data '!D20+'Data '!D21)/2)),"",'Data '!D58/(('Data '!C20+'Data '!C21+'Data '!D20+'Data '!D21)/2))</f>
        <v>6.1383607000473006</v>
      </c>
      <c r="D89" s="189">
        <f>IF(ISERROR('Data '!E58/(('Data '!D20+'Data '!D21+'Data '!E20+'Data '!E21)/2)),"",'Data '!E58/(('Data '!D20+'Data '!D21+'Data '!E20+'Data '!E21)/2))</f>
        <v>6.6160066381620322</v>
      </c>
      <c r="E89" s="189">
        <f>IF(ISERROR('Data '!F58/(('Data '!E20+'Data '!E21+'Data '!F20+'Data '!F21)/2)),"",'Data '!F58/(('Data '!E20+'Data '!E21+'Data '!F20+'Data '!F21)/2))</f>
        <v>5.5734916296714045</v>
      </c>
      <c r="F89" s="189">
        <f>IF(ISERROR('Data '!G58/(('Data '!F20+'Data '!F21+'Data '!G20+'Data '!G21)/2)),"",'Data '!G58/(('Data '!F20+'Data '!F21+'Data '!G20+'Data '!G21)/2))</f>
        <v>4.7552382658709922</v>
      </c>
    </row>
    <row r="90" spans="1:8" ht="12.75" customHeight="1">
      <c r="A90" s="187" t="s">
        <v>294</v>
      </c>
      <c r="B90" s="189">
        <f>IF(ISERROR('Data '!C108+'Data '!C107)/-'Data '!C138,"",('Data '!C108+'Data '!C107)/-'Data '!C138)</f>
        <v>0.10687343022180938</v>
      </c>
      <c r="C90" s="189">
        <f>IF(ISERROR('Data '!D108+'Data '!D107)/-'Data '!D138,"",('Data '!D108+'Data '!D107)/-'Data '!D138)</f>
        <v>0.22492829652146201</v>
      </c>
      <c r="D90" s="189">
        <f>IF(ISERROR('Data '!E108+'Data '!E107)/-'Data '!E138,"",('Data '!E108+'Data '!E107)/-'Data '!E138)</f>
        <v>0.24337572092043847</v>
      </c>
      <c r="E90" s="189">
        <f>IF(ISERROR('Data '!F108+'Data '!F107)/-'Data '!F138,"",('Data '!F108+'Data '!F107)/-'Data '!F138)</f>
        <v>0.32278393005133793</v>
      </c>
      <c r="F90" s="189">
        <f>IF(ISERROR('Data '!G108+'Data '!G107)/-'Data '!G138,"",('Data '!G108+'Data '!G107)/-'Data '!G138)</f>
        <v>0.23192503188642755</v>
      </c>
    </row>
    <row r="91" spans="1:8" ht="12.75" customHeight="1">
      <c r="A91" s="187" t="s">
        <v>293</v>
      </c>
      <c r="B91" s="189">
        <f>IF(ISERROR(('Data '!C20+'Data '!B20)/2)/'Data '!C138,"",(('Data '!C20+'Data '!B20)/2)/'Data '!C138)</f>
        <v>0.9805922432102161</v>
      </c>
      <c r="C91" s="189">
        <f>IF(ISERROR(('Data '!D20+'Data '!C20)/2)/'Data '!D138,"",(('Data '!D20+'Data '!C20)/2)/'Data '!D138)</f>
        <v>1.5916823964895939</v>
      </c>
      <c r="D91" s="189">
        <f>IF(ISERROR(('Data '!E20+'Data '!D20)/2)/'Data '!E138,"",(('Data '!E20+'Data '!D20)/2)/'Data '!E138)</f>
        <v>1.9830868848048104</v>
      </c>
      <c r="E91" s="189">
        <f>IF(ISERROR(('Data '!F20+'Data '!E20)/2)/'Data '!F138,"",(('Data '!F20+'Data '!E20)/2)/'Data '!F138)</f>
        <v>2.062834767421811</v>
      </c>
      <c r="F91" s="189">
        <f>IF(ISERROR(('Data '!G20+'Data '!F20)/2)/'Data '!G138,"",(('Data '!G20+'Data '!F20)/2)/'Data '!G138)</f>
        <v>1.5517430616269079</v>
      </c>
    </row>
    <row r="92" spans="1:8" ht="12.75" customHeight="1">
      <c r="A92" s="187" t="s">
        <v>292</v>
      </c>
      <c r="B92" s="189">
        <f>IF(ISERROR('Data '!C20+'Data '!C21)/'Data '!C138,"",('Data '!C20+'Data '!C21)/'Data '!C138)</f>
        <v>0.8257360202374564</v>
      </c>
      <c r="C92" s="189">
        <f>IF(ISERROR('Data '!D20+'Data '!D21)/'Data '!D138,"",('Data '!D20+'Data '!D21)/'Data '!D138)</f>
        <v>1.1451351947638075</v>
      </c>
      <c r="D92" s="189">
        <f>IF(ISERROR('Data '!E20+'Data '!E21)/'Data '!E138,"",('Data '!E20+'Data '!E21)/'Data '!E138)</f>
        <v>1.1205063113440414</v>
      </c>
      <c r="E92" s="189">
        <f>IF(ISERROR('Data '!F20+'Data '!F21)/'Data '!F138,"",('Data '!F20+'Data '!F21)/'Data '!F138)</f>
        <v>1.2423118210791539</v>
      </c>
      <c r="F92" s="189">
        <f>IF(ISERROR('Data '!G20+'Data '!G21)/'Data '!G138,"",('Data '!G20+'Data '!G21)/'Data '!G138)</f>
        <v>0.80236470503635238</v>
      </c>
      <c r="H92" s="198"/>
    </row>
    <row r="93" spans="1:8" ht="12.75" customHeight="1">
      <c r="B93" s="206"/>
      <c r="C93" s="206"/>
      <c r="D93" s="206"/>
      <c r="E93" s="206"/>
      <c r="F93" s="206"/>
      <c r="H93" s="198"/>
    </row>
    <row r="94" spans="1:8" ht="12.75" customHeight="1">
      <c r="A94" s="198"/>
      <c r="B94" s="198"/>
      <c r="C94" s="198"/>
      <c r="D94" s="198"/>
      <c r="E94" s="198"/>
      <c r="F94" s="198"/>
    </row>
    <row r="95" spans="1:8" ht="12.75" customHeight="1">
      <c r="A95" s="179" t="s">
        <v>291</v>
      </c>
      <c r="B95" s="179"/>
      <c r="C95" s="179"/>
      <c r="D95" s="179"/>
      <c r="E95" s="179"/>
      <c r="F95" s="179"/>
    </row>
    <row r="96" spans="1:8" ht="12.75" customHeight="1">
      <c r="A96" s="187" t="s">
        <v>290</v>
      </c>
      <c r="B96" s="188">
        <f>IF(ISERROR('Data '!C43/'Data '!C26),"",'Data '!C43/'Data '!C26)</f>
        <v>0.58590783377872169</v>
      </c>
      <c r="C96" s="188">
        <f>IF(ISERROR('Data '!D43/'Data '!D26),"",'Data '!D43/'Data '!D26)</f>
        <v>0.57498343748563452</v>
      </c>
      <c r="D96" s="188">
        <f>IF(ISERROR('Data '!E43/'Data '!E26),"",'Data '!E43/'Data '!E26)</f>
        <v>0.54925681135157445</v>
      </c>
      <c r="E96" s="188">
        <f>IF(ISERROR('Data '!F43/'Data '!F26),"",'Data '!F43/'Data '!F26)</f>
        <v>0.6145175795787442</v>
      </c>
      <c r="F96" s="188">
        <f>IF(ISERROR('Data '!G43/'Data '!G26),"",'Data '!G43/'Data '!G26)</f>
        <v>0.64269523698720976</v>
      </c>
    </row>
    <row r="97" spans="1:6" ht="12.75" customHeight="1">
      <c r="A97" s="187" t="s">
        <v>289</v>
      </c>
      <c r="B97" s="188">
        <f>IF(ISERROR('Data '!C43/'Data '!C52),"",'Data '!C43/'Data '!C52)</f>
        <v>1.4149213184236631</v>
      </c>
      <c r="C97" s="188">
        <f>IF(ISERROR('Data '!D43/'Data '!D52),"",'Data '!D43/'Data '!D52)</f>
        <v>1.3528494844626209</v>
      </c>
      <c r="D97" s="188">
        <f>IF(ISERROR('Data '!E43/'Data '!E52),"",'Data '!E43/'Data '!E52)</f>
        <v>1.2185582060564166</v>
      </c>
      <c r="E97" s="188">
        <f>IF(ISERROR('Data '!F43/'Data '!F52),"",'Data '!F43/'Data '!F52)</f>
        <v>1.5941520210109668</v>
      </c>
      <c r="F97" s="188">
        <f>IF(ISERROR('Data '!G43/'Data '!G52),"",'Data '!G43/'Data '!G52)</f>
        <v>1.7987312331579624</v>
      </c>
    </row>
    <row r="98" spans="1:6" ht="12.75" customHeight="1">
      <c r="A98" s="187" t="s">
        <v>288</v>
      </c>
      <c r="B98" s="188">
        <f>IF(ISERROR('Data '!C38/('Data '!C38+'Data '!C52)),"",'Data '!C38/('Data '!C38+'Data '!C52))</f>
        <v>0.15411478930819858</v>
      </c>
      <c r="C98" s="188">
        <f>IF(ISERROR('Data '!D38/('Data '!D38+'Data '!D52)),"",'Data '!D38/('Data '!D38+'Data '!D52))</f>
        <v>7.477793017382961E-2</v>
      </c>
      <c r="D98" s="188">
        <f>IF(ISERROR('Data '!E38/('Data '!E38+'Data '!E52)),"",'Data '!E38/('Data '!E38+'Data '!E52))</f>
        <v>0</v>
      </c>
      <c r="E98" s="188">
        <f>IF(ISERROR('Data '!F38/('Data '!F38+'Data '!F52)),"",'Data '!F38/('Data '!F38+'Data '!F52))</f>
        <v>0</v>
      </c>
      <c r="F98" s="188">
        <f>IF(ISERROR('Data '!G38/('Data '!G38+'Data '!G52)),"",'Data '!G38/('Data '!G38+'Data '!G52))</f>
        <v>0</v>
      </c>
    </row>
    <row r="99" spans="1:6" ht="12.75" customHeight="1">
      <c r="A99" s="187" t="s">
        <v>287</v>
      </c>
      <c r="B99" s="188">
        <f>IF(ISERROR('Data '!C38/'Data '!C52),"",'Data '!C38/'Data '!C52)</f>
        <v>0.18219350257011452</v>
      </c>
      <c r="C99" s="188">
        <f>IF(ISERROR('Data '!D38/'Data '!D52),"",'Data '!D38/'Data '!D52)</f>
        <v>8.08216023077344E-2</v>
      </c>
      <c r="D99" s="188">
        <f>IF(ISERROR('Data '!E38/'Data '!E52),"",'Data '!E38/'Data '!E52)</f>
        <v>0</v>
      </c>
      <c r="E99" s="188">
        <f>IF(ISERROR('Data '!F38/'Data '!F52),"",'Data '!F38/'Data '!F52)</f>
        <v>0</v>
      </c>
      <c r="F99" s="188">
        <f>IF(ISERROR('Data '!G38/'Data '!G52),"",'Data '!G38/'Data '!G52)</f>
        <v>0</v>
      </c>
    </row>
    <row r="100" spans="1:6" ht="12.75" customHeight="1">
      <c r="A100" s="187" t="s">
        <v>286</v>
      </c>
      <c r="B100" s="188">
        <f>IF(ISERROR('Data '!C106/(('Data '!C43+'Data '!B43)/2)),"",'Data '!C106/(('Data '!C43+'Data '!B43)/2))</f>
        <v>9.6461851967926338E-2</v>
      </c>
      <c r="C100" s="188">
        <f>IF(ISERROR('Data '!D106/(('Data '!D43+'Data '!C43)/2)),"",'Data '!D106/(('Data '!D43+'Data '!C43)/2))</f>
        <v>0.3839929571333211</v>
      </c>
      <c r="D100" s="188">
        <f>IF(ISERROR('Data '!E106/(('Data '!E43+'Data '!D43)/2)),"",'Data '!E106/(('Data '!E43+'Data '!D43)/2))</f>
        <v>0.26600041731883106</v>
      </c>
      <c r="E100" s="188">
        <f>IF(ISERROR('Data '!F106/(('Data '!F43+'Data '!E43)/2)),"",'Data '!F106/(('Data '!F43+'Data '!E43)/2))</f>
        <v>0.11323493738079043</v>
      </c>
      <c r="F100" s="188">
        <f>IF(ISERROR('Data '!G106/(('Data '!G43+'Data '!F43)/2)),"",'Data '!G106/(('Data '!G43+'Data '!F43)/2))</f>
        <v>0.15025077778411608</v>
      </c>
    </row>
    <row r="101" spans="1:6" ht="12.75" customHeight="1">
      <c r="A101" s="187" t="s">
        <v>285</v>
      </c>
      <c r="B101" s="189">
        <f>IF(ISERROR(('Data '!C74-'Data '!C71)/(-'Data '!C71)),"",('Data '!C74-'Data '!C71)/(-'Data '!C71))</f>
        <v>8.8898821718131141E-3</v>
      </c>
      <c r="C101" s="189">
        <f>IF(ISERROR(('Data '!D74-'Data '!D71)/(-'Data '!D71)),"",('Data '!D74-'Data '!D71)/(-'Data '!D71))</f>
        <v>3.4274062636100884</v>
      </c>
      <c r="D101" s="189">
        <f>IF(ISERROR(('Data '!E74-'Data '!E71)/(-'Data '!E71)),"",('Data '!E74-'Data '!E71)/(-'Data '!E71))</f>
        <v>2.2853639632542597</v>
      </c>
      <c r="E101" s="189">
        <f>IF(ISERROR(('Data '!F74-'Data '!F71)/(-'Data '!F71)),"",('Data '!F74-'Data '!F71)/(-'Data '!F71))</f>
        <v>1.6569530315476964</v>
      </c>
      <c r="F101" s="189">
        <f>IF(ISERROR(('Data '!G74-'Data '!G71)/(-'Data '!G71)),"",('Data '!G74-'Data '!G71)/(-'Data '!G71))</f>
        <v>-0.1673385539749471</v>
      </c>
    </row>
    <row r="102" spans="1:6" ht="12.75" customHeight="1">
      <c r="A102" s="187" t="s">
        <v>284</v>
      </c>
      <c r="B102" s="189">
        <f>IF(ISERROR(('Data '!C74-'Data '!C71-'Data '!C68-'Data '!C73)/-'Data '!C71),"",('Data '!C74-'Data '!C71-'Data '!C68-'Data '!C73)/-'Data '!C71)</f>
        <v>-0.28109906755565489</v>
      </c>
      <c r="C102" s="189">
        <f>IF(ISERROR(('Data '!D74-'Data '!D71-'Data '!D68-'Data '!D73)/-'Data '!D71),"",('Data '!D74-'Data '!D71-'Data '!D68-'Data '!D73)/-'Data '!D71)</f>
        <v>2.899136872946114</v>
      </c>
      <c r="D102" s="189">
        <f>IF(ISERROR(('Data '!E74-'Data '!E71-'Data '!E68-'Data '!E73)/-'Data '!E71),"",('Data '!E74-'Data '!E71-'Data '!E68-'Data '!E73)/-'Data '!E71)</f>
        <v>1.6715627104430582</v>
      </c>
      <c r="E102" s="189">
        <f>IF(ISERROR(('Data '!F74-'Data '!F71-'Data '!F68-'Data '!F73)/-'Data '!F71),"",('Data '!F74-'Data '!F71-'Data '!F68-'Data '!F73)/-'Data '!F71)</f>
        <v>1.35598887399657</v>
      </c>
      <c r="F102" s="189">
        <f>IF(ISERROR(('Data '!G74-'Data '!G71-'Data '!G68-'Data '!G73)/-'Data '!G71),"",('Data '!G74-'Data '!G71-'Data '!G68-'Data '!G73)/-'Data '!G71)</f>
        <v>-0.53811222834901073</v>
      </c>
    </row>
    <row r="103" spans="1:6" ht="12.75" customHeight="1">
      <c r="B103" s="113"/>
      <c r="C103" s="113"/>
      <c r="D103" s="113"/>
      <c r="E103" s="113"/>
      <c r="F103" s="113"/>
    </row>
    <row r="104" spans="1:6" ht="12.75" customHeight="1">
      <c r="A104" s="113" t="s">
        <v>283</v>
      </c>
      <c r="B104" s="113"/>
      <c r="C104" s="113"/>
      <c r="D104" s="113"/>
      <c r="E104" s="113"/>
      <c r="F104" s="113"/>
    </row>
    <row r="105" spans="1:6" ht="12.75" customHeight="1">
      <c r="A105" s="187" t="s">
        <v>282</v>
      </c>
      <c r="B105" s="199"/>
      <c r="C105" s="199"/>
      <c r="D105" s="199"/>
      <c r="E105" s="199"/>
      <c r="F105" s="199"/>
    </row>
    <row r="106" spans="1:6" ht="12.75" customHeight="1">
      <c r="A106" s="187" t="s">
        <v>281</v>
      </c>
      <c r="B106" s="204">
        <f>IF(ISERROR(1.2*('Data '!C17-'Data '!C37)/'Data '!C26+1.4*('Data '!C47/'Data '!C26)+3.3*(('Data '!C74-'Data '!C71)/'Data '!C26)+0.6*(('Data '!C140*'Data '!C143)/'Data '!C43)+1*('Data '!C58/'Data '!C26)),"",1.2*('Data '!C17-'Data '!C37)/'Data '!C26+1.4*('Data '!C47/'Data '!C26)+3.3*(('Data '!C74-'Data '!C71)/'Data '!C26)+0.6*(('Data '!C140*'Data '!C143)/'Data '!C43)+1*('Data '!C58/'Data '!C26))</f>
        <v>3.1701579780251379</v>
      </c>
      <c r="C106" s="204">
        <f>IF(ISERROR(1.2*('Data '!D17-'Data '!D37)/'Data '!D26+1.4*('Data '!D47/'Data '!D26)+3.3*(('Data '!D74-'Data '!D71)/'Data '!D26)+0.6*(('Data '!D140*'Data '!D143)/'Data '!D43)+1*('Data '!D58/'Data '!D26)),"",1.2*('Data '!D17-'Data '!D37)/'Data '!D26+1.4*('Data '!D47/'Data '!D26)+3.3*(('Data '!D74-'Data '!D71)/'Data '!D26)+0.6*(('Data '!D140*'Data '!D143)/'Data '!D43)+1*('Data '!D58/'Data '!D26))</f>
        <v>3.4883146240450351</v>
      </c>
      <c r="D106" s="204">
        <f>IF(ISERROR(1.2*('Data '!E17-'Data '!E37)/'Data '!E26+1.4*('Data '!E47/'Data '!E26)+3.3*(('Data '!E74-'Data '!E71)/'Data '!E26)+0.6*(('Data '!E140*'Data '!E143)/'Data '!E43)+1*('Data '!E58/'Data '!E26)),"",1.2*('Data '!E17-'Data '!E37)/'Data '!E26+1.4*('Data '!E47/'Data '!E26)+3.3*(('Data '!E74-'Data '!E71)/'Data '!E26)+0.6*(('Data '!E140*'Data '!E143)/'Data '!E43)+1*('Data '!E58/'Data '!E26))</f>
        <v>3.5290881677088342</v>
      </c>
      <c r="E106" s="204">
        <f>IF(ISERROR(1.2*('Data '!F17-'Data '!F37)/'Data '!F26+1.4*('Data '!F47/'Data '!F26)+3.3*(('Data '!F74-'Data '!F71)/'Data '!F26)+0.6*(('Data '!F140*'Data '!F143)/'Data '!F43)+1*('Data '!F58/'Data '!F26)),"",1.2*('Data '!F17-'Data '!F37)/'Data '!F26+1.4*('Data '!F47/'Data '!F26)+3.3*(('Data '!F74-'Data '!F71)/'Data '!F26)+0.6*(('Data '!F140*'Data '!F143)/'Data '!F43)+1*('Data '!F58/'Data '!F26))</f>
        <v>1.9997965548529244</v>
      </c>
      <c r="F106" s="204">
        <f>IF(ISERROR(1.2*('Data '!G17-'Data '!G37)/'Data '!G26+1.4*('Data '!G47/'Data '!G26)+3.3*(('Data '!G74-'Data '!G71)/'Data '!G26)+0.6*(('Data '!G140*'Data '!G143)/'Data '!G43)+1*('Data '!G58/'Data '!G26)),"",1.2*('Data '!G17-'Data '!G37)/'Data '!G26+1.4*('Data '!G47/'Data '!G26)+3.3*(('Data '!G74-'Data '!G71)/'Data '!G26)+0.6*(('Data '!G140*'Data '!G143)/'Data '!G43)+1*('Data '!G58/'Data '!G26))</f>
        <v>1.5792488606623738</v>
      </c>
    </row>
    <row r="107" spans="1:6" ht="12.75" customHeight="1">
      <c r="A107" s="187" t="s">
        <v>280</v>
      </c>
      <c r="B107" s="207">
        <f>IF(ISERROR(NORMSDIST(1-B106)),"",NORMSDIST(1-B106))</f>
        <v>1.4997440129952773E-2</v>
      </c>
      <c r="C107" s="207">
        <f>IF(ISERROR(NORMSDIST(1-C106)),"",NORMSDIST(1-C106))</f>
        <v>6.4175065082614285E-3</v>
      </c>
      <c r="D107" s="207">
        <f>IF(ISERROR(NORMSDIST(1-D106)),"",NORMSDIST(1-D106))</f>
        <v>5.7179647727832825E-3</v>
      </c>
      <c r="E107" s="207">
        <f>IF(ISERROR(NORMSDIST(1-E106)),"",NORMSDIST(1-E106))</f>
        <v>0.15870448670867016</v>
      </c>
      <c r="F107" s="207">
        <f>IF(ISERROR(NORMSDIST(1-F106)),"",NORMSDIST(1-F106))</f>
        <v>0.28121063317213219</v>
      </c>
    </row>
    <row r="108" spans="1:6" ht="12.75" customHeight="1">
      <c r="A108" s="187" t="s">
        <v>279</v>
      </c>
      <c r="B108" s="207"/>
      <c r="C108" s="207"/>
      <c r="D108" s="207"/>
      <c r="E108" s="207"/>
      <c r="F108" s="207"/>
    </row>
    <row r="109" spans="1:6" ht="12.75" customHeight="1">
      <c r="A109" s="187" t="s">
        <v>278</v>
      </c>
      <c r="B109" s="204" t="str">
        <f>IF(ISERROR(-4.84+0.92*(('Data '!C11/'Data '!C58)/('Data '!B11/'Data '!B58))+0.528*(('Data '!B60/'Data '!B58)/('Data '!C60/'Data '!C58))+0.404*((('Data '!C24+'Data '!C25+'Data '!C23)/'Data '!C26)/(('Data '!B24+'Data '!B25+'Data '!B23)/'Data '!B26))+0.892*('Data '!C58/'Data '!B58)+0.115*(('Data '!B91/('Data '!B20+'Data '!B21+'Data '!B91))/('Data '!C91/('Data '!C20+'Data '!C21+'Data '!C91)))-0.172*((-'Data '!C61/'Data '!C58)/(-'Data '!B61/'Data '!B58))-0.327*((('Data '!C37+'Data '!C38)/'Data '!C53)/(('Data '!B37+'Data '!B38)/'Data '!B53))+4.67*(('Data '!C74+'Data '!C75-'Data '!C106)/'Data '!C26)),"",-4.84+0.92*(('Data '!C11/'Data '!C58)/('Data '!B11/'Data '!B58))+0.528*(('Data '!B60/'Data '!B58)/('Data '!C60/'Data '!C58))+0.404*((('Data '!C24+'Data '!C25+'Data '!C23)/'Data '!C26)/(('Data '!B24+'Data '!B25+'Data '!B23)/'Data '!B26))+0.892*('Data '!C58/'Data '!B58)+0.115*(('Data '!B91/('Data '!B20+'Data '!B21+'Data '!B91))/('Data '!C91/('Data '!C20+'Data '!C21+'Data '!C91)))-0.172*((-'Data '!C61/'Data '!C58)/(-'Data '!B61/'Data '!B58))-0.327*((('Data '!C37+'Data '!C38)/'Data '!C53)/(('Data '!B37+'Data '!B38)/'Data '!B53))+4.67*(('Data '!C74+'Data '!C75-'Data '!C106)/'Data '!C26))</f>
        <v/>
      </c>
      <c r="C109" s="204">
        <f>IF(ISERROR(-4.84+0.92*(('Data '!D11/'Data '!D58)/('Data '!C11/'Data '!C58))+0.528*(('Data '!C60/'Data '!C58)/('Data '!D60/'Data '!D58))+0.404*((('Data '!D24+'Data '!D25+'Data '!D23)/'Data '!D26)/(('Data '!C24+'Data '!C25+'Data '!C23)/'Data '!C26))+0.892*('Data '!D58/'Data '!C58)+0.115*(('Data '!C91/('Data '!C20+'Data '!C21+'Data '!C91))/('Data '!D91/('Data '!D20+'Data '!D21+'Data '!D91)))-0.172*((-'Data '!D61/'Data '!D58)/(-'Data '!C61/'Data '!C58))-0.327*((('Data '!D37+'Data '!D38)/'Data '!D53)/(('Data '!C37+'Data '!C38)/'Data '!C53))+4.67*(('Data '!D74+'Data '!D75-'Data '!D106)/'Data '!D26)),"",-4.84+0.92*(('Data '!D11/'Data '!D58)/('Data '!C11/'Data '!C58))+0.528*(('Data '!C60/'Data '!C58)/('Data '!D60/'Data '!D58))+0.404*((('Data '!D24+'Data '!D25+'Data '!D23)/'Data '!D26)/(('Data '!C24+'Data '!C25+'Data '!C23)/'Data '!C26))+0.892*('Data '!D58/'Data '!C58)+0.115*(('Data '!C91/('Data '!C20+'Data '!C21+'Data '!C91))/('Data '!D91/('Data '!D20+'Data '!D21+'Data '!D91)))-0.172*((-'Data '!D61/'Data '!D58)/(-'Data '!C61/'Data '!C58))-0.327*((('Data '!D37+'Data '!D38)/'Data '!D53)/(('Data '!C37+'Data '!C38)/'Data '!C53))+4.67*(('Data '!D74+'Data '!D75-'Data '!D106)/'Data '!D26))</f>
        <v>-3.244540596615018</v>
      </c>
      <c r="D109" s="204">
        <f>IF(ISERROR(-4.84+0.92*(('Data '!E11/'Data '!E58)/('Data '!D11/'Data '!D58))+0.528*(('Data '!D60/'Data '!D58)/('Data '!E60/'Data '!E58))+0.404*((('Data '!E24+'Data '!E25+'Data '!E23)/'Data '!E26)/(('Data '!D24+'Data '!D25+'Data '!D23)/'Data '!D26))+0.892*('Data '!E58/'Data '!D58)+0.115*(('Data '!D91/('Data '!D20+'Data '!D21+'Data '!D91))/('Data '!E91/('Data '!E20+'Data '!E21+'Data '!E91)))-0.172*((-'Data '!E61/'Data '!E58)/(-'Data '!D61/'Data '!D58))-0.327*((('Data '!E37+'Data '!E38)/'Data '!E53)/(('Data '!D37+'Data '!D38)/'Data '!D53))+4.67*(('Data '!E74+'Data '!E75-'Data '!E106)/'Data '!E26)),"",-4.84+0.92*(('Data '!E11/'Data '!E58)/('Data '!D11/'Data '!D58))+0.528*(('Data '!D60/'Data '!D58)/('Data '!E60/'Data '!E58))+0.404*((('Data '!E24+'Data '!E25+'Data '!E23)/'Data '!E26)/(('Data '!D24+'Data '!D25+'Data '!D23)/'Data '!D26))+0.892*('Data '!E58/'Data '!D58)+0.115*(('Data '!D91/('Data '!D20+'Data '!D21+'Data '!D91))/('Data '!E91/('Data '!E20+'Data '!E21+'Data '!E91)))-0.172*((-'Data '!E61/'Data '!E58)/(-'Data '!D61/'Data '!D58))-0.327*((('Data '!E37+'Data '!E38)/'Data '!E53)/(('Data '!D37+'Data '!D38)/'Data '!D53))+4.67*(('Data '!E74+'Data '!E75-'Data '!E106)/'Data '!E26))</f>
        <v>-3.0686406248022973</v>
      </c>
      <c r="E109" s="204">
        <f>IF(ISERROR(-4.84+0.92*(('Data '!F11/'Data '!F58)/('Data '!E11/'Data '!E58))+0.528*(('Data '!E60/'Data '!E58)/('Data '!F60/'Data '!F58))+0.404*((('Data '!F24+'Data '!F25+'Data '!F23)/'Data '!F26)/(('Data '!E24+'Data '!E25+'Data '!E23)/'Data '!E26))+0.892*('Data '!F58/'Data '!E58)+0.115*(('Data '!E91/('Data '!E20+'Data '!E21+'Data '!E91))/('Data '!F91/('Data '!F20+'Data '!F21+'Data '!F91)))-0.172*((-'Data '!F61/'Data '!F58)/(-'Data '!E61/'Data '!E58))-0.327*((('Data '!F37+'Data '!F38)/'Data '!F53)/(('Data '!E37+'Data '!E38)/'Data '!E53))+4.67*(('Data '!F74+'Data '!F75-'Data '!F106)/'Data '!F26)),"",-4.84+0.92*(('Data '!F11/'Data '!F58)/('Data '!E11/'Data '!E58))+0.528*(('Data '!E60/'Data '!E58)/('Data '!F60/'Data '!F58))+0.404*((('Data '!F24+'Data '!F25+'Data '!F23)/'Data '!F26)/(('Data '!E24+'Data '!E25+'Data '!E23)/'Data '!E26))+0.892*('Data '!F58/'Data '!E58)+0.115*(('Data '!E91/('Data '!E20+'Data '!E21+'Data '!E91))/('Data '!F91/('Data '!F20+'Data '!F21+'Data '!F91)))-0.172*((-'Data '!F61/'Data '!F58)/(-'Data '!E61/'Data '!E58))-0.327*((('Data '!F37+'Data '!F38)/'Data '!F53)/(('Data '!E37+'Data '!E38)/'Data '!E53))+4.67*(('Data '!F74+'Data '!F75-'Data '!F106)/'Data '!F26))</f>
        <v>-2.9388281872706892</v>
      </c>
      <c r="F109" s="204">
        <f>IF(ISERROR(-4.84+0.92*(('Data '!G11/'Data '!G58)/('Data '!F11/'Data '!F58))+0.528*(('Data '!F60/'Data '!F58)/('Data '!G60/'Data '!G58))+0.404*((('Data '!G24+'Data '!G25+'Data '!G23)/'Data '!G26)/(('Data '!F24+'Data '!F25+'Data '!F23)/'Data '!F26))+0.892*('Data '!G58/'Data '!F58)+0.115*(('Data '!F91/('Data '!F20+'Data '!F21+'Data '!F91))/('Data '!G91/('Data '!G20+'Data '!G21+'Data '!G91)))-0.172*((-'Data '!G61/'Data '!G58)/(-'Data '!F61/'Data '!F58))-0.327*((('Data '!G37+'Data '!G38)/'Data '!G53)/(('Data '!F37+'Data '!F38)/'Data '!F53))+4.67*(('Data '!G74+'Data '!G75-'Data '!G106)/'Data '!G26)),"",-4.84+0.92*(('Data '!G11/'Data '!G58)/('Data '!F11/'Data '!F58))+0.528*(('Data '!F60/'Data '!F58)/('Data '!G60/'Data '!G58))+0.404*((('Data '!G24+'Data '!G25+'Data '!G23)/'Data '!G26)/(('Data '!F24+'Data '!F25+'Data '!F23)/'Data '!F26))+0.892*('Data '!G58/'Data '!F58)+0.115*(('Data '!F91/('Data '!F20+'Data '!F21+'Data '!F91))/('Data '!G91/('Data '!G20+'Data '!G21+'Data '!G91)))-0.172*((-'Data '!G61/'Data '!G58)/(-'Data '!F61/'Data '!F58))-0.327*((('Data '!G37+'Data '!G38)/'Data '!G53)/(('Data '!F37+'Data '!F38)/'Data '!F53))+4.67*(('Data '!G74+'Data '!G75-'Data '!G106)/'Data '!G26))</f>
        <v>-3.379316521154323</v>
      </c>
    </row>
    <row r="110" spans="1:6" ht="12.75" customHeight="1">
      <c r="A110" s="187" t="s">
        <v>277</v>
      </c>
      <c r="B110" s="207" t="str">
        <f>IF(ISERROR(NORMSDIST(B109)),"",NORMSDIST(B109))</f>
        <v/>
      </c>
      <c r="C110" s="207">
        <f>IF(ISERROR(NORMSDIST(C109)),"",NORMSDIST(C109))</f>
        <v>5.8820123568935757E-4</v>
      </c>
      <c r="D110" s="207">
        <f>IF(ISERROR(NORMSDIST(D109)),"",NORMSDIST(D109))</f>
        <v>1.0751754837237031E-3</v>
      </c>
      <c r="E110" s="207">
        <f>IF(ISERROR(NORMSDIST(E109)),"",NORMSDIST(E109))</f>
        <v>1.6472782589740415E-3</v>
      </c>
      <c r="F110" s="207">
        <f>IF(ISERROR(NORMSDIST(F109)),"",NORMSDIST(F109))</f>
        <v>3.6333146763521467E-4</v>
      </c>
    </row>
    <row r="111" spans="1:6" ht="12.75" customHeight="1">
      <c r="B111" s="113"/>
      <c r="C111" s="113"/>
      <c r="D111" s="113"/>
      <c r="E111" s="113"/>
      <c r="F111" s="113"/>
    </row>
    <row r="112" spans="1:6" ht="12.75" customHeight="1">
      <c r="A112" s="113" t="s">
        <v>276</v>
      </c>
      <c r="B112" s="113"/>
      <c r="C112" s="113"/>
      <c r="D112" s="113"/>
      <c r="E112" s="113"/>
      <c r="F112" s="113"/>
    </row>
    <row r="113" spans="1:10" ht="12.75" customHeight="1">
      <c r="A113" s="187" t="s">
        <v>275</v>
      </c>
      <c r="B113" s="208">
        <f>IF(ISERROR(('Data '!C143+'Data '!C142)/'Data '!B143-1),"",('Data '!C143+'Data '!C142)/'Data '!B143-1)</f>
        <v>-3.9999999999999925E-2</v>
      </c>
      <c r="C113" s="208">
        <f>IF(ISERROR(('Data '!D143+'Data '!D142)/'Data '!C143-1),"",('Data '!D143+'Data '!D142)/'Data '!C143-1)</f>
        <v>8.5456639554927438E-2</v>
      </c>
      <c r="D113" s="208">
        <f>IF(ISERROR(('Data '!E143+'Data '!E142)/'Data '!D143-1),"",('Data '!E143+'Data '!E142)/'Data '!D143-1)</f>
        <v>-0.1518617646350332</v>
      </c>
      <c r="E113" s="208">
        <f>IF(ISERROR(('Data '!F143+'Data '!F142)/'Data '!E143-1),"",('Data '!F143+'Data '!F142)/'Data '!E143-1)</f>
        <v>-0.32949658437597718</v>
      </c>
      <c r="F113" s="208">
        <f>IF(ISERROR(('Data '!G143+'Data '!G142)/'Data '!F143-1),"",('Data '!G143+'Data '!G142)/'Data '!F143-1)</f>
        <v>-0.15754746459045765</v>
      </c>
    </row>
    <row r="114" spans="1:10" ht="12.75" customHeight="1">
      <c r="A114" s="187" t="s">
        <v>274</v>
      </c>
      <c r="B114" s="189">
        <f>IF(ISERROR('Data '!C143/'Data '!C141),"",'Data '!C143/'Data '!C141)</f>
        <v>-36.842105263157897</v>
      </c>
      <c r="C114" s="189">
        <f>IF(ISERROR('Data '!D143/'Data '!D141),"",'Data '!D143/'Data '!D141)</f>
        <v>36.767676767676768</v>
      </c>
      <c r="D114" s="189">
        <f>IF(ISERROR('Data '!E143/'Data '!E141),"",'Data '!E143/'Data '!E141)</f>
        <v>36.650485436893206</v>
      </c>
      <c r="E114" s="189">
        <f>IF(ISERROR('Data '!F143/'Data '!F141),"",'Data '!F143/'Data '!F141)</f>
        <v>63.961038961038959</v>
      </c>
      <c r="F114" s="189">
        <f>IF(ISERROR('Data '!G143/'Data '!G141),"",'Data '!G143/'Data '!G141)</f>
        <v>-20.347394540942926</v>
      </c>
    </row>
    <row r="115" spans="1:10" ht="12.75" customHeight="1">
      <c r="A115" s="187" t="s">
        <v>273</v>
      </c>
      <c r="B115" s="189">
        <f>IF(ISERROR('Data '!C143/('Data '!C141-'Data '!C137/'Data '!C140)),"",'Data '!C143/('Data '!C141-'Data '!C137/'Data '!C140))</f>
        <v>-53.945866024517386</v>
      </c>
      <c r="C115" s="189">
        <f>IF(ISERROR('Data '!D143/('Data '!D141-'Data '!D137/'Data '!D140)),"",'Data '!D143/('Data '!D141-'Data '!D137/'Data '!D140))</f>
        <v>25.578222252529965</v>
      </c>
      <c r="D115" s="189">
        <f>IF(ISERROR('Data '!E143/('Data '!E141-'Data '!E137/'Data '!E140)),"",'Data '!E143/('Data '!E141-'Data '!E137/'Data '!E140))</f>
        <v>24.481417118566053</v>
      </c>
      <c r="E115" s="189">
        <f>IF(ISERROR('Data '!F143/('Data '!F141-'Data '!F137/'Data '!F140)),"",'Data '!F143/('Data '!F141-'Data '!F137/'Data '!F140))</f>
        <v>16.740463739969552</v>
      </c>
      <c r="F115" s="189">
        <f>IF(ISERROR('Data '!G143/('Data '!G141-'Data '!G137/'Data '!G140)),"",'Data '!G143/('Data '!G141-'Data '!G137/'Data '!G140))</f>
        <v>-74.717571081610842</v>
      </c>
    </row>
    <row r="116" spans="1:10" ht="12.75" customHeight="1">
      <c r="A116" s="187" t="s">
        <v>272</v>
      </c>
      <c r="B116" s="189">
        <f>IF(ISERROR(('Data '!C140*'Data '!C143)/'Data '!C50),"",('Data '!C140*'Data '!C143)/'Data '!C50)</f>
        <v>4.0884452018651007</v>
      </c>
      <c r="C116" s="189">
        <f>IF(ISERROR(('Data '!D140*'Data '!D143)/'Data '!D50),"",('Data '!D140*'Data '!D143)/'Data '!D50)</f>
        <v>4.0192669757023625</v>
      </c>
      <c r="D116" s="189">
        <f>IF(ISERROR(('Data '!E140*'Data '!E143)/'Data '!E50),"",('Data '!E140*'Data '!E143)/'Data '!E50)</f>
        <v>3.3901238344794562</v>
      </c>
      <c r="E116" s="189">
        <f>IF(ISERROR(('Data '!F140*'Data '!F143)/'Data '!F50),"",('Data '!F140*'Data '!F143)/'Data '!F50)</f>
        <v>2.2928996000551649</v>
      </c>
      <c r="F116" s="189">
        <f>IF(ISERROR(('Data '!G140*'Data '!G143)/'Data '!G50),"",('Data '!G140*'Data '!G143)/'Data '!G50)</f>
        <v>2.223614937865996</v>
      </c>
    </row>
    <row r="117" spans="1:10" ht="12.75" customHeight="1">
      <c r="A117" s="187" t="s">
        <v>271</v>
      </c>
      <c r="B117" s="209">
        <f>'Data '!C142</f>
        <v>0</v>
      </c>
      <c r="C117" s="209">
        <f>'Data '!D142</f>
        <v>3.5671544522779784E-2</v>
      </c>
      <c r="D117" s="209">
        <f>'Data '!E142</f>
        <v>0.33611588364239586</v>
      </c>
      <c r="E117" s="209">
        <f>'Data '!F142</f>
        <v>0.27460157592274426</v>
      </c>
      <c r="F117" s="209">
        <f>'Data '!G142</f>
        <v>9.8157473783991936E-2</v>
      </c>
    </row>
    <row r="118" spans="1:10" ht="12.75" customHeight="1">
      <c r="A118" s="187" t="s">
        <v>270</v>
      </c>
      <c r="B118" s="208">
        <f>'Data '!C122/'Data '!C81</f>
        <v>0</v>
      </c>
      <c r="C118" s="208">
        <f>'Data '!D122/'Data '!D81</f>
        <v>-7.1998278068088062E-2</v>
      </c>
      <c r="D118" s="208">
        <f>'Data '!E122/'Data '!E81</f>
        <v>-0.81502391932077745</v>
      </c>
      <c r="E118" s="208">
        <f>'Data '!F122/'Data '!F81</f>
        <v>-1.7785878741366079</v>
      </c>
      <c r="F118" s="208">
        <f>'Data '!G122/'Data '!G81</f>
        <v>0.2433357322249475</v>
      </c>
    </row>
    <row r="119" spans="1:10" ht="12.75" customHeight="1">
      <c r="A119" s="187" t="s">
        <v>269</v>
      </c>
      <c r="B119" s="208">
        <f>'Data '!C142/'Data '!C143</f>
        <v>0</v>
      </c>
      <c r="C119" s="208">
        <f>'Data '!D142/'Data '!D143</f>
        <v>1.9599749737791092E-3</v>
      </c>
      <c r="D119" s="208">
        <f>'Data '!E142/'Data '!E143</f>
        <v>2.2259330042542772E-2</v>
      </c>
      <c r="E119" s="208">
        <f>'Data '!F142/'Data '!F143</f>
        <v>2.7878332580989266E-2</v>
      </c>
      <c r="F119" s="208">
        <f>'Data '!G142/'Data '!G143</f>
        <v>1.197042363219414E-2</v>
      </c>
    </row>
    <row r="120" spans="1:10" ht="12.75" customHeight="1">
      <c r="A120" s="170"/>
      <c r="B120" s="170"/>
      <c r="C120" s="170"/>
      <c r="D120" s="170"/>
      <c r="E120" s="170"/>
      <c r="F120" s="170"/>
    </row>
    <row r="121" spans="1:10" ht="12.75" customHeight="1" thickBot="1">
      <c r="B121" s="170"/>
      <c r="C121" s="170"/>
      <c r="D121" s="170"/>
      <c r="E121" s="170"/>
      <c r="F121" s="170"/>
    </row>
    <row r="122" spans="1:10" ht="12.75" customHeight="1" thickBot="1">
      <c r="A122" s="201" t="s">
        <v>268</v>
      </c>
      <c r="B122" s="202"/>
      <c r="C122" s="202"/>
      <c r="D122" s="202"/>
      <c r="E122" s="202"/>
      <c r="F122" s="203"/>
      <c r="J122" s="113"/>
    </row>
    <row r="123" spans="1:10" ht="12.75" customHeight="1" thickBot="1">
      <c r="A123" s="184" t="s">
        <v>206</v>
      </c>
      <c r="B123" s="185">
        <f>'Data '!$C$4</f>
        <v>2020</v>
      </c>
      <c r="C123" s="185">
        <f>'Data '!$D$4</f>
        <v>2021</v>
      </c>
      <c r="D123" s="185">
        <f>'Data '!$E$4</f>
        <v>2022</v>
      </c>
      <c r="E123" s="185">
        <f>'Data '!$F$4</f>
        <v>2023</v>
      </c>
      <c r="F123" s="185">
        <f>'Data '!$G$4</f>
        <v>2024</v>
      </c>
    </row>
    <row r="124" spans="1:10" ht="12.75" customHeight="1">
      <c r="A124" s="179"/>
      <c r="B124" s="170"/>
      <c r="C124" s="170"/>
      <c r="D124" s="170"/>
      <c r="E124" s="170"/>
      <c r="F124" s="170"/>
    </row>
    <row r="125" spans="1:10" ht="12.75" customHeight="1">
      <c r="A125" s="210" t="str">
        <f>'Data '!A58</f>
        <v>Revenues</v>
      </c>
      <c r="B125" s="211">
        <f>IF('Data '!C58/'Data '!C$58=0,"",'Data '!C58/'Data '!C$58)</f>
        <v>1</v>
      </c>
      <c r="C125" s="211">
        <f>IF('Data '!D58/'Data '!D$58=0,"",'Data '!D58/'Data '!D$58)</f>
        <v>1</v>
      </c>
      <c r="D125" s="211">
        <f>IF('Data '!E58/'Data '!E$58=0,"",'Data '!E58/'Data '!E$58)</f>
        <v>1</v>
      </c>
      <c r="E125" s="211">
        <f>IF('Data '!F58/'Data '!F$58=0,"",'Data '!F58/'Data '!F$58)</f>
        <v>1</v>
      </c>
      <c r="F125" s="211">
        <f>IF('Data '!G58/'Data '!G$58=0,"",'Data '!G58/'Data '!G$58)</f>
        <v>1</v>
      </c>
    </row>
    <row r="126" spans="1:10" ht="12.75" customHeight="1">
      <c r="A126" s="187" t="str">
        <f>'Data '!A59</f>
        <v>&lt;Cost of goods sold&gt;</v>
      </c>
      <c r="B126" s="212">
        <f>IF('Data '!C59/'Data '!C$58=0,"",'Data '!C59/'Data '!C$58)</f>
        <v>-0.38247918543389842</v>
      </c>
      <c r="C126" s="212">
        <f>IF('Data '!D59/'Data '!D$58=0,"",'Data '!D59/'Data '!D$58)</f>
        <v>-0.31225870085951812</v>
      </c>
      <c r="D126" s="212">
        <f>IF('Data '!E59/'Data '!E$58=0,"",'Data '!E59/'Data '!E$58)</f>
        <v>-0.2801491922083898</v>
      </c>
      <c r="E126" s="212">
        <f>IF('Data '!F59/'Data '!F$58=0,"",'Data '!F59/'Data '!F$58)</f>
        <v>-0.27401794216061803</v>
      </c>
      <c r="F126" s="212">
        <f>IF('Data '!G59/'Data '!G$58=0,"",'Data '!G59/'Data '!G$58)</f>
        <v>-0.28508964299308476</v>
      </c>
    </row>
    <row r="127" spans="1:10" ht="12.75" customHeight="1">
      <c r="A127" s="210" t="str">
        <f>'Data '!A60</f>
        <v xml:space="preserve">  Gross Profit</v>
      </c>
      <c r="B127" s="211">
        <f>IF('Data '!C60/'Data '!C$58=0,"",'Data '!C60/'Data '!C$58)</f>
        <v>0.61752081456610164</v>
      </c>
      <c r="C127" s="211">
        <f>IF('Data '!D60/'Data '!D$58=0,"",'Data '!D60/'Data '!D$58)</f>
        <v>0.68774129914048188</v>
      </c>
      <c r="D127" s="211">
        <f>IF('Data '!E60/'Data '!E$58=0,"",'Data '!E60/'Data '!E$58)</f>
        <v>0.71985080779161026</v>
      </c>
      <c r="E127" s="211">
        <f>IF('Data '!F60/'Data '!F$58=0,"",'Data '!F60/'Data '!F$58)</f>
        <v>0.72598205783938197</v>
      </c>
      <c r="F127" s="211">
        <f>IF('Data '!G60/'Data '!G$58=0,"",'Data '!G60/'Data '!G$58)</f>
        <v>0.71491035700691519</v>
      </c>
    </row>
    <row r="128" spans="1:10" ht="12.75" customHeight="1">
      <c r="A128" s="187" t="str">
        <f>'Data '!A61</f>
        <v>&lt;Operating Expenses (1)&gt;</v>
      </c>
      <c r="B128" s="212">
        <f>IF('Data '!C61/'Data '!C$58=0,"",'Data '!C61/'Data '!C$58)</f>
        <v>-0.45304070100728849</v>
      </c>
      <c r="C128" s="212">
        <f>IF('Data '!D61/'Data '!D$58=0,"",'Data '!D61/'Data '!D$58)</f>
        <v>-0.35916936733831195</v>
      </c>
      <c r="D128" s="212">
        <f>IF('Data '!E61/'Data '!E$58=0,"",'Data '!E61/'Data '!E$58)</f>
        <v>-0.24872264756256551</v>
      </c>
      <c r="E128" s="212">
        <f>IF('Data '!F61/'Data '!F$58=0,"",'Data '!F61/'Data '!F$58)</f>
        <v>-0.23771243938488468</v>
      </c>
      <c r="F128" s="212">
        <f>IF('Data '!G61/'Data '!G$58=0,"",'Data '!G61/'Data '!G$58)</f>
        <v>-0.2244214602176009</v>
      </c>
    </row>
    <row r="129" spans="1:6" ht="12.75" customHeight="1">
      <c r="A129" s="187" t="str">
        <f>'Data '!A62</f>
        <v>&lt;Operating Expenses (2)&gt;</v>
      </c>
      <c r="B129" s="212">
        <f>IF('Data '!C62/'Data '!C$58=0,"",'Data '!C62/'Data '!C$58)</f>
        <v>-0.13338137744656459</v>
      </c>
      <c r="C129" s="212">
        <f>IF('Data '!D62/'Data '!D$58=0,"",'Data '!D62/'Data '!D$58)</f>
        <v>-0.11123009722417923</v>
      </c>
      <c r="D129" s="212">
        <f>IF('Data '!E62/'Data '!E$58=0,"",'Data '!E62/'Data '!E$58)</f>
        <v>-0.13486013829596871</v>
      </c>
      <c r="E129" s="212">
        <f>IF('Data '!F62/'Data '!F$58=0,"",'Data '!F62/'Data '!F$58)</f>
        <v>-0.11860714313513009</v>
      </c>
      <c r="F129" s="212">
        <f>IF('Data '!G62/'Data '!G$58=0,"",'Data '!G62/'Data '!G$58)</f>
        <v>-0.15176513323273172</v>
      </c>
    </row>
    <row r="130" spans="1:6" ht="12.75" customHeight="1">
      <c r="A130" s="187" t="str">
        <f>'Data '!A63</f>
        <v>&lt;Depreciation and Amortization&gt;</v>
      </c>
      <c r="B130" s="212" t="str">
        <f>IF('Data '!C63/'Data '!C$58=0,"",'Data '!C63/'Data '!C$58)</f>
        <v/>
      </c>
      <c r="C130" s="212" t="str">
        <f>IF('Data '!D63/'Data '!D$58=0,"",'Data '!D63/'Data '!D$58)</f>
        <v/>
      </c>
      <c r="D130" s="212">
        <f>IF('Data '!E63/'Data '!E$58=0,"",'Data '!E63/'Data '!E$58)</f>
        <v>-0.13657206216927836</v>
      </c>
      <c r="E130" s="212">
        <f>IF('Data '!F63/'Data '!F$58=0,"",'Data '!F63/'Data '!F$58)</f>
        <v>-0.15549036514796272</v>
      </c>
      <c r="F130" s="212">
        <f>IF('Data '!G63/'Data '!G$58=0,"",'Data '!G63/'Data '!G$58)</f>
        <v>-0.2552579156144395</v>
      </c>
    </row>
    <row r="131" spans="1:6" ht="12.75" customHeight="1">
      <c r="A131" s="187" t="str">
        <f>'Data '!A64</f>
        <v>&lt;Selling, General and Administrative Expenses&gt;</v>
      </c>
      <c r="B131" s="212">
        <f>IF('Data '!C64/'Data '!C$58=0,"",'Data '!C64/'Data '!C$58)</f>
        <v>-3.9164687576775041E-2</v>
      </c>
      <c r="C131" s="212">
        <f>IF('Data '!D64/'Data '!D$58=0,"",'Data '!D64/'Data '!D$58)</f>
        <v>-3.6025785543187264E-2</v>
      </c>
      <c r="D131" s="212">
        <f>IF('Data '!E64/'Data '!E$58=0,"",'Data '!E64/'Data '!E$58)</f>
        <v>-3.9353479127789567E-2</v>
      </c>
      <c r="E131" s="212">
        <f>IF('Data '!F64/'Data '!F$58=0,"",'Data '!F64/'Data '!F$58)</f>
        <v>-4.5911382366244591E-2</v>
      </c>
      <c r="F131" s="212">
        <f>IF('Data '!G64/'Data '!G$58=0,"",'Data '!G64/'Data '!G$58)</f>
        <v>-4.5442688961323766E-2</v>
      </c>
    </row>
    <row r="132" spans="1:6" ht="12.75" customHeight="1">
      <c r="A132" s="187" t="str">
        <f>'Data '!A65</f>
        <v>Other operating expenses (1)</v>
      </c>
      <c r="B132" s="212">
        <f>IF('Data '!C65/'Data '!C$58=0,"",'Data '!C65/'Data '!C$58)</f>
        <v>-5.9231840144132339E-2</v>
      </c>
      <c r="C132" s="212">
        <f>IF('Data '!D65/'Data '!D$58=0,"",'Data '!D65/'Data '!D$58)</f>
        <v>-5.8456918416232212E-2</v>
      </c>
      <c r="D132" s="212">
        <f>IF('Data '!E65/'Data '!E$58=0,"",'Data '!E65/'Data '!E$58)</f>
        <v>-7.3544824765459246E-2</v>
      </c>
      <c r="E132" s="212">
        <f>IF('Data '!F65/'Data '!F$58=0,"",'Data '!F65/'Data '!F$58)</f>
        <v>-9.8329024943114546E-2</v>
      </c>
      <c r="F132" s="212">
        <f>IF('Data '!G65/'Data '!G$58=0,"",'Data '!G65/'Data '!G$58)</f>
        <v>-8.3721860369855836E-2</v>
      </c>
    </row>
    <row r="133" spans="1:6" ht="12.75" customHeight="1">
      <c r="A133" s="187" t="str">
        <f>'Data '!A66</f>
        <v>Other operating expenses (2)</v>
      </c>
      <c r="B133" s="212">
        <f>IF('Data '!C66/'Data '!C$58=0,"",'Data '!C66/'Data '!C$58)</f>
        <v>-2.540223295935359E-2</v>
      </c>
      <c r="C133" s="212">
        <f>IF('Data '!D66/'Data '!D$58=0,"",'Data '!D66/'Data '!D$58)</f>
        <v>-2.0003170353670566E-2</v>
      </c>
      <c r="D133" s="212">
        <f>IF('Data '!E66/'Data '!E$58=0,"",'Data '!E66/'Data '!E$58)</f>
        <v>-2.3185664255221249E-2</v>
      </c>
      <c r="E133" s="212">
        <f>IF('Data '!F66/'Data '!F$58=0,"",'Data '!F66/'Data '!F$58)</f>
        <v>-2.5704181805130458E-2</v>
      </c>
      <c r="F133" s="212">
        <f>IF('Data '!G66/'Data '!G$58=0,"",'Data '!G66/'Data '!G$58)</f>
        <v>-2.4831273318867825E-2</v>
      </c>
    </row>
    <row r="134" spans="1:6" ht="12.75" customHeight="1">
      <c r="A134" s="187" t="str">
        <f>'Data '!A67</f>
        <v>Income from equity investees</v>
      </c>
      <c r="B134" s="212" t="str">
        <f>IF('Data '!C67/'Data '!C$58=0,"",'Data '!C67/'Data '!C$58)</f>
        <v/>
      </c>
      <c r="C134" s="212" t="str">
        <f>IF('Data '!D67/'Data '!D$58=0,"",'Data '!D67/'Data '!D$58)</f>
        <v/>
      </c>
      <c r="D134" s="212" t="str">
        <f>IF('Data '!E67/'Data '!E$58=0,"",'Data '!E67/'Data '!E$58)</f>
        <v/>
      </c>
      <c r="E134" s="212" t="str">
        <f>IF('Data '!F67/'Data '!F$58=0,"",'Data '!F67/'Data '!F$58)</f>
        <v/>
      </c>
      <c r="F134" s="212" t="str">
        <f>IF('Data '!G67/'Data '!G$58=0,"",'Data '!G67/'Data '!G$58)</f>
        <v/>
      </c>
    </row>
    <row r="135" spans="1:6" ht="12.75" customHeight="1">
      <c r="A135" s="187" t="str">
        <f>'Data '!A68</f>
        <v>Non-recurring operating gains &lt;losses&gt;</v>
      </c>
      <c r="B135" s="212">
        <f>IF('Data '!C68/'Data '!C$58=0,"",'Data '!C68/'Data '!C$58)</f>
        <v>2.5502688832473454E-2</v>
      </c>
      <c r="C135" s="212">
        <f>IF('Data '!D68/'Data '!D$58=0,"",'Data '!D68/'Data '!D$58)</f>
        <v>2.3500246583063267E-2</v>
      </c>
      <c r="D135" s="212">
        <f>IF('Data '!E68/'Data '!E$58=0,"",'Data '!E68/'Data '!E$58)</f>
        <v>3.8590582581354331E-2</v>
      </c>
      <c r="E135" s="212">
        <f>IF('Data '!F68/'Data '!F$58=0,"",'Data '!F68/'Data '!F$58)</f>
        <v>1.8060644952610592E-2</v>
      </c>
      <c r="F135" s="212">
        <f>IF('Data '!G68/'Data '!G$58=0,"",'Data '!G68/'Data '!G$58)</f>
        <v>2.3190861612240678E-2</v>
      </c>
    </row>
    <row r="136" spans="1:6" ht="12.75" customHeight="1">
      <c r="A136" s="210" t="str">
        <f>'Data '!A69</f>
        <v xml:space="preserve">  Operating Profit</v>
      </c>
      <c r="B136" s="211">
        <f>IF('Data '!C69/'Data '!C$58=0,"",'Data '!C69/'Data '!C$58)</f>
        <v>-6.7197335735539002E-2</v>
      </c>
      <c r="C136" s="211">
        <f>IF('Data '!D69/'Data '!D$58=0,"",'Data '!D69/'Data '!D$58)</f>
        <v>0.12635620684796392</v>
      </c>
      <c r="D136" s="211">
        <f>IF('Data '!E69/'Data '!E$58=0,"",'Data '!E69/'Data '!E$58)</f>
        <v>0.10220257419668193</v>
      </c>
      <c r="E136" s="211">
        <f>IF('Data '!F69/'Data '!F$58=0,"",'Data '!F69/'Data '!F$58)</f>
        <v>6.2288166009525449E-2</v>
      </c>
      <c r="F136" s="211">
        <f>IF('Data '!G69/'Data '!G$58=0,"",'Data '!G69/'Data '!G$58)</f>
        <v>-4.7339113095663632E-2</v>
      </c>
    </row>
    <row r="137" spans="1:6" ht="12.75" customHeight="1">
      <c r="A137" s="187" t="str">
        <f>'Data '!A70</f>
        <v>Interest income</v>
      </c>
      <c r="B137" s="212">
        <f>IF('Data '!C70/'Data '!C$58=0,"",'Data '!C70/'Data '!C$58)</f>
        <v>6.7979144487210985E-2</v>
      </c>
      <c r="C137" s="212">
        <f>IF('Data '!D70/'Data '!D$58=0,"",'Data '!D70/'Data '!D$58)</f>
        <v>2.6113146399887276E-2</v>
      </c>
      <c r="D137" s="212">
        <f>IF('Data '!E70/'Data '!E$58=0,"",'Data '!E70/'Data '!E$58)</f>
        <v>4.1481601012295817E-2</v>
      </c>
      <c r="E137" s="212">
        <f>IF('Data '!F70/'Data '!F$58=0,"",'Data '!F70/'Data '!F$58)</f>
        <v>3.7144406458347566E-2</v>
      </c>
      <c r="F137" s="212">
        <f>IF('Data '!G70/'Data '!G$58=0,"",'Data '!G70/'Data '!G$58)</f>
        <v>3.6872552183061444E-2</v>
      </c>
    </row>
    <row r="138" spans="1:6" ht="12.75" customHeight="1">
      <c r="A138" s="187" t="str">
        <f>'Data '!A71</f>
        <v>&lt;Interest expense&gt;</v>
      </c>
      <c r="B138" s="212">
        <f>IF('Data '!C71/'Data '!C$58=0,"",'Data '!C71/'Data '!C$58)</f>
        <v>-8.7943657358119723E-2</v>
      </c>
      <c r="C138" s="212">
        <f>IF('Data '!D71/'Data '!D$58=0,"",'Data '!D71/'Data '!D$58)</f>
        <v>-4.448534592081161E-2</v>
      </c>
      <c r="D138" s="212">
        <f>IF('Data '!E71/'Data '!E$58=0,"",'Data '!E71/'Data '!E$58)</f>
        <v>-6.2871462716327098E-2</v>
      </c>
      <c r="E138" s="212">
        <f>IF('Data '!F71/'Data '!F$58=0,"",'Data '!F71/'Data '!F$58)</f>
        <v>-6.0009288479949768E-2</v>
      </c>
      <c r="F138" s="212">
        <f>IF('Data '!G71/'Data '!G$58=0,"",'Data '!G71/'Data '!G$58)</f>
        <v>-6.2547217386431916E-2</v>
      </c>
    </row>
    <row r="139" spans="1:6" ht="12.75" customHeight="1">
      <c r="A139" s="187" t="str">
        <f>'Data '!A72</f>
        <v>Income &lt;Loss&gt; from equity affiliates</v>
      </c>
      <c r="B139" s="212" t="str">
        <f>IF('Data '!C72/'Data '!C$58=0,"",'Data '!C72/'Data '!C$58)</f>
        <v/>
      </c>
      <c r="C139" s="212" t="str">
        <f>IF('Data '!D72/'Data '!D$58=0,"",'Data '!D72/'Data '!D$58)</f>
        <v/>
      </c>
      <c r="D139" s="212" t="str">
        <f>IF('Data '!E72/'Data '!E$58=0,"",'Data '!E72/'Data '!E$58)</f>
        <v/>
      </c>
      <c r="E139" s="212" t="str">
        <f>IF('Data '!F72/'Data '!F$58=0,"",'Data '!F72/'Data '!F$58)</f>
        <v/>
      </c>
      <c r="F139" s="212" t="str">
        <f>IF('Data '!G72/'Data '!G$58=0,"",'Data '!G72/'Data '!G$58)</f>
        <v/>
      </c>
    </row>
    <row r="140" spans="1:6" ht="12.75" customHeight="1">
      <c r="A140" s="187" t="str">
        <f>'Data '!A73</f>
        <v>Other income or gains &lt;Other expenses or losses&gt;</v>
      </c>
      <c r="B140" s="212" t="str">
        <f>IF('Data '!C73/'Data '!C$58=0,"",'Data '!C73/'Data '!C$58)</f>
        <v/>
      </c>
      <c r="C140" s="212" t="str">
        <f>IF('Data '!D73/'Data '!D$58=0,"",'Data '!D73/'Data '!D$58)</f>
        <v/>
      </c>
      <c r="D140" s="212" t="str">
        <f>IF('Data '!E73/'Data '!E$58=0,"",'Data '!E73/'Data '!E$58)</f>
        <v/>
      </c>
      <c r="E140" s="212" t="str">
        <f>IF('Data '!F73/'Data '!F$58=0,"",'Data '!F73/'Data '!F$58)</f>
        <v/>
      </c>
      <c r="F140" s="212" t="str">
        <f>IF('Data '!G73/'Data '!G$58=0,"",'Data '!G73/'Data '!G$58)</f>
        <v/>
      </c>
    </row>
    <row r="141" spans="1:6" ht="12.75" customHeight="1">
      <c r="A141" s="210" t="str">
        <f>'Data '!A74</f>
        <v xml:space="preserve">  Income before Tax</v>
      </c>
      <c r="B141" s="211">
        <f>IF('Data '!C74/'Data '!C$58=0,"",'Data '!C74/'Data '!C$58)</f>
        <v>-8.7161848606447739E-2</v>
      </c>
      <c r="C141" s="211">
        <f>IF('Data '!D74/'Data '!D$58=0,"",'Data '!D74/'Data '!D$58)</f>
        <v>0.1079840073270396</v>
      </c>
      <c r="D141" s="211">
        <f>IF('Data '!E74/'Data '!E$58=0,"",'Data '!E74/'Data '!E$58)</f>
        <v>8.0812712492650624E-2</v>
      </c>
      <c r="E141" s="211">
        <f>IF('Data '!F74/'Data '!F$58=0,"",'Data '!F74/'Data '!F$58)</f>
        <v>3.9423283987923247E-2</v>
      </c>
      <c r="F141" s="211">
        <f>IF('Data '!G74/'Data '!G$58=0,"",'Data '!G74/'Data '!G$58)</f>
        <v>-7.3013778299034104E-2</v>
      </c>
    </row>
    <row r="142" spans="1:6" ht="12.75" customHeight="1">
      <c r="A142" s="187" t="str">
        <f>'Data '!A75</f>
        <v>&lt;Income tax expense&gt;</v>
      </c>
      <c r="B142" s="212">
        <f>IF('Data '!C75/'Data '!C$58=0,"",'Data '!C75/'Data '!C$58)</f>
        <v>8.8761499194715144E-3</v>
      </c>
      <c r="C142" s="212">
        <f>IF('Data '!D75/'Data '!D$58=0,"",'Data '!D75/'Data '!D$58)</f>
        <v>-3.1958045653092855E-2</v>
      </c>
      <c r="D142" s="212">
        <f>IF('Data '!E75/'Data '!E$58=0,"",'Data '!E75/'Data '!E$58)</f>
        <v>-2.8606623379943252E-2</v>
      </c>
      <c r="E142" s="212">
        <f>IF('Data '!F75/'Data '!F$58=0,"",'Data '!F75/'Data '!F$58)</f>
        <v>-1.6733966345259893E-2</v>
      </c>
      <c r="F142" s="212">
        <f>IF('Data '!G75/'Data '!G$58=0,"",'Data '!G75/'Data '!G$58)</f>
        <v>7.2533634236493652E-3</v>
      </c>
    </row>
    <row r="143" spans="1:6" ht="12.75" customHeight="1">
      <c r="A143" s="187" t="str">
        <f>'Data '!A76</f>
        <v>Income &lt;Loss&gt; from discontinued operations</v>
      </c>
      <c r="B143" s="212" t="str">
        <f>IF('Data '!C76/'Data '!C$58=0,"",'Data '!C76/'Data '!C$58)</f>
        <v/>
      </c>
      <c r="C143" s="212">
        <f>IF('Data '!D76/'Data '!D$58=0,"",'Data '!D76/'Data '!D$58)</f>
        <v>-4.5723545159926729E-3</v>
      </c>
      <c r="D143" s="212" t="str">
        <f>IF('Data '!E76/'Data '!E$58=0,"",'Data '!E76/'Data '!E$58)</f>
        <v/>
      </c>
      <c r="E143" s="212" t="str">
        <f>IF('Data '!F76/'Data '!F$58=0,"",'Data '!F76/'Data '!F$58)</f>
        <v/>
      </c>
      <c r="F143" s="212" t="str">
        <f>IF('Data '!G76/'Data '!G$58=0,"",'Data '!G76/'Data '!G$58)</f>
        <v/>
      </c>
    </row>
    <row r="144" spans="1:6" ht="12.75" customHeight="1">
      <c r="A144" s="187" t="str">
        <f>'Data '!A77</f>
        <v>Extraordinary gains &lt;losses&gt;</v>
      </c>
      <c r="B144" s="212" t="str">
        <f>IF('Data '!C77/'Data '!C$58=0,"",'Data '!C77/'Data '!C$58)</f>
        <v/>
      </c>
      <c r="C144" s="212" t="str">
        <f>IF('Data '!D77/'Data '!D$58=0,"",'Data '!D77/'Data '!D$58)</f>
        <v/>
      </c>
      <c r="D144" s="212" t="str">
        <f>IF('Data '!E77/'Data '!E$58=0,"",'Data '!E77/'Data '!E$58)</f>
        <v/>
      </c>
      <c r="E144" s="212" t="str">
        <f>IF('Data '!F77/'Data '!F$58=0,"",'Data '!F77/'Data '!F$58)</f>
        <v/>
      </c>
      <c r="F144" s="212" t="str">
        <f>IF('Data '!G77/'Data '!G$58=0,"",'Data '!G77/'Data '!G$58)</f>
        <v/>
      </c>
    </row>
    <row r="145" spans="1:10" ht="12.75" customHeight="1">
      <c r="A145" s="187" t="str">
        <f>'Data '!A78</f>
        <v>Changes in accounting principles</v>
      </c>
      <c r="B145" s="212" t="str">
        <f>IF('Data '!C78/'Data '!C$58=0,"",'Data '!C78/'Data '!C$58)</f>
        <v/>
      </c>
      <c r="C145" s="212" t="str">
        <f>IF('Data '!D78/'Data '!D$58=0,"",'Data '!D78/'Data '!D$58)</f>
        <v/>
      </c>
      <c r="D145" s="212" t="str">
        <f>IF('Data '!E78/'Data '!E$58=0,"",'Data '!E78/'Data '!E$58)</f>
        <v/>
      </c>
      <c r="E145" s="212" t="str">
        <f>IF('Data '!F78/'Data '!F$58=0,"",'Data '!F78/'Data '!F$58)</f>
        <v/>
      </c>
      <c r="F145" s="212" t="str">
        <f>IF('Data '!G78/'Data '!G$58=0,"",'Data '!G78/'Data '!G$58)</f>
        <v/>
      </c>
    </row>
    <row r="146" spans="1:10" ht="12.75" customHeight="1">
      <c r="A146" s="210" t="str">
        <f>'Data '!A79</f>
        <v xml:space="preserve">  Net Income </v>
      </c>
      <c r="B146" s="211">
        <f>IF('Data '!C79/'Data '!C$58=0,"",'Data '!C79/'Data '!C$58)</f>
        <v>-7.8285698686976227E-2</v>
      </c>
      <c r="C146" s="211">
        <f>IF('Data '!D79/'Data '!D$58=0,"",'Data '!D79/'Data '!D$58)</f>
        <v>7.1453607157954069E-2</v>
      </c>
      <c r="D146" s="211">
        <f>IF('Data '!E79/'Data '!E$58=0,"",'Data '!E79/'Data '!E$58)</f>
        <v>5.2206089112707382E-2</v>
      </c>
      <c r="E146" s="211">
        <f>IF('Data '!F79/'Data '!F$58=0,"",'Data '!F79/'Data '!F$58)</f>
        <v>2.2689317642663354E-2</v>
      </c>
      <c r="F146" s="211">
        <f>IF('Data '!G79/'Data '!G$58=0,"",'Data '!G79/'Data '!G$58)</f>
        <v>-6.576041487538474E-2</v>
      </c>
    </row>
    <row r="147" spans="1:10" ht="12.75" customHeight="1">
      <c r="A147" s="187" t="str">
        <f>'Data '!A80</f>
        <v>Net income attributable to noncontrolling interests</v>
      </c>
      <c r="B147" s="212">
        <f>IF('Data '!C80/'Data '!C$58=0,"",'Data '!C80/'Data '!C$58)</f>
        <v>-5.7860399093713315E-3</v>
      </c>
      <c r="C147" s="212">
        <f>IF('Data '!D80/'Data '!D$58=0,"",'Data '!D80/'Data '!D$58)</f>
        <v>2.1928279554741439E-3</v>
      </c>
      <c r="D147" s="212">
        <f>IF('Data '!E80/'Data '!E$58=0,"",'Data '!E80/'Data '!E$58)</f>
        <v>-3.4006812546332984E-3</v>
      </c>
      <c r="E147" s="212">
        <f>IF('Data '!F80/'Data '!F$58=0,"",'Data '!F80/'Data '!F$58)</f>
        <v>1.5134860253348913E-4</v>
      </c>
      <c r="F147" s="212">
        <f>IF('Data '!G80/'Data '!G$58=0,"",'Data '!G80/'Data '!G$58)</f>
        <v>1.7389523391807216E-5</v>
      </c>
      <c r="G147" s="213"/>
    </row>
    <row r="148" spans="1:10" ht="12.75" customHeight="1">
      <c r="A148" s="210" t="str">
        <f>'Data '!A81</f>
        <v xml:space="preserve">  Net Income attributable to common shareholders</v>
      </c>
      <c r="B148" s="211">
        <f>IF('Data '!C81/'Data '!C$58=0,"",'Data '!C81/'Data '!C$58)</f>
        <v>-8.4071738596347562E-2</v>
      </c>
      <c r="C148" s="211">
        <f>IF('Data '!D81/'Data '!D$58=0,"",'Data '!D81/'Data '!D$58)</f>
        <v>7.3646435113428207E-2</v>
      </c>
      <c r="D148" s="211">
        <f>IF('Data '!E81/'Data '!E$58=0,"",'Data '!E81/'Data '!E$58)</f>
        <v>5.5606770367340679E-2</v>
      </c>
      <c r="E148" s="211">
        <f>IF('Data '!F81/'Data '!F$58=0,"",'Data '!F81/'Data '!F$58)</f>
        <v>2.2537969040129866E-2</v>
      </c>
      <c r="F148" s="211">
        <f>IF('Data '!G81/'Data '!G$58=0,"",'Data '!G81/'Data '!G$58)</f>
        <v>-6.5777804398776549E-2</v>
      </c>
      <c r="H148" s="213"/>
    </row>
    <row r="149" spans="1:10" ht="12.75" customHeight="1">
      <c r="A149" s="199"/>
      <c r="B149" s="188"/>
      <c r="C149" s="188"/>
      <c r="D149" s="188"/>
      <c r="E149" s="188"/>
      <c r="F149" s="188"/>
    </row>
    <row r="150" spans="1:10" ht="12.75" customHeight="1">
      <c r="A150" s="187" t="str">
        <f>'Data '!A84</f>
        <v>Other comprehensive income items</v>
      </c>
      <c r="B150" s="212">
        <f>IF('Data '!C84/'Data '!C$58=0,"",'Data '!C84/'Data '!C$58)</f>
        <v>-6.7600251139682804E-3</v>
      </c>
      <c r="C150" s="212">
        <f>IF('Data '!D84/'Data '!D$58=0,"",'Data '!D84/'Data '!D$58)</f>
        <v>6.8708609271523179E-3</v>
      </c>
      <c r="D150" s="212">
        <f>IF('Data '!E84/'Data '!E$58=0,"",'Data '!E84/'Data '!E$58)</f>
        <v>1.4478258646693422E-2</v>
      </c>
      <c r="E150" s="212">
        <f>IF('Data '!F84/'Data '!F$58=0,"",'Data '!F84/'Data '!F$58)</f>
        <v>1.2938143393719985E-3</v>
      </c>
      <c r="F150" s="212">
        <f>IF('Data '!G84/'Data '!G$58=0,"",'Data '!G84/'Data '!G$58)</f>
        <v>-1.9357437788980067E-2</v>
      </c>
    </row>
    <row r="151" spans="1:10" ht="12.75" customHeight="1">
      <c r="A151" s="210" t="str">
        <f>'Data '!A85</f>
        <v>Comprehensive Income</v>
      </c>
      <c r="B151" s="211">
        <f>IF('Data '!C85/'Data '!C$58=0,"",'Data '!C85/'Data '!C$58)</f>
        <v>-8.5045723800944509E-2</v>
      </c>
      <c r="C151" s="211">
        <f>IF('Data '!D85/'Data '!D$58=0,"",'Data '!D85/'Data '!D$58)</f>
        <v>7.8324468085106388E-2</v>
      </c>
      <c r="D151" s="211">
        <f>IF('Data '!E85/'Data '!E$58=0,"",'Data '!E85/'Data '!E$58)</f>
        <v>6.6684347759400797E-2</v>
      </c>
      <c r="E151" s="211">
        <f>IF('Data '!F85/'Data '!F$58=0,"",'Data '!F85/'Data '!F$58)</f>
        <v>2.3983131982035354E-2</v>
      </c>
      <c r="F151" s="211">
        <f>IF('Data '!G85/'Data '!G$58=0,"",'Data '!G85/'Data '!G$58)</f>
        <v>-8.5117852664364807E-2</v>
      </c>
    </row>
    <row r="152" spans="1:10" ht="12.75" customHeight="1">
      <c r="A152" s="214"/>
      <c r="B152" s="215"/>
      <c r="C152" s="215"/>
      <c r="D152" s="215"/>
      <c r="E152" s="215"/>
      <c r="F152" s="215"/>
    </row>
    <row r="153" spans="1:10" ht="12.75" customHeight="1" thickBot="1">
      <c r="A153" s="216"/>
      <c r="B153" s="217"/>
      <c r="C153" s="217"/>
      <c r="D153" s="217"/>
      <c r="E153" s="217"/>
      <c r="F153" s="217"/>
    </row>
    <row r="154" spans="1:10" ht="12.75" customHeight="1" thickBot="1">
      <c r="A154" s="201" t="s">
        <v>267</v>
      </c>
      <c r="B154" s="202"/>
      <c r="C154" s="202"/>
      <c r="D154" s="202"/>
      <c r="E154" s="202"/>
      <c r="F154" s="202"/>
      <c r="G154" s="203"/>
      <c r="J154" s="113"/>
    </row>
    <row r="155" spans="1:10" ht="12.75" customHeight="1" thickBot="1">
      <c r="A155" s="184" t="s">
        <v>206</v>
      </c>
      <c r="B155" s="185">
        <f>'Data '!$C$4</f>
        <v>2020</v>
      </c>
      <c r="C155" s="185">
        <f>'Data '!$D$4</f>
        <v>2021</v>
      </c>
      <c r="D155" s="185">
        <f>'Data '!$E$4</f>
        <v>2022</v>
      </c>
      <c r="E155" s="185">
        <f>'Data '!$F$4</f>
        <v>2023</v>
      </c>
      <c r="F155" s="185">
        <f>'Data '!$G$4</f>
        <v>2024</v>
      </c>
      <c r="G155" s="185"/>
    </row>
    <row r="156" spans="1:10" ht="12.75" customHeight="1">
      <c r="B156" s="170"/>
      <c r="C156" s="170"/>
      <c r="D156" s="170"/>
      <c r="E156" s="170"/>
      <c r="F156" s="170"/>
      <c r="G156" s="218" t="s">
        <v>264</v>
      </c>
    </row>
    <row r="157" spans="1:10" ht="12.75" customHeight="1">
      <c r="A157" s="179"/>
      <c r="B157" s="219"/>
      <c r="C157" s="220"/>
      <c r="D157" s="220"/>
      <c r="E157" s="170"/>
      <c r="F157" s="170"/>
      <c r="G157" s="218" t="s">
        <v>263</v>
      </c>
    </row>
    <row r="158" spans="1:10" ht="12.75" customHeight="1">
      <c r="A158" s="170"/>
      <c r="B158" s="221" t="s">
        <v>262</v>
      </c>
      <c r="C158" s="222"/>
      <c r="D158" s="219"/>
      <c r="E158" s="170"/>
      <c r="F158" s="170"/>
      <c r="G158" s="218" t="s">
        <v>261</v>
      </c>
    </row>
    <row r="159" spans="1:10" ht="12.75" customHeight="1">
      <c r="A159" s="210" t="str">
        <f>'Data '!A58</f>
        <v>Revenues</v>
      </c>
      <c r="B159" s="223">
        <f>IF(ISERROR('Data '!C58/'Data '!B58-1),"",'Data '!C58/'Data '!B58-1)</f>
        <v>-0.33503889241037099</v>
      </c>
      <c r="C159" s="223">
        <f>IF(ISERROR('Data '!D58/'Data '!C58-1),"",'Data '!D58/'Data '!C58-1)</f>
        <v>0.23988753309857236</v>
      </c>
      <c r="D159" s="223">
        <f>IF(ISERROR('Data '!E58/'Data '!D58-1),"",'Data '!E58/'Data '!D58-1)</f>
        <v>0.10240946878962953</v>
      </c>
      <c r="E159" s="223">
        <f>IF(ISERROR('Data '!F58/'Data '!E58-1),"",'Data '!F58/'Data '!E58-1)</f>
        <v>-7.6319211891919481E-2</v>
      </c>
      <c r="F159" s="223">
        <f>IF(ISERROR('Data '!G58/'Data '!F58-1),"",'Data '!G58/'Data '!F58-1)</f>
        <v>-0.10478944814840119</v>
      </c>
      <c r="G159" s="223">
        <f>IF(ISERROR(('Data '!G58/'Data '!B58)^(1/5)-1),"",('Data '!G58/'Data '!B58)^(1/5)-1)</f>
        <v>-5.5517935343366909E-2</v>
      </c>
    </row>
    <row r="160" spans="1:10" ht="12.75" customHeight="1">
      <c r="A160" s="187" t="str">
        <f>'Data '!A59</f>
        <v>&lt;Cost of goods sold&gt;</v>
      </c>
      <c r="B160" s="89">
        <f>IF(ISERROR('Data '!C59/'Data '!B59-1),"",'Data '!C59/'Data '!B59-1)</f>
        <v>-0.27592415356979705</v>
      </c>
      <c r="C160" s="89">
        <f>IF(ISERROR('Data '!D59/'Data '!C59-1),"",'Data '!D59/'Data '!C59-1)</f>
        <v>1.2252914777723278E-2</v>
      </c>
      <c r="D160" s="89">
        <f>IF(ISERROR('Data '!E59/'Data '!D59-1),"",'Data '!E59/'Data '!D59-1)</f>
        <v>-1.0951107801994486E-2</v>
      </c>
      <c r="E160" s="89">
        <f>IF(ISERROR('Data '!F59/'Data '!E59-1),"",'Data '!F59/'Data '!E59-1)</f>
        <v>-9.6534575825579672E-2</v>
      </c>
      <c r="F160" s="89">
        <f>IF(ISERROR('Data '!G59/'Data '!F59-1),"",'Data '!G59/'Data '!F59-1)</f>
        <v>-6.8618446592748961E-2</v>
      </c>
      <c r="G160" s="89">
        <f>IF(ISERROR(('Data '!G59/'Data '!B59)^(1/5)-1),"",('Data '!G59/'Data '!B59)^(1/5)-1)</f>
        <v>-9.4129732916300446E-2</v>
      </c>
    </row>
    <row r="161" spans="1:7" ht="12.75" customHeight="1">
      <c r="A161" s="210" t="str">
        <f>'Data '!A60</f>
        <v xml:space="preserve">  Gross Profit</v>
      </c>
      <c r="B161" s="223">
        <f>IF(ISERROR('Data '!C60/'Data '!B60-1),"",'Data '!C60/'Data '!B60-1)</f>
        <v>-0.36704555374742309</v>
      </c>
      <c r="C161" s="223">
        <f>IF(ISERROR('Data '!D60/'Data '!C60-1),"",'Data '!D60/'Data '!C60-1)</f>
        <v>0.38087954719463313</v>
      </c>
      <c r="D161" s="223">
        <f>IF(ISERROR('Data '!E60/'Data '!D60-1),"",'Data '!E60/'Data '!D60-1)</f>
        <v>0.15387915138601493</v>
      </c>
      <c r="E161" s="223">
        <f>IF(ISERROR('Data '!F60/'Data '!E60-1),"",'Data '!F60/'Data '!E60-1)</f>
        <v>-6.8451862414897091E-2</v>
      </c>
      <c r="F161" s="223">
        <f>IF(ISERROR('Data '!G60/'Data '!F60-1),"",'Data '!G60/'Data '!F60-1)</f>
        <v>-0.11844199411030321</v>
      </c>
      <c r="G161" s="223">
        <f>IF(ISERROR(('Data '!G60/'Data '!B60)^(1/5)-1),"",('Data '!G60/'Data '!B60)^(1/5)-1)</f>
        <v>-3.699408456966824E-2</v>
      </c>
    </row>
    <row r="162" spans="1:7" ht="12.75" customHeight="1">
      <c r="A162" s="187" t="str">
        <f>'Data '!A61</f>
        <v>&lt;Operating Expenses (1)&gt;</v>
      </c>
      <c r="B162" s="89">
        <f>IF(ISERROR('Data '!C61/'Data '!B61-1),"",'Data '!C61/'Data '!B61-1)</f>
        <v>-0.13976135927765054</v>
      </c>
      <c r="C162" s="89">
        <f>IF(ISERROR('Data '!D61/'Data '!C61-1),"",'Data '!D61/'Data '!C61-1)</f>
        <v>-1.7020722766120544E-2</v>
      </c>
      <c r="D162" s="89">
        <f>IF(ISERROR('Data '!E61/'Data '!D61-1),"",'Data '!E61/'Data '!D61-1)</f>
        <v>-0.23658800914074984</v>
      </c>
      <c r="E162" s="89">
        <f>IF(ISERROR('Data '!F61/'Data '!E61-1),"",'Data '!F61/'Data '!E61-1)</f>
        <v>-0.11720779950731164</v>
      </c>
      <c r="F162" s="89">
        <f>IF(ISERROR('Data '!G61/'Data '!F61-1),"",'Data '!G61/'Data '!F61-1)</f>
        <v>-0.15484246525503897</v>
      </c>
      <c r="G162" s="89">
        <f>IF(ISERROR(('Data '!G61/'Data '!B61)^(1/5)-1),"",('Data '!G61/'Data '!B61)^(1/5)-1)</f>
        <v>-0.13594042288217634</v>
      </c>
    </row>
    <row r="163" spans="1:7" ht="12.75" customHeight="1">
      <c r="A163" s="187" t="str">
        <f>'Data '!A62</f>
        <v>&lt;Operating Expenses (2)&gt;</v>
      </c>
      <c r="B163" s="89">
        <f>IF(ISERROR('Data '!C62/'Data '!B62-1),"",'Data '!C62/'Data '!B62-1)</f>
        <v>-4.4455048225474636E-2</v>
      </c>
      <c r="C163" s="89">
        <f>IF(ISERROR('Data '!D62/'Data '!C62-1),"",'Data '!D62/'Data '!C62-1)</f>
        <v>3.3973508849485023E-2</v>
      </c>
      <c r="D163" s="89">
        <f>IF(ISERROR('Data '!E62/'Data '!D62-1),"",'Data '!E62/'Data '!D62-1)</f>
        <v>0.33660850012667853</v>
      </c>
      <c r="E163" s="89">
        <f>IF(ISERROR('Data '!F62/'Data '!E62-1),"",'Data '!F62/'Data '!E62-1)</f>
        <v>-0.18763883212197674</v>
      </c>
      <c r="F163" s="89">
        <f>IF(ISERROR('Data '!G62/'Data '!F62-1),"",'Data '!G62/'Data '!F62-1)</f>
        <v>0.1454769508976097</v>
      </c>
      <c r="G163" s="89">
        <f>IF(ISERROR(('Data '!G62/'Data '!B62)^(1/5)-1),"",('Data '!G62/'Data '!B62)^(1/5)-1)</f>
        <v>4.2077580850225615E-2</v>
      </c>
    </row>
    <row r="164" spans="1:7" ht="12.75" customHeight="1">
      <c r="A164" s="187" t="str">
        <f>'Data '!A63</f>
        <v>&lt;Depreciation and Amortization&gt;</v>
      </c>
      <c r="B164" s="89" t="str">
        <f>IF(ISERROR('Data '!C63/'Data '!B63-1),"",'Data '!C63/'Data '!B63-1)</f>
        <v/>
      </c>
      <c r="C164" s="89" t="str">
        <f>IF(ISERROR('Data '!D63/'Data '!C63-1),"",'Data '!D63/'Data '!C63-1)</f>
        <v/>
      </c>
      <c r="D164" s="89" t="str">
        <f>IF(ISERROR('Data '!E63/'Data '!D63-1),"",'Data '!E63/'Data '!D63-1)</f>
        <v/>
      </c>
      <c r="E164" s="89">
        <f>IF(ISERROR('Data '!F63/'Data '!E63-1),"",'Data '!F63/'Data '!E63-1)</f>
        <v>5.1631356675752471E-2</v>
      </c>
      <c r="F164" s="89">
        <f>IF(ISERROR('Data '!G63/'Data '!F63-1),"",'Data '!G63/'Data '!F63-1)</f>
        <v>0.46960603818921065</v>
      </c>
      <c r="G164" s="89" t="str">
        <f>IF(ISERROR(('Data '!G63/'Data '!B63)^(1/5)-1),"",('Data '!G63/'Data '!B63)^(1/5)-1)</f>
        <v/>
      </c>
    </row>
    <row r="165" spans="1:7" ht="12.75" customHeight="1">
      <c r="A165" s="187" t="str">
        <f>'Data '!A64</f>
        <v>&lt;Selling, General and Administrative Expenses&gt;</v>
      </c>
      <c r="B165" s="89">
        <f>IF(ISERROR('Data '!C64/'Data '!B64-1),"",'Data '!C64/'Data '!B64-1)</f>
        <v>-0.28680505845860171</v>
      </c>
      <c r="C165" s="89">
        <f>IF(ISERROR('Data '!D64/'Data '!C64-1),"",'Data '!D64/'Data '!C64-1)</f>
        <v>0.14051522248243553</v>
      </c>
      <c r="D165" s="89">
        <f>IF(ISERROR('Data '!E64/'Data '!D64-1),"",'Data '!E64/'Data '!D64-1)</f>
        <v>0.20423877970079207</v>
      </c>
      <c r="E165" s="89">
        <f>IF(ISERROR('Data '!F64/'Data '!E64-1),"",'Data '!F64/'Data '!E64-1)</f>
        <v>7.7603881209020953E-2</v>
      </c>
      <c r="F165" s="89">
        <f>IF(ISERROR('Data '!G64/'Data '!F64-1),"",'Data '!G64/'Data '!F64-1)</f>
        <v>-0.11392834268922125</v>
      </c>
      <c r="G165" s="89">
        <f>IF(ISERROR(('Data '!G64/'Data '!B64)^(1/5)-1),"",('Data '!G64/'Data '!B64)^(1/5)-1)</f>
        <v>-1.3288958263217299E-2</v>
      </c>
    </row>
    <row r="166" spans="1:7" ht="12.75" customHeight="1">
      <c r="A166" s="187" t="str">
        <f>'Data '!A65</f>
        <v>Other operating expenses (1)</v>
      </c>
      <c r="B166" s="89">
        <f>IF(ISERROR('Data '!C65/'Data '!B65-1),"",'Data '!C65/'Data '!B65-1)</f>
        <v>-0.31916762889703298</v>
      </c>
      <c r="C166" s="89">
        <f>IF(ISERROR('Data '!D65/'Data '!C65-1),"",'Data '!D65/'Data '!C65-1)</f>
        <v>0.22366626110680965</v>
      </c>
      <c r="D166" s="89">
        <f>IF(ISERROR('Data '!E65/'Data '!D65-1),"",'Data '!E65/'Data '!D65-1)</f>
        <v>0.38694466623480328</v>
      </c>
      <c r="E166" s="89">
        <f>IF(ISERROR('Data '!F65/'Data '!E65-1),"",'Data '!F65/'Data '!E65-1)</f>
        <v>0.23495611748348977</v>
      </c>
      <c r="F166" s="89">
        <f>IF(ISERROR('Data '!G65/'Data '!F65-1),"",'Data '!G65/'Data '!F65-1)</f>
        <v>-0.23777650732222178</v>
      </c>
      <c r="G166" s="89">
        <f>IF(ISERROR(('Data '!G65/'Data '!B65)^(1/5)-1),"",('Data '!G65/'Data '!B65)^(1/5)-1)</f>
        <v>1.6949142942257467E-2</v>
      </c>
    </row>
    <row r="167" spans="1:7" ht="12.75" customHeight="1">
      <c r="A167" s="187" t="str">
        <f>'Data '!A66</f>
        <v>Other operating expenses (2)</v>
      </c>
      <c r="B167" s="89">
        <f>IF(ISERROR('Data '!C66/'Data '!B66-1),"",'Data '!C66/'Data '!B66-1)</f>
        <v>-4.9168267462296189E-2</v>
      </c>
      <c r="C167" s="89">
        <f>IF(ISERROR('Data '!D66/'Data '!C66-1),"",'Data '!D66/'Data '!C66-1)</f>
        <v>-2.3641678129298516E-2</v>
      </c>
      <c r="D167" s="89">
        <f>IF(ISERROR('Data '!E66/'Data '!D66-1),"",'Data '!E66/'Data '!D66-1)</f>
        <v>0.27780223650611968</v>
      </c>
      <c r="E167" s="89">
        <f>IF(ISERROR('Data '!F66/'Data '!E66-1),"",'Data '!F66/'Data '!E66-1)</f>
        <v>2.4014608599779441E-2</v>
      </c>
      <c r="F167" s="89">
        <f>IF(ISERROR('Data '!G66/'Data '!F66-1),"",'Data '!G66/'Data '!F66-1)</f>
        <v>-0.13519060596884358</v>
      </c>
      <c r="G167" s="89">
        <f>IF(ISERROR(('Data '!G66/'Data '!B66)^(1/5)-1),"",('Data '!G66/'Data '!B66)^(1/5)-1)</f>
        <v>9.9052243305282062E-3</v>
      </c>
    </row>
    <row r="168" spans="1:7" ht="12.75" customHeight="1">
      <c r="A168" s="187" t="str">
        <f>'Data '!A67</f>
        <v>Income from equity investees</v>
      </c>
      <c r="B168" s="89" t="str">
        <f>IF(ISERROR('Data '!C67/'Data '!B67-1),"",'Data '!C67/'Data '!B67-1)</f>
        <v/>
      </c>
      <c r="C168" s="89" t="str">
        <f>IF(ISERROR('Data '!D67/'Data '!C67-1),"",'Data '!D67/'Data '!C67-1)</f>
        <v/>
      </c>
      <c r="D168" s="89" t="str">
        <f>IF(ISERROR('Data '!E67/'Data '!D67-1),"",'Data '!E67/'Data '!D67-1)</f>
        <v/>
      </c>
      <c r="E168" s="89" t="str">
        <f>IF(ISERROR('Data '!F67/'Data '!E67-1),"",'Data '!F67/'Data '!E67-1)</f>
        <v/>
      </c>
      <c r="F168" s="89" t="str">
        <f>IF(ISERROR('Data '!G67/'Data '!F67-1),"",'Data '!G67/'Data '!F67-1)</f>
        <v/>
      </c>
      <c r="G168" s="89" t="str">
        <f>IF(ISERROR(('Data '!G67/'Data '!B67)^(1/5)-1),"",('Data '!G67/'Data '!B67)^(1/5)-1)</f>
        <v/>
      </c>
    </row>
    <row r="169" spans="1:7" ht="12.75" customHeight="1">
      <c r="A169" s="187" t="str">
        <f>'Data '!A68</f>
        <v>Non-recurring operating gains &lt;losses&gt;</v>
      </c>
      <c r="B169" s="89">
        <f>IF(ISERROR('Data '!C68/'Data '!B68-1),"",'Data '!C68/'Data '!B68-1)</f>
        <v>0.12337068924053685</v>
      </c>
      <c r="C169" s="89">
        <f>IF(ISERROR('Data '!D68/'Data '!C68-1),"",'Data '!D68/'Data '!C68-1)</f>
        <v>0.14253296797396819</v>
      </c>
      <c r="D169" s="89">
        <f>IF(ISERROR('Data '!E68/'Data '!D68-1),"",'Data '!E68/'Data '!D68-1)</f>
        <v>0.81030541502716891</v>
      </c>
      <c r="E169" s="89">
        <f>IF(ISERROR('Data '!F68/'Data '!E68-1),"",'Data '!F68/'Data '!E68-1)</f>
        <v>-0.56771135215699264</v>
      </c>
      <c r="F169" s="89">
        <f>IF(ISERROR('Data '!G68/'Data '!F68-1),"",'Data '!G68/'Data '!F68-1)</f>
        <v>0.14949959297035864</v>
      </c>
      <c r="G169" s="89">
        <f>IF(ISERROR(('Data '!G68/'Data '!B68)^(1/5)-1),"",('Data '!G68/'Data '!B68)^(1/5)-1)</f>
        <v>2.9165611728503515E-2</v>
      </c>
    </row>
    <row r="170" spans="1:7" ht="12.75" customHeight="1">
      <c r="A170" s="210" t="str">
        <f>'Data '!A69</f>
        <v xml:space="preserve">  Operating Profit</v>
      </c>
      <c r="B170" s="223">
        <f>IF(ISERROR('Data '!C69/'Data '!B69-1),"",'Data '!C69/'Data '!B69-1)</f>
        <v>-1.4111010167136502</v>
      </c>
      <c r="C170" s="223">
        <f>IF(ISERROR('Data '!D69/'Data '!C69-1),"",'Data '!D69/'Data '!C69-1)</f>
        <v>-3.3314538275296144</v>
      </c>
      <c r="D170" s="223">
        <f>IF(ISERROR('Data '!E69/'Data '!D69-1),"",'Data '!E69/'Data '!D69-1)</f>
        <v>-0.10832171731251738</v>
      </c>
      <c r="E170" s="223">
        <f>IF(ISERROR('Data '!F69/'Data '!E69-1),"",'Data '!F69/'Data '!E69-1)</f>
        <v>-0.43705544873298008</v>
      </c>
      <c r="F170" s="223">
        <f>IF(ISERROR('Data '!G69/'Data '!F69-1),"",'Data '!G69/'Data '!F69-1)</f>
        <v>-1.6803615561911638</v>
      </c>
      <c r="G170" s="223">
        <f>IF(ISERROR(('Data '!G69/'Data '!B69)^(1/5)-1),"",('Data '!G69/'Data '!B69)^(1/5)-1)</f>
        <v>-1.7998301830427836</v>
      </c>
    </row>
    <row r="171" spans="1:7" ht="12.75" customHeight="1">
      <c r="A171" s="187" t="str">
        <f>'Data '!A70</f>
        <v>Interest income</v>
      </c>
      <c r="B171" s="89">
        <f>IF(ISERROR('Data '!C70/'Data '!B70-1),"",'Data '!C70/'Data '!B70-1)</f>
        <v>0.95303824073783616</v>
      </c>
      <c r="C171" s="89">
        <f>IF(ISERROR('Data '!D70/'Data '!C70-1),"",'Data '!D70/'Data '!C70-1)</f>
        <v>-0.52371620861911117</v>
      </c>
      <c r="D171" s="89">
        <f>IF(ISERROR('Data '!E70/'Data '!D70-1),"",'Data '!E70/'Data '!D70-1)</f>
        <v>0.75121408336705797</v>
      </c>
      <c r="E171" s="89">
        <f>IF(ISERROR('Data '!F70/'Data '!E70-1),"",'Data '!F70/'Data '!E70-1)</f>
        <v>-0.1728965663335067</v>
      </c>
      <c r="F171" s="89">
        <f>IF(ISERROR('Data '!G70/'Data '!F70-1),"",'Data '!G70/'Data '!F70-1)</f>
        <v>-0.1113413583552586</v>
      </c>
      <c r="G171" s="89">
        <f>IF(ISERROR(('Data '!G70/'Data '!B70)^(1/5)-1),"",('Data '!G70/'Data '!B70)^(1/5)-1)</f>
        <v>3.6673785209313303E-2</v>
      </c>
    </row>
    <row r="172" spans="1:7" ht="12.75" customHeight="1">
      <c r="A172" s="187" t="str">
        <f>'Data '!A71</f>
        <v>&lt;Interest expense&gt;</v>
      </c>
      <c r="B172" s="89">
        <f>IF(ISERROR('Data '!C71/'Data '!B71-1),"",'Data '!C71/'Data '!B71-1)</f>
        <v>0.24984093977436728</v>
      </c>
      <c r="C172" s="89">
        <f>IF(ISERROR('Data '!D71/'Data '!C71-1),"",'Data '!D71/'Data '!C71-1)</f>
        <v>-0.37281632957127431</v>
      </c>
      <c r="D172" s="89">
        <f>IF(ISERROR('Data '!E71/'Data '!D71-1),"",'Data '!E71/'Data '!D71-1)</f>
        <v>0.55804331472463087</v>
      </c>
      <c r="E172" s="89">
        <f>IF(ISERROR('Data '!F71/'Data '!E71-1),"",'Data '!F71/'Data '!E71-1)</f>
        <v>-0.11836905835863942</v>
      </c>
      <c r="F172" s="89">
        <f>IF(ISERROR('Data '!G71/'Data '!F71-1),"",'Data '!G71/'Data '!F71-1)</f>
        <v>-6.6928963638721917E-2</v>
      </c>
      <c r="G172" s="89">
        <f>IF(ISERROR(('Data '!G71/'Data '!B71)^(1/5)-1),"",('Data '!G71/'Data '!B71)^(1/5)-1)</f>
        <v>9.3553936970147689E-4</v>
      </c>
    </row>
    <row r="173" spans="1:7" ht="12.75" customHeight="1">
      <c r="A173" s="187" t="str">
        <f>'Data '!A72</f>
        <v>Income &lt;Loss&gt; from equity affiliates</v>
      </c>
      <c r="B173" s="89" t="str">
        <f>IF(ISERROR('Data '!C72/'Data '!B72-1),"",'Data '!C72/'Data '!B72-1)</f>
        <v/>
      </c>
      <c r="C173" s="89" t="str">
        <f>IF(ISERROR('Data '!D72/'Data '!C72-1),"",'Data '!D72/'Data '!C72-1)</f>
        <v/>
      </c>
      <c r="D173" s="89" t="str">
        <f>IF(ISERROR('Data '!E72/'Data '!D72-1),"",'Data '!E72/'Data '!D72-1)</f>
        <v/>
      </c>
      <c r="E173" s="89" t="str">
        <f>IF(ISERROR('Data '!F72/'Data '!E72-1),"",'Data '!F72/'Data '!E72-1)</f>
        <v/>
      </c>
      <c r="F173" s="89" t="str">
        <f>IF(ISERROR('Data '!G72/'Data '!F72-1),"",'Data '!G72/'Data '!F72-1)</f>
        <v/>
      </c>
      <c r="G173" s="89" t="str">
        <f>IF(ISERROR(('Data '!G72/'Data '!B72)^(1/5)-1),"",('Data '!G72/'Data '!B72)^(1/5)-1)</f>
        <v/>
      </c>
    </row>
    <row r="174" spans="1:7" ht="12.75" customHeight="1">
      <c r="A174" s="187" t="str">
        <f>'Data '!A73</f>
        <v>Other income or gains &lt;Other expenses or losses&gt;</v>
      </c>
      <c r="B174" s="89">
        <f>IF(ISERROR('Data '!C73/'Data '!B73-1),"",'Data '!C73/'Data '!B73-1)</f>
        <v>-1</v>
      </c>
      <c r="C174" s="89" t="str">
        <f>IF(ISERROR('Data '!D73/'Data '!C73-1),"",'Data '!D73/'Data '!C73-1)</f>
        <v/>
      </c>
      <c r="D174" s="89" t="str">
        <f>IF(ISERROR('Data '!E73/'Data '!D73-1),"",'Data '!E73/'Data '!D73-1)</f>
        <v/>
      </c>
      <c r="E174" s="89" t="str">
        <f>IF(ISERROR('Data '!F73/'Data '!E73-1),"",'Data '!F73/'Data '!E73-1)</f>
        <v/>
      </c>
      <c r="F174" s="89" t="str">
        <f>IF(ISERROR('Data '!G73/'Data '!F73-1),"",'Data '!G73/'Data '!F73-1)</f>
        <v/>
      </c>
      <c r="G174" s="89">
        <f>IF(ISERROR(('Data '!G73/'Data '!B73)^(1/5)-1),"",('Data '!G73/'Data '!B73)^(1/5)-1)</f>
        <v>-1</v>
      </c>
    </row>
    <row r="175" spans="1:7" ht="12.75" customHeight="1">
      <c r="A175" s="210" t="str">
        <f>'Data '!A74</f>
        <v xml:space="preserve">  Income before Tax</v>
      </c>
      <c r="B175" s="223">
        <f>IF(ISERROR('Data '!C74/'Data '!B74-1),"",'Data '!C74/'Data '!B74-1)</f>
        <v>-1.6814786357621547</v>
      </c>
      <c r="C175" s="223">
        <f>IF(ISERROR('Data '!D74/'Data '!C74-1),"",'Data '!D74/'Data '!C74-1)</f>
        <v>-2.5360851863451299</v>
      </c>
      <c r="D175" s="223">
        <f>IF(ISERROR('Data '!E74/'Data '!D74-1),"",'Data '!E74/'Data '!D74-1)</f>
        <v>-0.1749824658696113</v>
      </c>
      <c r="E175" s="223">
        <f>IF(ISERROR('Data '!F74/'Data '!E74-1),"",'Data '!F74/'Data '!E74-1)</f>
        <v>-0.54939601826772899</v>
      </c>
      <c r="F175" s="223">
        <f>IF(ISERROR('Data '!G74/'Data '!F74-1),"",'Data '!G74/'Data '!F74-1)</f>
        <v>-2.6579720954720956</v>
      </c>
      <c r="G175" s="223">
        <f>IF(ISERROR(('Data '!G74/'Data '!B74)^(1/5)-1),"",('Data '!G74/'Data '!B74)^(1/5)-1)</f>
        <v>-1.9160951699881976</v>
      </c>
    </row>
    <row r="176" spans="1:7" ht="12.75" customHeight="1">
      <c r="A176" s="187" t="str">
        <f>'Data '!A75</f>
        <v>&lt;Income tax expense&gt;</v>
      </c>
      <c r="B176" s="89">
        <f>IF(ISERROR('Data '!C75/'Data '!B75-1),"",'Data '!C75/'Data '!B75-1)</f>
        <v>-1.2730693002788136</v>
      </c>
      <c r="C176" s="89">
        <f>IF(ISERROR('Data '!D75/'Data '!C75-1),"",'Data '!D75/'Data '!C75-1)</f>
        <v>-5.464140730717185</v>
      </c>
      <c r="D176" s="89">
        <f>IF(ISERROR('Data '!E75/'Data '!D75-1),"",'Data '!E75/'Data '!D75-1)</f>
        <v>-1.3199592162914331E-2</v>
      </c>
      <c r="E176" s="89">
        <f>IF(ISERROR('Data '!F75/'Data '!E75-1),"",'Data '!F75/'Data '!E75-1)</f>
        <v>-0.45967606813739181</v>
      </c>
      <c r="F176" s="89">
        <f>IF(ISERROR('Data '!G75/'Data '!F75-1),"",'Data '!G75/'Data '!F75-1)</f>
        <v>-1.3880303891673988</v>
      </c>
      <c r="G176" s="89">
        <f>IF(ISERROR(('Data '!G75/'Data '!B75)^(1/5)-1),"",('Data '!G75/'Data '!B75)^(1/5)-1)</f>
        <v>-1.7591926651849967</v>
      </c>
    </row>
    <row r="177" spans="1:10" ht="12.75" customHeight="1">
      <c r="A177" s="187" t="str">
        <f>'Data '!A76</f>
        <v>Income &lt;Loss&gt; from discontinued operations</v>
      </c>
      <c r="B177" s="89" t="str">
        <f>IF(ISERROR('Data '!C76/'Data '!B76-1),"",'Data '!C76/'Data '!B76-1)</f>
        <v/>
      </c>
      <c r="C177" s="89" t="str">
        <f>IF(ISERROR('Data '!D76/'Data '!C76-1),"",'Data '!D76/'Data '!C76-1)</f>
        <v/>
      </c>
      <c r="D177" s="89">
        <f>IF(ISERROR('Data '!E76/'Data '!D76-1),"",'Data '!E76/'Data '!D76-1)</f>
        <v>-1</v>
      </c>
      <c r="E177" s="89" t="str">
        <f>IF(ISERROR('Data '!F76/'Data '!E76-1),"",'Data '!F76/'Data '!E76-1)</f>
        <v/>
      </c>
      <c r="F177" s="89" t="str">
        <f>IF(ISERROR('Data '!G76/'Data '!F76-1),"",'Data '!G76/'Data '!F76-1)</f>
        <v/>
      </c>
      <c r="G177" s="89" t="str">
        <f>IF(ISERROR(('Data '!G76/'Data '!B76)^(1/5)-1),"",('Data '!G76/'Data '!B76)^(1/5)-1)</f>
        <v/>
      </c>
    </row>
    <row r="178" spans="1:10" ht="12.75" customHeight="1">
      <c r="A178" s="187" t="str">
        <f>'Data '!A77</f>
        <v>Extraordinary gains &lt;losses&gt;</v>
      </c>
      <c r="B178" s="89" t="str">
        <f>IF(ISERROR('Data '!C77/'Data '!B77-1),"",'Data '!C77/'Data '!B77-1)</f>
        <v/>
      </c>
      <c r="C178" s="89" t="str">
        <f>IF(ISERROR('Data '!D77/'Data '!C77-1),"",'Data '!D77/'Data '!C77-1)</f>
        <v/>
      </c>
      <c r="D178" s="89" t="str">
        <f>IF(ISERROR('Data '!E77/'Data '!D77-1),"",'Data '!E77/'Data '!D77-1)</f>
        <v/>
      </c>
      <c r="E178" s="89" t="str">
        <f>IF(ISERROR('Data '!F77/'Data '!E77-1),"",'Data '!F77/'Data '!E77-1)</f>
        <v/>
      </c>
      <c r="F178" s="89" t="str">
        <f>IF(ISERROR('Data '!G77/'Data '!F77-1),"",'Data '!G77/'Data '!F77-1)</f>
        <v/>
      </c>
      <c r="G178" s="89" t="str">
        <f>IF(ISERROR(('Data '!G77/'Data '!B77)^(1/5)-1),"",('Data '!G77/'Data '!B77)^(1/5)-1)</f>
        <v/>
      </c>
    </row>
    <row r="179" spans="1:10" ht="12.75" customHeight="1">
      <c r="A179" s="187" t="str">
        <f>'Data '!A78</f>
        <v>Changes in accounting principles</v>
      </c>
      <c r="B179" s="89" t="str">
        <f>IF(ISERROR('Data '!C78/'Data '!B78-1),"",'Data '!C78/'Data '!B78-1)</f>
        <v/>
      </c>
      <c r="C179" s="89" t="str">
        <f>IF(ISERROR('Data '!D78/'Data '!C78-1),"",'Data '!D78/'Data '!C78-1)</f>
        <v/>
      </c>
      <c r="D179" s="89" t="str">
        <f>IF(ISERROR('Data '!E78/'Data '!D78-1),"",'Data '!E78/'Data '!D78-1)</f>
        <v/>
      </c>
      <c r="E179" s="89" t="str">
        <f>IF(ISERROR('Data '!F78/'Data '!E78-1),"",'Data '!F78/'Data '!E78-1)</f>
        <v/>
      </c>
      <c r="F179" s="89" t="str">
        <f>IF(ISERROR('Data '!G78/'Data '!F78-1),"",'Data '!G78/'Data '!F78-1)</f>
        <v/>
      </c>
      <c r="G179" s="89" t="str">
        <f>IF(ISERROR(('Data '!G78/'Data '!B78)^(1/5)-1),"",('Data '!G78/'Data '!B78)^(1/5)-1)</f>
        <v/>
      </c>
    </row>
    <row r="180" spans="1:10" ht="12.75" customHeight="1">
      <c r="A180" s="210" t="str">
        <f>'Data '!A79</f>
        <v xml:space="preserve">  Net Income </v>
      </c>
      <c r="B180" s="223">
        <f>IF(ISERROR('Data '!C79/'Data '!B79-1),"",'Data '!C79/'Data '!B79-1)</f>
        <v>-1.8206396080855254</v>
      </c>
      <c r="C180" s="223">
        <f>IF(ISERROR('Data '!D79/'Data '!C79-1),"",'Data '!D79/'Data '!C79-1)</f>
        <v>-2.131680986386967</v>
      </c>
      <c r="D180" s="223">
        <f>IF(ISERROR('Data '!E79/'Data '!D79-1),"",'Data '!E79/'Data '!D79-1)</f>
        <v>-0.19454749374514713</v>
      </c>
      <c r="E180" s="223">
        <f>IF(ISERROR('Data '!F79/'Data '!E79-1),"",'Data '!F79/'Data '!E79-1)</f>
        <v>-0.59855857510099153</v>
      </c>
      <c r="F180" s="223">
        <f>IF(ISERROR('Data '!G79/'Data '!F79-1),"",'Data '!G79/'Data '!F79-1)</f>
        <v>-3.5945873832666284</v>
      </c>
      <c r="G180" s="223">
        <f>IF(ISERROR(('Data '!G79/'Data '!B79)^(1/5)-1),"",('Data '!G79/'Data '!B79)^(1/5)-1)</f>
        <v>-1.9513085140749722</v>
      </c>
    </row>
    <row r="181" spans="1:10" ht="12.75" customHeight="1">
      <c r="A181" s="187" t="str">
        <f>'Data '!A80</f>
        <v>Net income attributable to noncontrolling interests</v>
      </c>
      <c r="B181" s="89">
        <f>IF(ISERROR('Data '!C80/'Data '!B80-1),"",'Data '!C80/'Data '!B80-1)</f>
        <v>-64.083333333333343</v>
      </c>
      <c r="C181" s="89">
        <f>IF(ISERROR('Data '!D80/'Data '!C80-1),"",'Data '!D80/'Data '!C80-1)</f>
        <v>-1.4698999811285147</v>
      </c>
      <c r="D181" s="89">
        <f>IF(ISERROR('Data '!E80/'Data '!D80-1),"",'Data '!E80/'Data '!D80-1)</f>
        <v>-2.7096385542168675</v>
      </c>
      <c r="E181" s="89">
        <f>IF(ISERROR('Data '!F80/'Data '!E80-1),"",'Data '!F80/'Data '!E80-1)</f>
        <v>-1.0411087620389945</v>
      </c>
      <c r="F181" s="89">
        <f>IF(ISERROR('Data '!G80/'Data '!F80-1),"",'Data '!G80/'Data '!F80-1)</f>
        <v>-0.89714285714285713</v>
      </c>
      <c r="G181" s="89">
        <f>IF(ISERROR(('Data '!G80/'Data '!B80)^(1/5)-1),"",('Data '!G80/'Data '!B80)^(1/5)-1)</f>
        <v>-0.26515009256169009</v>
      </c>
    </row>
    <row r="182" spans="1:10" ht="12.75" customHeight="1">
      <c r="A182" s="210" t="str">
        <f>'Data '!A81</f>
        <v xml:space="preserve">  Net Income attributable to common shareholders</v>
      </c>
      <c r="B182" s="223">
        <f>IF(ISERROR('Data '!C81/'Data '!B81-1),"",'Data '!C81/'Data '!B81-1)</f>
        <v>-1.8804459691252144</v>
      </c>
      <c r="C182" s="223">
        <f>IF(ISERROR('Data '!D81/'Data '!C81-1),"",'Data '!D81/'Data '!C81-1)</f>
        <v>-2.0861354633417752</v>
      </c>
      <c r="D182" s="223">
        <f>IF(ISERROR('Data '!E81/'Data '!D81-1),"",'Data '!E81/'Data '!D81-1)</f>
        <v>-0.16762528848338454</v>
      </c>
      <c r="E182" s="223">
        <f>IF(ISERROR('Data '!F81/'Data '!E81-1),"",'Data '!F81/'Data '!E81-1)</f>
        <v>-0.6256231234466807</v>
      </c>
      <c r="F182" s="223">
        <f>IF(ISERROR('Data '!G81/'Data '!F81-1),"",'Data '!G81/'Data '!F81-1)</f>
        <v>-3.6127014581734458</v>
      </c>
      <c r="G182" s="223">
        <f>IF(ISERROR(('Data '!G81/'Data '!B81)^(1/5)-1),"",('Data '!G81/'Data '!B81)^(1/5)-1)</f>
        <v>-1.951175985500228</v>
      </c>
    </row>
    <row r="183" spans="1:10" ht="12.75" customHeight="1">
      <c r="A183" s="199"/>
      <c r="B183" s="208"/>
      <c r="C183" s="208"/>
      <c r="D183" s="208"/>
      <c r="E183" s="208"/>
      <c r="F183" s="208"/>
      <c r="G183" s="208"/>
    </row>
    <row r="184" spans="1:10" ht="12.75" customHeight="1">
      <c r="A184" s="187" t="str">
        <f>'Data '!A84</f>
        <v>Other comprehensive income items</v>
      </c>
      <c r="B184" s="89">
        <f>IF(ISERROR('Data '!C84/'Data '!B84-1),"",'Data '!C84/'Data '!B84-1)</f>
        <v>0.42452830188679247</v>
      </c>
      <c r="C184" s="89">
        <f>IF(ISERROR('Data '!D84/'Data '!C84-1),"",'Data '!D84/'Data '!C84-1)</f>
        <v>-2.260216443224035</v>
      </c>
      <c r="D184" s="89">
        <f>IF(ISERROR('Data '!E84/'Data '!D84-1),"",'Data '!E84/'Data '!D84-1)</f>
        <v>1.3229941040758781</v>
      </c>
      <c r="E184" s="89">
        <f>IF(ISERROR('Data '!F84/'Data '!E84-1),"",'Data '!F84/'Data '!E84-1)</f>
        <v>-0.91745751489737359</v>
      </c>
      <c r="F184" s="89">
        <f>IF(ISERROR('Data '!G84/'Data '!F84-1),"",'Data '!G84/'Data '!F84-1)</f>
        <v>-14.393716577540108</v>
      </c>
      <c r="G184" s="89">
        <f>IF(ISERROR(('Data '!G84/'Data '!B84)^(1/5)-1),"",('Data '!G84/'Data '!B84)^(1/5)-1)</f>
        <v>0.35752737248448851</v>
      </c>
    </row>
    <row r="185" spans="1:10" ht="12.75" customHeight="1">
      <c r="A185" s="210" t="str">
        <f>'Data '!A85</f>
        <v>Comprehensive Income</v>
      </c>
      <c r="B185" s="223">
        <f>IF(ISERROR('Data '!C85/'Data '!B85-1),"",'Data '!C85/'Data '!B85-1)</f>
        <v>-1.9381715249337508</v>
      </c>
      <c r="C185" s="223">
        <f>IF(ISERROR('Data '!D85/'Data '!C85-1),"",'Data '!D85/'Data '!C85-1)</f>
        <v>-2.1418978776946087</v>
      </c>
      <c r="D185" s="223">
        <f>IF(ISERROR('Data '!E85/'Data '!D85-1),"",'Data '!E85/'Data '!D85-1)</f>
        <v>-6.142412215113735E-2</v>
      </c>
      <c r="E185" s="223">
        <f>IF(ISERROR('Data '!F85/'Data '!E85-1),"",'Data '!F85/'Data '!E85-1)</f>
        <v>-0.66779673199482481</v>
      </c>
      <c r="F185" s="223">
        <f>IF(ISERROR('Data '!G85/'Data '!F85-1),"",'Data '!G85/'Data '!F85-1)</f>
        <v>-4.1771663481302514</v>
      </c>
      <c r="G185" s="223">
        <f>IF(ISERROR(('Data '!G85/'Data '!B85)^(1/5)-1),"",('Data '!G85/'Data '!B85)^(1/5)-1)</f>
        <v>-2.0119628072746334</v>
      </c>
    </row>
    <row r="186" spans="1:10" ht="12.75" customHeight="1">
      <c r="B186" s="224"/>
      <c r="C186" s="224"/>
      <c r="D186" s="224"/>
      <c r="E186" s="224"/>
      <c r="F186" s="224"/>
      <c r="G186" s="224"/>
    </row>
    <row r="187" spans="1:10" ht="12.75" customHeight="1">
      <c r="B187" s="224"/>
      <c r="C187" s="224"/>
      <c r="D187" s="224"/>
      <c r="E187" s="224"/>
      <c r="F187" s="224"/>
      <c r="G187" s="224"/>
    </row>
    <row r="188" spans="1:10" ht="12.75" customHeight="1" thickBot="1">
      <c r="A188" s="225"/>
      <c r="B188" s="226"/>
      <c r="C188" s="226"/>
      <c r="D188" s="226"/>
      <c r="E188" s="226"/>
      <c r="F188" s="226"/>
      <c r="G188" s="224"/>
    </row>
    <row r="189" spans="1:10" ht="12.75" customHeight="1" thickBot="1">
      <c r="A189" s="227" t="s">
        <v>266</v>
      </c>
      <c r="B189" s="228"/>
      <c r="C189" s="228"/>
      <c r="D189" s="228"/>
      <c r="E189" s="228"/>
      <c r="F189" s="229"/>
      <c r="J189" s="113"/>
    </row>
    <row r="190" spans="1:10" ht="12.75" customHeight="1" thickBot="1">
      <c r="A190" s="184" t="s">
        <v>206</v>
      </c>
      <c r="B190" s="185">
        <f>'Data '!$C$4</f>
        <v>2020</v>
      </c>
      <c r="C190" s="185">
        <f>'Data '!$D$4</f>
        <v>2021</v>
      </c>
      <c r="D190" s="185">
        <f>'Data '!$E$4</f>
        <v>2022</v>
      </c>
      <c r="E190" s="185">
        <f>'Data '!$F$4</f>
        <v>2023</v>
      </c>
      <c r="F190" s="185">
        <f>'Data '!$G$4</f>
        <v>2024</v>
      </c>
    </row>
    <row r="191" spans="1:10" ht="12.75" customHeight="1">
      <c r="B191" s="179"/>
      <c r="C191" s="179"/>
      <c r="D191" s="179"/>
      <c r="E191" s="179"/>
      <c r="F191" s="179"/>
    </row>
    <row r="192" spans="1:10" ht="12.75" customHeight="1">
      <c r="A192" s="230" t="str">
        <f>'Data '!A8</f>
        <v>Assets:</v>
      </c>
      <c r="B192" s="231"/>
      <c r="C192" s="232"/>
      <c r="D192" s="232"/>
      <c r="E192" s="232"/>
      <c r="F192" s="232"/>
    </row>
    <row r="193" spans="1:10" ht="12.75" customHeight="1">
      <c r="A193" s="187" t="str">
        <f>'Data '!A9</f>
        <v>Cash and cash equivalents</v>
      </c>
      <c r="B193" s="233">
        <f>IF('Data '!C9/'Data '!C$26=0,"",'Data '!C9/'Data '!C$26)</f>
        <v>0.19131084219247779</v>
      </c>
      <c r="C193" s="233">
        <f>IF('Data '!D9/'Data '!D$26=0,"",'Data '!D9/'Data '!D$26)</f>
        <v>0.27678787272417532</v>
      </c>
      <c r="D193" s="233">
        <f>IF('Data '!E9/'Data '!E$26=0,"",'Data '!E9/'Data '!E$26)</f>
        <v>0.22749303896436066</v>
      </c>
      <c r="E193" s="233">
        <f>IF('Data '!F9/'Data '!F$26=0,"",'Data '!F9/'Data '!F$26)</f>
        <v>0.1428048116219634</v>
      </c>
      <c r="F193" s="233">
        <f>IF('Data '!G9/'Data '!G$26=0,"",'Data '!G9/'Data '!G$26)</f>
        <v>0.13651329834638229</v>
      </c>
    </row>
    <row r="194" spans="1:10" ht="12.75" customHeight="1">
      <c r="A194" s="187" t="str">
        <f>'Data '!A10</f>
        <v>Short-term investments</v>
      </c>
      <c r="B194" s="233" t="str">
        <f>IF('Data '!C10/'Data '!C$26=0,"",'Data '!C10/'Data '!C$26)</f>
        <v/>
      </c>
      <c r="C194" s="233" t="str">
        <f>IF('Data '!D10/'Data '!D$26=0,"",'Data '!D10/'Data '!D$26)</f>
        <v/>
      </c>
      <c r="D194" s="233" t="str">
        <f>IF('Data '!E10/'Data '!E$26=0,"",'Data '!E10/'Data '!E$26)</f>
        <v/>
      </c>
      <c r="E194" s="233" t="str">
        <f>IF('Data '!F10/'Data '!F$26=0,"",'Data '!F10/'Data '!F$26)</f>
        <v/>
      </c>
      <c r="F194" s="233" t="str">
        <f>IF('Data '!G10/'Data '!G$26=0,"",'Data '!G10/'Data '!G$26)</f>
        <v/>
      </c>
      <c r="J194" s="213"/>
    </row>
    <row r="195" spans="1:10" ht="12.75" customHeight="1">
      <c r="A195" s="187" t="str">
        <f>'Data '!A11</f>
        <v>Accounts and notes receivable - net</v>
      </c>
      <c r="B195" s="233">
        <f>IF('Data '!C11/'Data '!C$26=0,"",'Data '!C11/'Data '!C$26)</f>
        <v>6.6463421749734519E-2</v>
      </c>
      <c r="C195" s="233">
        <f>IF('Data '!D11/'Data '!D$26=0,"",'Data '!D11/'Data '!D$26)</f>
        <v>6.093382836097358E-2</v>
      </c>
      <c r="D195" s="233">
        <f>IF('Data '!E11/'Data '!E$26=0,"",'Data '!E11/'Data '!E$26)</f>
        <v>5.4926785600102307E-2</v>
      </c>
      <c r="E195" s="233">
        <f>IF('Data '!F11/'Data '!F$26=0,"",'Data '!F11/'Data '!F$26)</f>
        <v>5.6710904509754162E-2</v>
      </c>
      <c r="F195" s="233">
        <f>IF('Data '!G11/'Data '!G$26=0,"",'Data '!G11/'Data '!G$26)</f>
        <v>4.8474330898918581E-2</v>
      </c>
      <c r="J195" s="213"/>
    </row>
    <row r="196" spans="1:10" ht="12.75" customHeight="1">
      <c r="A196" s="187" t="str">
        <f>'Data '!A12</f>
        <v>Inventories</v>
      </c>
      <c r="B196" s="233">
        <f>IF('Data '!C12/'Data '!C$26=0,"",'Data '!C12/'Data '!C$26)</f>
        <v>0.19933716873023469</v>
      </c>
      <c r="C196" s="233">
        <f>IF('Data '!D12/'Data '!D$26=0,"",'Data '!D12/'Data '!D$26)</f>
        <v>0.14848990430246803</v>
      </c>
      <c r="D196" s="233">
        <f>IF('Data '!E12/'Data '!E$26=0,"",'Data '!E12/'Data '!E$26)</f>
        <v>0.1600445273761982</v>
      </c>
      <c r="E196" s="233">
        <f>IF('Data '!F12/'Data '!F$26=0,"",'Data '!F12/'Data '!F$26)</f>
        <v>0.15839034277869152</v>
      </c>
      <c r="F196" s="233">
        <f>IF('Data '!G12/'Data '!G$26=0,"",'Data '!G12/'Data '!G$26)</f>
        <v>0.17645619285654107</v>
      </c>
      <c r="J196" s="213"/>
    </row>
    <row r="197" spans="1:10" ht="12.75" customHeight="1">
      <c r="A197" s="187" t="str">
        <f>'Data '!A13</f>
        <v>Prepaid expenses and other current assets</v>
      </c>
      <c r="B197" s="233">
        <f>IF('Data '!C13/'Data '!C$26=0,"",'Data '!C13/'Data '!C$26)</f>
        <v>2.0972541514476094E-2</v>
      </c>
      <c r="C197" s="233">
        <f>IF('Data '!D13/'Data '!D$26=0,"",'Data '!D13/'Data '!D$26)</f>
        <v>1.7633872437542421E-2</v>
      </c>
      <c r="D197" s="233">
        <f>IF('Data '!E13/'Data '!E$26=0,"",'Data '!E13/'Data '!E$26)</f>
        <v>2.409303082619791E-2</v>
      </c>
      <c r="E197" s="233">
        <f>IF('Data '!F13/'Data '!F$26=0,"",'Data '!F13/'Data '!F$26)</f>
        <v>2.0021172155960429E-2</v>
      </c>
      <c r="F197" s="233">
        <f>IF('Data '!G13/'Data '!G$26=0,"",'Data '!G13/'Data '!G$26)</f>
        <v>2.6377761641318609E-2</v>
      </c>
      <c r="J197" s="198"/>
    </row>
    <row r="198" spans="1:10" ht="12.75" customHeight="1">
      <c r="A198" s="187" t="str">
        <f>'Data '!A14</f>
        <v>Other current assets (1)</v>
      </c>
      <c r="B198" s="233">
        <f>IF('Data '!C14/'Data '!C$26=0,"",'Data '!C14/'Data '!C$26)</f>
        <v>2.6519085572917277E-3</v>
      </c>
      <c r="C198" s="233">
        <f>IF('Data '!D14/'Data '!D$26=0,"",'Data '!D14/'Data '!D$26)</f>
        <v>2.8252269402478563E-3</v>
      </c>
      <c r="D198" s="233">
        <f>IF('Data '!E14/'Data '!E$26=0,"",'Data '!E14/'Data '!E$26)</f>
        <v>3.3151387266100482E-3</v>
      </c>
      <c r="E198" s="233">
        <f>IF('Data '!F14/'Data '!F$26=0,"",'Data '!F14/'Data '!F$26)</f>
        <v>1.9543365226061076E-2</v>
      </c>
      <c r="F198" s="233">
        <f>IF('Data '!G14/'Data '!G$26=0,"",'Data '!G14/'Data '!G$26)</f>
        <v>2.906912435001241E-2</v>
      </c>
      <c r="J198" s="234"/>
    </row>
    <row r="199" spans="1:10" ht="12.75" customHeight="1">
      <c r="A199" s="187" t="str">
        <f>'Data '!A15</f>
        <v>Other current assets (2)</v>
      </c>
      <c r="B199" s="233">
        <f>IF('Data '!C15/'Data '!C$26=0,"",'Data '!C15/'Data '!C$26)</f>
        <v>9.3204812528444557E-3</v>
      </c>
      <c r="C199" s="233">
        <f>IF('Data '!D15/'Data '!D$26=0,"",'Data '!D15/'Data '!D$26)</f>
        <v>1.4878951680723396E-2</v>
      </c>
      <c r="D199" s="233">
        <f>IF('Data '!E15/'Data '!E$26=0,"",'Data '!E15/'Data '!E$26)</f>
        <v>1.7776653936254935E-2</v>
      </c>
      <c r="E199" s="233">
        <f>IF('Data '!F15/'Data '!F$26=0,"",'Data '!F15/'Data '!F$26)</f>
        <v>1.8063756433139413E-2</v>
      </c>
      <c r="F199" s="233">
        <f>IF('Data '!G15/'Data '!G$26=0,"",'Data '!G15/'Data '!G$26)</f>
        <v>1.4799056189073961E-2</v>
      </c>
    </row>
    <row r="200" spans="1:10" ht="12.75" customHeight="1">
      <c r="A200" s="187" t="str">
        <f>'Data '!A16</f>
        <v>Other current assets (3)</v>
      </c>
      <c r="B200" s="233">
        <f>IF('Data '!C16/'Data '!C$26=0,"",'Data '!C16/'Data '!C$26)</f>
        <v>3.302486784218081E-4</v>
      </c>
      <c r="C200" s="233">
        <f>IF('Data '!D16/'Data '!D$26=0,"",'Data '!D16/'Data '!D$26)</f>
        <v>3.2232681018141697E-4</v>
      </c>
      <c r="D200" s="233">
        <f>IF('Data '!E16/'Data '!E$26=0,"",'Data '!E16/'Data '!E$26)</f>
        <v>5.9612042155683057E-3</v>
      </c>
      <c r="E200" s="233">
        <f>IF('Data '!F16/'Data '!F$26=0,"",'Data '!F16/'Data '!F$26)</f>
        <v>3.2421854676614962E-3</v>
      </c>
      <c r="F200" s="233">
        <f>IF('Data '!G16/'Data '!G$26=0,"",'Data '!G16/'Data '!G$26)</f>
        <v>3.4261001432222193E-3</v>
      </c>
      <c r="J200" s="198"/>
    </row>
    <row r="201" spans="1:10" ht="12.75" customHeight="1">
      <c r="A201" s="210" t="str">
        <f>'Data '!A17</f>
        <v xml:space="preserve">  Current Assets</v>
      </c>
      <c r="B201" s="235">
        <f>IF('Data '!C17/'Data '!C$26=0,"",'Data '!C17/'Data '!C$26)</f>
        <v>0.49038661267548106</v>
      </c>
      <c r="C201" s="235">
        <f>IF('Data '!D17/'Data '!D$26=0,"",'Data '!D17/'Data '!D$26)</f>
        <v>0.52187198325631201</v>
      </c>
      <c r="D201" s="235">
        <f>IF('Data '!E17/'Data '!E$26=0,"",'Data '!E17/'Data '!E$26)</f>
        <v>0.49361037964529236</v>
      </c>
      <c r="E201" s="235">
        <f>IF('Data '!F17/'Data '!F$26=0,"",'Data '!F17/'Data '!F$26)</f>
        <v>0.41877653819323152</v>
      </c>
      <c r="F201" s="235">
        <f>IF('Data '!G17/'Data '!G$26=0,"",'Data '!G17/'Data '!G$26)</f>
        <v>0.43511586442546912</v>
      </c>
    </row>
    <row r="202" spans="1:10" ht="12.75" customHeight="1">
      <c r="A202" s="236" t="str">
        <f>'Data '!A18</f>
        <v>Long-term investments</v>
      </c>
      <c r="B202" s="233">
        <f>IF('Data '!C18/'Data '!C$26=0,"",'Data '!C18/'Data '!C$26)</f>
        <v>9.0870899606735681E-3</v>
      </c>
      <c r="C202" s="233">
        <f>IF('Data '!D18/'Data '!D$26=0,"",'Data '!D18/'Data '!D$26)</f>
        <v>8.4686502024006859E-3</v>
      </c>
      <c r="D202" s="233">
        <f>IF('Data '!E18/'Data '!E$26=0,"",'Data '!E18/'Data '!E$26)</f>
        <v>9.0507995744903477E-3</v>
      </c>
      <c r="E202" s="233">
        <f>IF('Data '!F18/'Data '!F$26=0,"",'Data '!F18/'Data '!F$26)</f>
        <v>2.0048778778576835E-2</v>
      </c>
      <c r="F202" s="233">
        <f>IF('Data '!G18/'Data '!G$26=0,"",'Data '!G18/'Data '!G$26)</f>
        <v>1.8546675599667821E-2</v>
      </c>
    </row>
    <row r="203" spans="1:10" ht="12.75" customHeight="1">
      <c r="A203" s="236" t="str">
        <f>'Data '!A19</f>
        <v xml:space="preserve">Equity and cost investments </v>
      </c>
      <c r="B203" s="233">
        <f>IF('Data '!C19/'Data '!C$26=0,"",'Data '!C19/'Data '!C$26)</f>
        <v>1.8568611205115937E-2</v>
      </c>
      <c r="C203" s="233">
        <f>IF('Data '!D19/'Data '!D$26=0,"",'Data '!D19/'Data '!D$26)</f>
        <v>1.6345106013612359E-2</v>
      </c>
      <c r="D203" s="233">
        <f>IF('Data '!E19/'Data '!E$26=0,"",'Data '!E19/'Data '!E$26)</f>
        <v>1.6129257276389447E-2</v>
      </c>
      <c r="E203" s="233">
        <f>IF('Data '!F19/'Data '!F$26=0,"",'Data '!F19/'Data '!F$26)</f>
        <v>1.5130552780146167E-2</v>
      </c>
      <c r="F203" s="233">
        <f>IF('Data '!G19/'Data '!G$26=0,"",'Data '!G19/'Data '!G$26)</f>
        <v>1.2888853482924805E-2</v>
      </c>
    </row>
    <row r="204" spans="1:10" ht="12.75" customHeight="1">
      <c r="A204" s="236" t="str">
        <f>'Data '!A20</f>
        <v>Property, plant, and equipment - at cost</v>
      </c>
      <c r="B204" s="233">
        <f>IF('Data '!C20/'Data '!C$26=0,"",'Data '!C20/'Data '!C$26)</f>
        <v>0.10684711703406347</v>
      </c>
      <c r="C204" s="233">
        <f>IF('Data '!D20/'Data '!D$26=0,"",'Data '!D20/'Data '!D$26)</f>
        <v>0.18188480061436788</v>
      </c>
      <c r="D204" s="233">
        <f>IF('Data '!E20/'Data '!E$26=0,"",'Data '!E20/'Data '!E$26)</f>
        <v>0.19865836574066001</v>
      </c>
      <c r="E204" s="233">
        <f>IF('Data '!F20/'Data '!F$26=0,"",'Data '!F20/'Data '!F$26)</f>
        <v>0.2123586355108234</v>
      </c>
      <c r="F204" s="233">
        <f>IF('Data '!G20/'Data '!G$26=0,"",'Data '!G20/'Data '!G$26)</f>
        <v>0.24070961193598728</v>
      </c>
    </row>
    <row r="205" spans="1:10" ht="12.75" customHeight="1">
      <c r="A205" s="236" t="str">
        <f>'Data '!A21</f>
        <v>&lt;Accumulated depreciation&gt;</v>
      </c>
      <c r="B205" s="233" t="str">
        <f>IF('Data '!C21/'Data '!C$26=0,"",'Data '!C21/'Data '!C$26)</f>
        <v/>
      </c>
      <c r="C205" s="233">
        <f>IF('Data '!D21/'Data '!D$26=0,"",'Data '!D21/'Data '!D$26)</f>
        <v>-8.08310190881288E-2</v>
      </c>
      <c r="D205" s="233">
        <f>IF('Data '!E21/'Data '!E$26=0,"",'Data '!E21/'Data '!E$26)</f>
        <v>-8.7302722215440415E-2</v>
      </c>
      <c r="E205" s="233">
        <f>IF('Data '!F21/'Data '!F$26=0,"",'Data '!F21/'Data '!F$26)</f>
        <v>-9.3780758821112267E-2</v>
      </c>
      <c r="F205" s="233">
        <f>IF('Data '!G21/'Data '!G$26=0,"",'Data '!G21/'Data '!G$26)</f>
        <v>-0.11920856972067942</v>
      </c>
    </row>
    <row r="206" spans="1:10" ht="12.75" customHeight="1">
      <c r="A206" s="236" t="str">
        <f>'Data '!A22</f>
        <v>Deferred income taxes - noncurrent</v>
      </c>
      <c r="B206" s="233">
        <f>IF('Data '!C22/'Data '!C$26=0,"",'Data '!C22/'Data '!C$26)</f>
        <v>6.9816671139999772E-2</v>
      </c>
      <c r="C206" s="233">
        <f>IF('Data '!D22/'Data '!D$26=0,"",'Data '!D22/'Data '!D$26)</f>
        <v>5.7038865799016257E-2</v>
      </c>
      <c r="D206" s="233">
        <f>IF('Data '!E22/'Data '!E$26=0,"",'Data '!E22/'Data '!E$26)</f>
        <v>6.3413726755372643E-2</v>
      </c>
      <c r="E206" s="233">
        <f>IF('Data '!F22/'Data '!F$26=0,"",'Data '!F22/'Data '!F$26)</f>
        <v>6.4954666740284328E-2</v>
      </c>
      <c r="F206" s="233">
        <f>IF('Data '!G22/'Data '!G$26=0,"",'Data '!G22/'Data '!G$26)</f>
        <v>8.3183510703840641E-2</v>
      </c>
    </row>
    <row r="207" spans="1:10" ht="12.75" customHeight="1">
      <c r="A207" s="236" t="str">
        <f>'Data '!A23</f>
        <v>Other assets</v>
      </c>
      <c r="B207" s="233">
        <f>IF('Data '!C23/'Data '!C$26=0,"",'Data '!C23/'Data '!C$26)</f>
        <v>0.27870479502409767</v>
      </c>
      <c r="C207" s="233">
        <f>IF('Data '!D23/'Data '!D$26=0,"",'Data '!D23/'Data '!D$26)</f>
        <v>0.27353377806501161</v>
      </c>
      <c r="D207" s="233">
        <f>IF('Data '!E23/'Data '!E$26=0,"",'Data '!E23/'Data '!E$26)</f>
        <v>0.28226868725621845</v>
      </c>
      <c r="E207" s="233">
        <f>IF('Data '!F23/'Data '!F$26=0,"",'Data '!F23/'Data '!F$26)</f>
        <v>0.33939050948022037</v>
      </c>
      <c r="F207" s="233">
        <f>IF('Data '!G23/'Data '!G$26=0,"",'Data '!G23/'Data '!G$26)</f>
        <v>0.30666977678768437</v>
      </c>
    </row>
    <row r="208" spans="1:10" ht="12.75" customHeight="1">
      <c r="A208" s="236" t="str">
        <f>'Data '!A24</f>
        <v>Other intangible assets</v>
      </c>
      <c r="B208" s="233">
        <f>IF('Data '!C24/'Data '!C$26=0,"",'Data '!C24/'Data '!C$26)</f>
        <v>2.269205185954512E-2</v>
      </c>
      <c r="C208" s="233">
        <f>IF('Data '!D24/'Data '!D$26=0,"",'Data '!D24/'Data '!D$26)</f>
        <v>1.8075719759552852E-2</v>
      </c>
      <c r="D208" s="233">
        <f>IF('Data '!E24/'Data '!E$26=0,"",'Data '!E24/'Data '!E$26)</f>
        <v>2.0289021037150714E-2</v>
      </c>
      <c r="E208" s="233">
        <f>IF('Data '!F24/'Data '!F$26=0,"",'Data '!F24/'Data '!F$26)</f>
        <v>1.9575219021387699E-2</v>
      </c>
      <c r="F208" s="233">
        <f>IF('Data '!G24/'Data '!G$26=0,"",'Data '!G24/'Data '!G$26)</f>
        <v>1.8266420837199492E-2</v>
      </c>
    </row>
    <row r="209" spans="1:6" ht="12.75" customHeight="1">
      <c r="A209" s="236" t="str">
        <f>'Data '!A25</f>
        <v xml:space="preserve">Goodwill </v>
      </c>
      <c r="B209" s="233">
        <f>IF('Data '!C25/'Data '!C$26=0,"",'Data '!C25/'Data '!C$26)</f>
        <v>3.8970511010234209E-3</v>
      </c>
      <c r="C209" s="233">
        <f>IF('Data '!D25/'Data '!D$26=0,"",'Data '!D25/'Data '!D$26)</f>
        <v>3.6121153778551746E-3</v>
      </c>
      <c r="D209" s="233">
        <f>IF('Data '!E25/'Data '!E$26=0,"",'Data '!E25/'Data '!E$26)</f>
        <v>3.8824849298664762E-3</v>
      </c>
      <c r="E209" s="233">
        <f>IF('Data '!F25/'Data '!F$26=0,"",'Data '!F25/'Data '!F$26)</f>
        <v>3.5458583164419736E-3</v>
      </c>
      <c r="F209" s="233">
        <f>IF('Data '!G25/'Data '!G$26=0,"",'Data '!G25/'Data '!G$26)</f>
        <v>3.8278559479058552E-3</v>
      </c>
    </row>
    <row r="210" spans="1:6" ht="12.75" customHeight="1">
      <c r="A210" s="210" t="str">
        <f>'Data '!A26</f>
        <v xml:space="preserve">   Total Assets</v>
      </c>
      <c r="B210" s="235">
        <f>IF('Data '!C26/'Data '!C$26=0,"",'Data '!C26/'Data '!C$26)</f>
        <v>1</v>
      </c>
      <c r="C210" s="235">
        <f>IF('Data '!D26/'Data '!D$26=0,"",'Data '!D26/'Data '!D$26)</f>
        <v>1</v>
      </c>
      <c r="D210" s="235">
        <f>IF('Data '!E26/'Data '!E$26=0,"",'Data '!E26/'Data '!E$26)</f>
        <v>1</v>
      </c>
      <c r="E210" s="235">
        <f>IF('Data '!F26/'Data '!F$26=0,"",'Data '!F26/'Data '!F$26)</f>
        <v>1</v>
      </c>
      <c r="F210" s="235">
        <f>IF('Data '!G26/'Data '!G$26=0,"",'Data '!G26/'Data '!G$26)</f>
        <v>1</v>
      </c>
    </row>
    <row r="211" spans="1:6" ht="12.75" customHeight="1"/>
    <row r="212" spans="1:6" ht="12.75" customHeight="1">
      <c r="A212" s="210" t="str">
        <f>'Data '!A28</f>
        <v>Liabilities and Equities:</v>
      </c>
      <c r="B212" s="237" t="str">
        <f>IF('Data '!C28/'Data '!C$26=0,"",'Data '!C28/'Data '!C$26)</f>
        <v/>
      </c>
      <c r="C212" s="238" t="str">
        <f>IF('Data '!D28/'Data '!D$26=0,"",'Data '!D28/'Data '!D$26)</f>
        <v/>
      </c>
      <c r="D212" s="238" t="str">
        <f>IF('Data '!E28/'Data '!E$26=0,"",'Data '!E28/'Data '!E$26)</f>
        <v/>
      </c>
      <c r="E212" s="238" t="str">
        <f>IF('Data '!F28/'Data '!F$26=0,"",'Data '!F28/'Data '!F$26)</f>
        <v/>
      </c>
      <c r="F212" s="238" t="str">
        <f>IF('Data '!G28/'Data '!G$26=0,"",'Data '!G28/'Data '!G$26)</f>
        <v/>
      </c>
    </row>
    <row r="213" spans="1:6" ht="12.75" customHeight="1">
      <c r="A213" s="187" t="str">
        <f>'Data '!A29</f>
        <v>Provisions for risks and charges</v>
      </c>
      <c r="B213" s="233">
        <f>IF('Data '!C29/'Data '!C$26=0,"",'Data '!C29/'Data '!C$26)</f>
        <v>7.9585847152042755E-2</v>
      </c>
      <c r="C213" s="233">
        <f>IF('Data '!D29/'Data '!D$26=0,"",'Data '!D29/'Data '!D$26)</f>
        <v>9.939780049809227E-2</v>
      </c>
      <c r="D213" s="233">
        <f>IF('Data '!E29/'Data '!E$26=0,"",'Data '!E29/'Data '!E$26)</f>
        <v>0.10115503781339193</v>
      </c>
      <c r="E213" s="233">
        <f>IF('Data '!F29/'Data '!F$26=0,"",'Data '!F29/'Data '!F$26)</f>
        <v>1.2703293576257456E-2</v>
      </c>
      <c r="F213" s="233">
        <f>IF('Data '!G29/'Data '!G$26=0,"",'Data '!G29/'Data '!G$26)</f>
        <v>1.2903181436016233E-2</v>
      </c>
    </row>
    <row r="214" spans="1:6" ht="12.75" customHeight="1">
      <c r="A214" s="187" t="str">
        <f>'Data '!A30</f>
        <v>Employee benefit liabilities</v>
      </c>
      <c r="B214" s="233">
        <f>IF('Data '!C30/'Data '!C$26=0,"",'Data '!C30/'Data '!C$26)</f>
        <v>5.332407547874389E-3</v>
      </c>
      <c r="C214" s="233">
        <f>IF('Data '!D30/'Data '!D$26=0,"",'Data '!D30/'Data '!D$26)</f>
        <v>5.0350043670956248E-3</v>
      </c>
      <c r="D214" s="233">
        <f>IF('Data '!E30/'Data '!E$26=0,"",'Data '!E30/'Data '!E$26)</f>
        <v>5.8711031279609837E-3</v>
      </c>
      <c r="E214" s="233">
        <f>IF('Data '!F30/'Data '!F$26=0,"",'Data '!F30/'Data '!F$26)</f>
        <v>3.6918548783556647E-3</v>
      </c>
      <c r="F214" s="233">
        <f>IF('Data '!G30/'Data '!G$26=0,"",'Data '!G30/'Data '!G$26)</f>
        <v>3.4536098131577606E-3</v>
      </c>
    </row>
    <row r="215" spans="1:6" ht="12.75" customHeight="1">
      <c r="A215" s="187" t="str">
        <f>'Data '!A31</f>
        <v>Other non-current liabilities</v>
      </c>
      <c r="B215" s="233">
        <f>IF('Data '!C31/'Data '!C$26=0,"",'Data '!C31/'Data '!C$26)</f>
        <v>3.3082048708762676E-2</v>
      </c>
      <c r="C215" s="233">
        <f>IF('Data '!D31/'Data '!D$26=0,"",'Data '!D31/'Data '!D$26)</f>
        <v>4.0887913015026596E-2</v>
      </c>
      <c r="D215" s="233">
        <f>IF('Data '!E31/'Data '!E$26=0,"",'Data '!E31/'Data '!E$26)</f>
        <v>1.7011085340262397E-2</v>
      </c>
      <c r="E215" s="233">
        <f>IF('Data '!F31/'Data '!F$26=0,"",'Data '!F31/'Data '!F$26)</f>
        <v>8.6127353597302194E-3</v>
      </c>
      <c r="F215" s="233">
        <f>IF('Data '!G31/'Data '!G$26=0,"",'Data '!G31/'Data '!G$26)</f>
        <v>8.4380181346036687E-3</v>
      </c>
    </row>
    <row r="216" spans="1:6" ht="12.75" customHeight="1">
      <c r="A216" s="187" t="str">
        <f>'Data '!A32</f>
        <v>Non-current lease liabilities</v>
      </c>
      <c r="B216" s="233">
        <f>IF('Data '!C32/'Data '!C$26=0,"",'Data '!C32/'Data '!C$26)</f>
        <v>6.0395248153291399E-2</v>
      </c>
      <c r="C216" s="233">
        <f>IF('Data '!D32/'Data '!D$26=0,"",'Data '!D32/'Data '!D$26)</f>
        <v>5.9496337318251755E-2</v>
      </c>
      <c r="D216" s="233">
        <f>IF('Data '!E32/'Data '!E$26=0,"",'Data '!E32/'Data '!E$26)</f>
        <v>6.1958158217509836E-2</v>
      </c>
      <c r="E216" s="233">
        <f>IF('Data '!F32/'Data '!F$26=0,"",'Data '!F32/'Data '!F$26)</f>
        <v>0.31673449755415939</v>
      </c>
      <c r="F216" s="233">
        <f>IF('Data '!G32/'Data '!G$26=0,"",'Data '!G32/'Data '!G$26)</f>
        <v>0.31655835689326423</v>
      </c>
    </row>
    <row r="217" spans="1:6" ht="12.75" customHeight="1">
      <c r="A217" s="187" t="str">
        <f>'Data '!A33</f>
        <v>Deferred tax liabilities</v>
      </c>
      <c r="B217" s="233" t="str">
        <f>IF('Data '!C33/'Data '!C$26=0,"",'Data '!C33/'Data '!C$26)</f>
        <v/>
      </c>
      <c r="C217" s="233" t="str">
        <f>IF('Data '!D33/'Data '!D$26=0,"",'Data '!D33/'Data '!D$26)</f>
        <v/>
      </c>
      <c r="D217" s="233" t="str">
        <f>IF('Data '!E33/'Data '!E$26=0,"",'Data '!E33/'Data '!E$26)</f>
        <v/>
      </c>
      <c r="E217" s="233" t="str">
        <f>IF('Data '!F33/'Data '!F$26=0,"",'Data '!F33/'Data '!F$26)</f>
        <v/>
      </c>
      <c r="F217" s="233" t="str">
        <f>IF('Data '!G33/'Data '!G$26=0,"",'Data '!G33/'Data '!G$26)</f>
        <v/>
      </c>
    </row>
    <row r="218" spans="1:6" ht="12.75" customHeight="1">
      <c r="A218" s="187" t="str">
        <f>'Data '!A34</f>
        <v>Other current liabilities (1)</v>
      </c>
      <c r="B218" s="233">
        <f>IF('Data '!C34/'Data '!C$26=0,"",'Data '!C34/'Data '!C$26)</f>
        <v>1.5155263557116685E-2</v>
      </c>
      <c r="C218" s="233">
        <f>IF('Data '!D34/'Data '!D$26=0,"",'Data '!D34/'Data '!D$26)</f>
        <v>1.3916297784543997E-2</v>
      </c>
      <c r="D218" s="233">
        <f>IF('Data '!E34/'Data '!E$26=0,"",'Data '!E34/'Data '!E$26)</f>
        <v>1.4657993710362787E-2</v>
      </c>
      <c r="E218" s="233">
        <f>IF('Data '!F34/'Data '!F$26=0,"",'Data '!F34/'Data '!F$26)</f>
        <v>6.0755274723057792E-2</v>
      </c>
      <c r="F218" s="233">
        <f>IF('Data '!G34/'Data '!G$26=0,"",'Data '!G34/'Data '!G$26)</f>
        <v>7.1067793569729282E-2</v>
      </c>
    </row>
    <row r="219" spans="1:6" ht="12.75" customHeight="1">
      <c r="A219" s="187" t="str">
        <f>'Data '!A35</f>
        <v>Other current liabilities (2)</v>
      </c>
      <c r="B219" s="233">
        <f>IF('Data '!C35/'Data '!C$26=0,"",'Data '!C35/'Data '!C$26)</f>
        <v>1.7132087801804113E-2</v>
      </c>
      <c r="C219" s="233">
        <f>IF('Data '!D35/'Data '!D$26=0,"",'Data '!D35/'Data '!D$26)</f>
        <v>3.1869792948289802E-2</v>
      </c>
      <c r="D219" s="233">
        <f>IF('Data '!E35/'Data '!E$26=0,"",'Data '!E35/'Data '!E$26)</f>
        <v>4.5245278412360708E-2</v>
      </c>
      <c r="E219" s="233">
        <f>IF('Data '!F35/'Data '!F$26=0,"",'Data '!F35/'Data '!F$26)</f>
        <v>2.5910938911853115E-2</v>
      </c>
      <c r="F219" s="233">
        <f>IF('Data '!G35/'Data '!G$26=0,"",'Data '!G35/'Data '!G$26)</f>
        <v>2.530373827758518E-2</v>
      </c>
    </row>
    <row r="220" spans="1:6" ht="12.75" customHeight="1">
      <c r="A220" s="187" t="str">
        <f>'Data '!A36</f>
        <v>Other current liabilities (3)</v>
      </c>
      <c r="B220" s="233">
        <f>IF('Data '!C36/'Data '!C$26=0,"",'Data '!C36/'Data '!C$26)</f>
        <v>2.1606198872720058E-3</v>
      </c>
      <c r="C220" s="233">
        <f>IF('Data '!D36/'Data '!D$26=0,"",'Data '!D36/'Data '!D$26)</f>
        <v>2.7743901614608543E-4</v>
      </c>
      <c r="D220" s="233">
        <f>IF('Data '!E36/'Data '!E$26=0,"",'Data '!E36/'Data '!E$26)</f>
        <v>6.3710188398467696E-4</v>
      </c>
      <c r="E220" s="233">
        <f>IF('Data '!F36/'Data '!F$26=0,"",'Data '!F36/'Data '!F$26)</f>
        <v>0.15766779252136592</v>
      </c>
      <c r="F220" s="233">
        <f>IF('Data '!G36/'Data '!G$26=0,"",'Data '!G36/'Data '!G$26)</f>
        <v>0.17842198802068499</v>
      </c>
    </row>
    <row r="221" spans="1:6" ht="12.75" customHeight="1">
      <c r="A221" s="210" t="str">
        <f>'Data '!A37</f>
        <v xml:space="preserve">  Current Liabilities</v>
      </c>
      <c r="B221" s="235">
        <f>IF('Data '!C37/'Data '!C$26=0,"",'Data '!C37/'Data '!C$26)</f>
        <v>0.21284352280816402</v>
      </c>
      <c r="C221" s="235">
        <f>IF('Data '!D37/'Data '!D$26=0,"",'Data '!D37/'Data '!D$26)</f>
        <v>0.25088058494744614</v>
      </c>
      <c r="D221" s="235">
        <f>IF('Data '!E37/'Data '!E$26=0,"",'Data '!E37/'Data '!E$26)</f>
        <v>0.24653575850583331</v>
      </c>
      <c r="E221" s="235">
        <f>IF('Data '!F37/'Data '!F$26=0,"",'Data '!F37/'Data '!F$26)</f>
        <v>0.58607638752477964</v>
      </c>
      <c r="F221" s="235">
        <f>IF('Data '!G37/'Data '!G$26=0,"",'Data '!G37/'Data '!G$26)</f>
        <v>0.61614668614504131</v>
      </c>
    </row>
    <row r="222" spans="1:6" ht="12.75" customHeight="1">
      <c r="A222" s="187" t="str">
        <f>'Data '!A38</f>
        <v xml:space="preserve">Long-term debt </v>
      </c>
      <c r="B222" s="233">
        <f>IF('Data '!C38/'Data '!C$26=0,"",'Data '!C38/'Data '!C$26)</f>
        <v>7.5444902150700752E-2</v>
      </c>
      <c r="C222" s="233">
        <f>IF('Data '!D38/'Data '!D$26=0,"",'Data '!D38/'Data '!D$26)</f>
        <v>3.4350519589736381E-2</v>
      </c>
      <c r="D222" s="233" t="str">
        <f>IF('Data '!E38/'Data '!E$26=0,"",'Data '!E38/'Data '!E$26)</f>
        <v/>
      </c>
      <c r="E222" s="233" t="str">
        <f>IF('Data '!F38/'Data '!F$26=0,"",'Data '!F38/'Data '!F$26)</f>
        <v/>
      </c>
      <c r="F222" s="233" t="str">
        <f>IF('Data '!G38/'Data '!G$26=0,"",'Data '!G38/'Data '!G$26)</f>
        <v/>
      </c>
    </row>
    <row r="223" spans="1:6" ht="12.75" customHeight="1">
      <c r="A223" s="187" t="str">
        <f>'Data '!A39</f>
        <v>Long-term accrued liabilities</v>
      </c>
      <c r="B223" s="233">
        <f>IF('Data '!C39/'Data '!C$26=0,"",'Data '!C39/'Data '!C$26)</f>
        <v>0.27096729021040222</v>
      </c>
      <c r="C223" s="233">
        <f>IF('Data '!D39/'Data '!D$26=0,"",'Data '!D39/'Data '!D$26)</f>
        <v>0.26350216732330839</v>
      </c>
      <c r="D223" s="233">
        <f>IF('Data '!E39/'Data '!E$26=0,"",'Data '!E39/'Data '!E$26)</f>
        <v>0.27247557097931163</v>
      </c>
      <c r="E223" s="233">
        <f>IF('Data '!F39/'Data '!F$26=0,"",'Data '!F39/'Data '!F$26)</f>
        <v>3.4980776234520383E-3</v>
      </c>
      <c r="F223" s="233">
        <f>IF('Data '!G39/'Data '!G$26=0,"",'Data '!G39/'Data '!G$26)</f>
        <v>1.9508940929288112E-3</v>
      </c>
    </row>
    <row r="224" spans="1:6" ht="12.75" customHeight="1">
      <c r="A224" s="187" t="str">
        <f>'Data '!A40</f>
        <v>Deferred tax liabilities- noncurrent</v>
      </c>
      <c r="B224" s="233">
        <f>IF('Data '!C40/'Data '!C$26=0,"",'Data '!C40/'Data '!C$26)</f>
        <v>4.0510893538562073E-3</v>
      </c>
      <c r="C224" s="233">
        <f>IF('Data '!D40/'Data '!D$26=0,"",'Data '!D40/'Data '!D$26)</f>
        <v>1.8279607691496468E-3</v>
      </c>
      <c r="D224" s="233">
        <f>IF('Data '!E40/'Data '!E$26=0,"",'Data '!E40/'Data '!E$26)</f>
        <v>3.5290561475100129E-3</v>
      </c>
      <c r="E224" s="233">
        <f>IF('Data '!F40/'Data '!F$26=0,"",'Data '!F40/'Data '!F$26)</f>
        <v>3.6270854945248633E-3</v>
      </c>
      <c r="F224" s="233">
        <f>IF('Data '!G40/'Data '!G$26=0,"",'Data '!G40/'Data '!G$26)</f>
        <v>3.2564571786197136E-3</v>
      </c>
    </row>
    <row r="225" spans="1:10" ht="12.75" customHeight="1">
      <c r="A225" s="187" t="str">
        <f>'Data '!A41</f>
        <v>Other noncurrent liabilities (1)</v>
      </c>
      <c r="B225" s="233">
        <f>IF('Data '!C41/'Data '!C$26=0,"",'Data '!C41/'Data '!C$26)</f>
        <v>1.5676893095118622E-2</v>
      </c>
      <c r="C225" s="233">
        <f>IF('Data '!D41/'Data '!D$26=0,"",'Data '!D41/'Data '!D$26)</f>
        <v>1.9571078199404561E-2</v>
      </c>
      <c r="D225" s="233">
        <f>IF('Data '!E41/'Data '!E$26=0,"",'Data '!E41/'Data '!E$26)</f>
        <v>2.2309610588912336E-2</v>
      </c>
      <c r="E225" s="233">
        <f>IF('Data '!F41/'Data '!F$26=0,"",'Data '!F41/'Data '!F$26)</f>
        <v>8.6127353597302194E-3</v>
      </c>
      <c r="F225" s="233">
        <f>IF('Data '!G41/'Data '!G$26=0,"",'Data '!G41/'Data '!G$26)</f>
        <v>8.4380181346036687E-3</v>
      </c>
    </row>
    <row r="226" spans="1:10" ht="12.75" customHeight="1">
      <c r="A226" s="187" t="str">
        <f>'Data '!A42</f>
        <v>Other noncurrent liabilities (2)</v>
      </c>
      <c r="B226" s="233">
        <f>IF('Data '!C42/'Data '!C$26=0,"",'Data '!C42/'Data '!C$26)</f>
        <v>6.9241361604798525E-3</v>
      </c>
      <c r="C226" s="233">
        <f>IF('Data '!D42/'Data '!D$26=0,"",'Data '!D42/'Data '!D$26)</f>
        <v>4.8511266565894468E-3</v>
      </c>
      <c r="D226" s="233">
        <f>IF('Data '!E42/'Data '!E$26=0,"",'Data '!E42/'Data '!E$26)</f>
        <v>4.4068151300071497E-3</v>
      </c>
      <c r="E226" s="233">
        <f>IF('Data '!F42/'Data '!F$26=0,"",'Data '!F42/'Data '!F$26)</f>
        <v>1.2703293576257456E-2</v>
      </c>
      <c r="F226" s="233">
        <f>IF('Data '!G42/'Data '!G$26=0,"",'Data '!G42/'Data '!G$26)</f>
        <v>1.2903181436016233E-2</v>
      </c>
    </row>
    <row r="227" spans="1:10" ht="12.75" customHeight="1">
      <c r="A227" s="210" t="str">
        <f>'Data '!A43</f>
        <v xml:space="preserve">  Total Liabilities</v>
      </c>
      <c r="B227" s="235">
        <f>IF('Data '!C43/'Data '!C$26=0,"",'Data '!C43/'Data '!C$26)</f>
        <v>0.58590783377872169</v>
      </c>
      <c r="C227" s="235">
        <f>IF('Data '!D43/'Data '!D$26=0,"",'Data '!D43/'Data '!D$26)</f>
        <v>0.57498343748563452</v>
      </c>
      <c r="D227" s="235">
        <f>IF('Data '!E43/'Data '!E$26=0,"",'Data '!E43/'Data '!E$26)</f>
        <v>0.54925681135157445</v>
      </c>
      <c r="E227" s="235">
        <f>IF('Data '!F43/'Data '!F$26=0,"",'Data '!F43/'Data '!F$26)</f>
        <v>0.6145175795787442</v>
      </c>
      <c r="F227" s="235">
        <f>IF('Data '!G43/'Data '!G$26=0,"",'Data '!G43/'Data '!G$26)</f>
        <v>0.64269523698720976</v>
      </c>
      <c r="H227" s="213"/>
    </row>
    <row r="228" spans="1:10" ht="12.75" customHeight="1">
      <c r="A228" s="199"/>
      <c r="B228" s="239" t="str">
        <f>IF('Data '!C44/'Data '!C$26=0,"",'Data '!C44/'Data '!C$26)</f>
        <v/>
      </c>
      <c r="C228" s="239" t="str">
        <f>IF('Data '!D44/'Data '!D$26=0,"",'Data '!D44/'Data '!D$26)</f>
        <v/>
      </c>
      <c r="D228" s="239" t="str">
        <f>IF('Data '!E44/'Data '!E$26=0,"",'Data '!E44/'Data '!E$26)</f>
        <v/>
      </c>
      <c r="E228" s="239" t="str">
        <f>IF('Data '!F44/'Data '!F$26=0,"",'Data '!F44/'Data '!F$26)</f>
        <v/>
      </c>
      <c r="F228" s="239" t="str">
        <f>IF('Data '!G44/'Data '!G$26=0,"",'Data '!G44/'Data '!G$26)</f>
        <v/>
      </c>
    </row>
    <row r="229" spans="1:10" ht="12.75" customHeight="1">
      <c r="A229" s="187" t="str">
        <f>'Data '!A45</f>
        <v>Preferred stock</v>
      </c>
      <c r="B229" s="233" t="str">
        <f>IF('Data '!C45/'Data '!C$26=0,"",'Data '!C45/'Data '!C$26)</f>
        <v/>
      </c>
      <c r="C229" s="233" t="str">
        <f>IF('Data '!D45/'Data '!D$26=0,"",'Data '!D45/'Data '!D$26)</f>
        <v/>
      </c>
      <c r="D229" s="233" t="str">
        <f>IF('Data '!E45/'Data '!E$26=0,"",'Data '!E45/'Data '!E$26)</f>
        <v/>
      </c>
      <c r="E229" s="233" t="str">
        <f>IF('Data '!F45/'Data '!F$26=0,"",'Data '!F45/'Data '!F$26)</f>
        <v/>
      </c>
      <c r="F229" s="233" t="str">
        <f>IF('Data '!G45/'Data '!G$26=0,"",'Data '!G45/'Data '!G$26)</f>
        <v/>
      </c>
    </row>
    <row r="230" spans="1:10" ht="12.75" customHeight="1">
      <c r="A230" s="187" t="str">
        <f>'Data '!A46</f>
        <v>Common stock + Additional paid in capital</v>
      </c>
      <c r="B230" s="233">
        <f>IF('Data '!C46/'Data '!C$26=0,"",'Data '!C46/'Data '!C$26)</f>
        <v>9.8485290513810938E-3</v>
      </c>
      <c r="C230" s="233">
        <f>IF('Data '!D46/'Data '!D$26=0,"",'Data '!D46/'Data '!D$26)</f>
        <v>9.1284466930404984E-3</v>
      </c>
      <c r="D230" s="233">
        <f>IF('Data '!E46/'Data '!E$26=0,"",'Data '!E46/'Data '!E$26)</f>
        <v>9.8117177917676664E-3</v>
      </c>
      <c r="E230" s="233">
        <f>IF('Data '!F46/'Data '!F$26=0,"",'Data '!F46/'Data '!F$26)</f>
        <v>8.9610035219679692E-3</v>
      </c>
      <c r="F230" s="233">
        <f>IF('Data '!G46/'Data '!G$26=0,"",'Data '!G46/'Data '!G$26)</f>
        <v>9.673660809208404E-3</v>
      </c>
    </row>
    <row r="231" spans="1:10" ht="12.75" customHeight="1">
      <c r="A231" s="187" t="str">
        <f>'Data '!A47</f>
        <v>Retained earnings &lt;deficit&gt;</v>
      </c>
      <c r="B231" s="233">
        <f>IF('Data '!C47/'Data '!C$26=0,"",'Data '!C47/'Data '!C$26)</f>
        <v>0.43358267303046921</v>
      </c>
      <c r="C231" s="233">
        <f>IF('Data '!D47/'Data '!D$26=0,"",'Data '!D47/'Data '!D$26)</f>
        <v>0.36169124228322036</v>
      </c>
      <c r="D231" s="233">
        <f>IF('Data '!E47/'Data '!E$26=0,"",'Data '!E47/'Data '!E$26)</f>
        <v>0.38674990844566903</v>
      </c>
      <c r="E231" s="233">
        <f>IF('Data '!F47/'Data '!F$26=0,"",'Data '!F47/'Data '!F$26)</f>
        <v>0.37390356582002821</v>
      </c>
      <c r="F231" s="233">
        <f>IF('Data '!G47/'Data '!G$26=0,"",'Data '!G47/'Data '!G$26)</f>
        <v>0.3451386114837971</v>
      </c>
    </row>
    <row r="232" spans="1:10" ht="12.75" customHeight="1">
      <c r="A232" s="187" t="str">
        <f>'Data '!A48</f>
        <v>Accum. other comprehensive income &lt;loss&gt;</v>
      </c>
      <c r="B232" s="233">
        <f>IF('Data '!C48/'Data '!C$26=0,"",'Data '!C48/'Data '!C$26)</f>
        <v>-3.8741204065676313E-2</v>
      </c>
      <c r="C232" s="233">
        <f>IF('Data '!D48/'Data '!D$26=0,"",'Data '!D48/'Data '!D$26)</f>
        <v>4.2533618524056883E-2</v>
      </c>
      <c r="D232" s="233">
        <f>IF('Data '!E48/'Data '!E$26=0,"",'Data '!E48/'Data '!E$26)</f>
        <v>4.046352649843922E-2</v>
      </c>
      <c r="E232" s="233">
        <f>IF('Data '!F48/'Data '!F$26=0,"",'Data '!F48/'Data '!F$26)</f>
        <v>2.0885471802489482E-3</v>
      </c>
      <c r="F232" s="233">
        <f>IF('Data '!G48/'Data '!G$26=0,"",'Data '!G48/'Data '!G$26)</f>
        <v>1.9222381867459557E-3</v>
      </c>
    </row>
    <row r="233" spans="1:10" ht="12.75" customHeight="1">
      <c r="A233" s="187" t="str">
        <f>'Data '!A49</f>
        <v>&lt;Treasury stock&gt; and other equity adjustments</v>
      </c>
      <c r="B233" s="233" t="str">
        <f>IF('Data '!C49/'Data '!C$26=0,"",'Data '!C49/'Data '!C$26)</f>
        <v/>
      </c>
      <c r="C233" s="233" t="str">
        <f>IF('Data '!D49/'Data '!D$26=0,"",'Data '!D49/'Data '!D$26)</f>
        <v/>
      </c>
      <c r="D233" s="233" t="str">
        <f>IF('Data '!E49/'Data '!E$26=0,"",'Data '!E49/'Data '!E$26)</f>
        <v/>
      </c>
      <c r="E233" s="233" t="str">
        <f>IF('Data '!F49/'Data '!F$26=0,"",'Data '!F49/'Data '!F$26)</f>
        <v/>
      </c>
      <c r="F233" s="233" t="str">
        <f>IF('Data '!G49/'Data '!G$26=0,"",'Data '!G49/'Data '!G$26)</f>
        <v/>
      </c>
    </row>
    <row r="234" spans="1:10" ht="12.75" customHeight="1">
      <c r="A234" s="210" t="str">
        <f>'Data '!A50</f>
        <v xml:space="preserve"> Total Common Shareholders' Equity</v>
      </c>
      <c r="B234" s="235">
        <f>IF('Data '!C50/'Data '!C$26=0,"",'Data '!C50/'Data '!C$26)</f>
        <v>0.404689998016174</v>
      </c>
      <c r="C234" s="235">
        <f>IF('Data '!D50/'Data '!D$26=0,"",'Data '!D50/'Data '!D$26)</f>
        <v>0.41335330750031773</v>
      </c>
      <c r="D234" s="235">
        <f>IF('Data '!E50/'Data '!E$26=0,"",'Data '!E50/'Data '!E$26)</f>
        <v>0.43702515273587594</v>
      </c>
      <c r="E234" s="235">
        <f>IF('Data '!F50/'Data '!F$26=0,"",'Data '!F50/'Data '!F$26)</f>
        <v>0.38495311652224512</v>
      </c>
      <c r="F234" s="235">
        <f>IF('Data '!G50/'Data '!G$26=0,"",'Data '!G50/'Data '!G$26)</f>
        <v>0.35673451047975147</v>
      </c>
    </row>
    <row r="235" spans="1:10" ht="12.75" customHeight="1">
      <c r="A235" s="187" t="str">
        <f>'Data '!A51</f>
        <v>Noncontrolling interests</v>
      </c>
      <c r="B235" s="233">
        <f>IF('Data '!C51/'Data '!C$26=0,"",'Data '!C51/'Data '!C$26)</f>
        <v>9.4021682051042676E-3</v>
      </c>
      <c r="C235" s="233">
        <f>IF('Data '!D51/'Data '!D$26=0,"",'Data '!D51/'Data '!D$26)</f>
        <v>1.1663255014047717E-2</v>
      </c>
      <c r="D235" s="233">
        <f>IF('Data '!E51/'Data '!E$26=0,"",'Data '!E51/'Data '!E$26)</f>
        <v>1.3718035912549628E-2</v>
      </c>
      <c r="E235" s="233">
        <f>IF('Data '!F51/'Data '!F$26=0,"",'Data '!F51/'Data '!F$26)</f>
        <v>5.2930389901072726E-4</v>
      </c>
      <c r="F235" s="233">
        <f>IF('Data '!G51/'Data '!G$26=0,"",'Data '!G51/'Data '!G$26)</f>
        <v>5.7025253303882699E-4</v>
      </c>
    </row>
    <row r="236" spans="1:10" ht="12.75" customHeight="1">
      <c r="A236" s="210" t="str">
        <f>'Data '!A52</f>
        <v xml:space="preserve">  Total Equity</v>
      </c>
      <c r="B236" s="235">
        <f>IF('Data '!C52/'Data '!C$26=0,"",'Data '!C52/'Data '!C$26)</f>
        <v>0.41409216622127826</v>
      </c>
      <c r="C236" s="235">
        <f>IF('Data '!D52/'Data '!D$26=0,"",'Data '!D52/'Data '!D$26)</f>
        <v>0.42501656251436543</v>
      </c>
      <c r="D236" s="235">
        <f>IF('Data '!E52/'Data '!E$26=0,"",'Data '!E52/'Data '!E$26)</f>
        <v>0.45074318864842555</v>
      </c>
      <c r="E236" s="235">
        <f>IF('Data '!F52/'Data '!F$26=0,"",'Data '!F52/'Data '!F$26)</f>
        <v>0.3854824204212558</v>
      </c>
      <c r="F236" s="235">
        <f>IF('Data '!G52/'Data '!G$26=0,"",'Data '!G52/'Data '!G$26)</f>
        <v>0.35730476301279029</v>
      </c>
    </row>
    <row r="237" spans="1:10" ht="12.75" customHeight="1">
      <c r="A237" s="210" t="str">
        <f>'Data '!A53</f>
        <v xml:space="preserve">  Total Liabilities and Equities</v>
      </c>
      <c r="B237" s="235">
        <f>IF('Data '!C53/'Data '!C$26=0,"",'Data '!C53/'Data '!C$26)</f>
        <v>1</v>
      </c>
      <c r="C237" s="235">
        <f>IF('Data '!D53/'Data '!D$26=0,"",'Data '!D53/'Data '!D$26)</f>
        <v>1</v>
      </c>
      <c r="D237" s="235">
        <f>IF('Data '!E53/'Data '!E$26=0,"",'Data '!E53/'Data '!E$26)</f>
        <v>1</v>
      </c>
      <c r="E237" s="235">
        <f>IF('Data '!F53/'Data '!F$26=0,"",'Data '!F53/'Data '!F$26)</f>
        <v>1</v>
      </c>
      <c r="F237" s="235">
        <f>IF('Data '!G53/'Data '!G$26=0,"",'Data '!G53/'Data '!G$26)</f>
        <v>1</v>
      </c>
    </row>
    <row r="238" spans="1:10" ht="12.75" customHeight="1">
      <c r="A238" s="113"/>
      <c r="B238" s="240"/>
      <c r="C238" s="240"/>
      <c r="D238" s="240"/>
      <c r="E238" s="240"/>
      <c r="F238" s="240"/>
    </row>
    <row r="239" spans="1:10" ht="12.75" customHeight="1" thickBot="1">
      <c r="B239" s="240"/>
      <c r="C239" s="240"/>
      <c r="D239" s="240"/>
      <c r="E239" s="240"/>
      <c r="F239" s="240"/>
    </row>
    <row r="240" spans="1:10" ht="12.75" customHeight="1" thickBot="1">
      <c r="A240" s="201" t="s">
        <v>265</v>
      </c>
      <c r="B240" s="241"/>
      <c r="C240" s="241"/>
      <c r="D240" s="241"/>
      <c r="E240" s="241"/>
      <c r="F240" s="241"/>
      <c r="G240" s="242"/>
      <c r="J240" s="113"/>
    </row>
    <row r="241" spans="1:7" ht="12.75" customHeight="1" thickBot="1">
      <c r="A241" s="184" t="s">
        <v>206</v>
      </c>
      <c r="B241" s="185">
        <f>'Data '!$C$4</f>
        <v>2020</v>
      </c>
      <c r="C241" s="185">
        <f>'Data '!$D$4</f>
        <v>2021</v>
      </c>
      <c r="D241" s="185">
        <f>'Data '!$E$4</f>
        <v>2022</v>
      </c>
      <c r="E241" s="185">
        <f>'Data '!$F$4</f>
        <v>2023</v>
      </c>
      <c r="F241" s="185">
        <f>'Data '!$G$4</f>
        <v>2024</v>
      </c>
      <c r="G241" s="185"/>
    </row>
    <row r="242" spans="1:7" ht="12.75" customHeight="1">
      <c r="A242" s="179"/>
      <c r="B242" s="243"/>
      <c r="C242" s="244"/>
      <c r="D242" s="243"/>
      <c r="E242" s="244"/>
      <c r="F242" s="244"/>
      <c r="G242" s="245" t="s">
        <v>264</v>
      </c>
    </row>
    <row r="243" spans="1:7" ht="12.75" customHeight="1">
      <c r="A243" s="170"/>
      <c r="B243" s="243"/>
      <c r="C243" s="244"/>
      <c r="D243" s="244"/>
      <c r="E243" s="244"/>
      <c r="F243" s="244"/>
      <c r="G243" s="245" t="s">
        <v>263</v>
      </c>
    </row>
    <row r="244" spans="1:7" ht="12.75" customHeight="1">
      <c r="A244" s="230" t="str">
        <f>'Data '!A8</f>
        <v>Assets:</v>
      </c>
      <c r="B244" s="221" t="s">
        <v>262</v>
      </c>
      <c r="C244" s="245"/>
      <c r="D244" s="245"/>
      <c r="E244" s="244"/>
      <c r="F244" s="244"/>
      <c r="G244" s="245" t="s">
        <v>261</v>
      </c>
    </row>
    <row r="245" spans="1:7" ht="12.75" customHeight="1">
      <c r="A245" s="187" t="str">
        <f>'Data '!A9</f>
        <v>Cash and cash equivalents</v>
      </c>
      <c r="B245" s="233">
        <f>IF(ISERROR('Data '!C9/'Data '!B9-1),"",'Data '!C9/'Data '!B9-1)</f>
        <v>0.47473148264757214</v>
      </c>
      <c r="C245" s="233">
        <f>IF(ISERROR('Data '!D9/'Data '!C9-1),"",'Data '!D9/'Data '!C9-1)</f>
        <v>0.56092472855922892</v>
      </c>
      <c r="D245" s="233">
        <f>IF(ISERROR('Data '!E9/'Data '!D9-1),"",'Data '!E9/'Data '!D9-1)</f>
        <v>-0.23533204636222249</v>
      </c>
      <c r="E245" s="233">
        <f>IF(ISERROR('Data '!F9/'Data '!E9-1),"",'Data '!F9/'Data '!E9-1)</f>
        <v>-0.3126734363261906</v>
      </c>
      <c r="F245" s="233">
        <f>IF(ISERROR('Data '!G9/'Data '!F9-1),"",'Data '!G9/'Data '!F9-1)</f>
        <v>-0.11448094338780912</v>
      </c>
      <c r="G245" s="233">
        <f>IF(ISERROR(('Data '!G9/'Data '!B9)^(1/5)-1),"",('Data '!G9/'Data '!B9)^(1/5)-1)</f>
        <v>1.3878161351773555E-2</v>
      </c>
    </row>
    <row r="246" spans="1:7" ht="12.75" customHeight="1">
      <c r="A246" s="187" t="str">
        <f>'Data '!A10</f>
        <v>Short-term investments</v>
      </c>
      <c r="B246" s="233" t="str">
        <f>IF(ISERROR('Data '!C10/'Data '!B10-1),"",'Data '!C10/'Data '!B10-1)</f>
        <v/>
      </c>
      <c r="C246" s="233" t="str">
        <f>IF(ISERROR('Data '!D10/'Data '!C10-1),"",'Data '!D10/'Data '!C10-1)</f>
        <v/>
      </c>
      <c r="D246" s="233" t="str">
        <f>IF(ISERROR('Data '!E10/'Data '!D10-1),"",'Data '!E10/'Data '!D10-1)</f>
        <v/>
      </c>
      <c r="E246" s="233" t="str">
        <f>IF(ISERROR('Data '!F10/'Data '!E10-1),"",'Data '!F10/'Data '!E10-1)</f>
        <v/>
      </c>
      <c r="F246" s="233" t="str">
        <f>IF(ISERROR('Data '!G10/'Data '!F10-1),"",'Data '!G10/'Data '!F10-1)</f>
        <v/>
      </c>
      <c r="G246" s="233" t="str">
        <f>IF(ISERROR(('Data '!G10/'Data '!B10)^(1/5)-1),"",('Data '!G10/'Data '!B10)^(1/5)-1)</f>
        <v/>
      </c>
    </row>
    <row r="247" spans="1:7" ht="12.75" customHeight="1">
      <c r="A247" s="187" t="str">
        <f>'Data '!A11</f>
        <v>Accounts and notes receivable - net</v>
      </c>
      <c r="B247" s="233">
        <f>IF(ISERROR('Data '!C11/'Data '!B11-1),"",'Data '!C11/'Data '!B11-1)</f>
        <v>-0.22617219874729966</v>
      </c>
      <c r="C247" s="233">
        <f>IF(ISERROR('Data '!D11/'Data '!C11-1),"",'Data '!D11/'Data '!C11-1)</f>
        <v>-1.0877103652915943E-2</v>
      </c>
      <c r="D247" s="233">
        <f>IF(ISERROR('Data '!E11/'Data '!D11-1),"",'Data '!E11/'Data '!D11-1)</f>
        <v>-0.16135617289429305</v>
      </c>
      <c r="E247" s="233">
        <f>IF(ISERROR('Data '!F11/'Data '!E11-1),"",'Data '!F11/'Data '!E11-1)</f>
        <v>0.13050058207217696</v>
      </c>
      <c r="F247" s="233">
        <f>IF(ISERROR('Data '!G11/'Data '!F11-1),"",'Data '!G11/'Data '!F11-1)</f>
        <v>-0.20820812387077448</v>
      </c>
      <c r="G247" s="233">
        <f>IF(ISERROR(('Data '!G11/'Data '!B11)^(1/5)-1),"",('Data '!G11/'Data '!B11)^(1/5)-1)</f>
        <v>-0.10490157279465973</v>
      </c>
    </row>
    <row r="248" spans="1:7" ht="12.75" customHeight="1">
      <c r="A248" s="187" t="str">
        <f>'Data '!A12</f>
        <v>Inventories</v>
      </c>
      <c r="B248" s="233">
        <f>IF(ISERROR('Data '!C12/'Data '!B12-1),"",'Data '!C12/'Data '!B12-1)</f>
        <v>-0.12295555424343629</v>
      </c>
      <c r="C248" s="233">
        <f>IF(ISERROR('Data '!D12/'Data '!C12-1),"",'Data '!D12/'Data '!C12-1)</f>
        <v>-0.19632005994684398</v>
      </c>
      <c r="D248" s="233">
        <f>IF(ISERROR('Data '!E12/'Data '!D12-1),"",'Data '!E12/'Data '!D12-1)</f>
        <v>2.7570784437984663E-3</v>
      </c>
      <c r="E248" s="233">
        <f>IF(ISERROR('Data '!F12/'Data '!E12-1),"",'Data '!F12/'Data '!E12-1)</f>
        <v>8.3618150317990247E-2</v>
      </c>
      <c r="F248" s="233">
        <f>IF(ISERROR('Data '!G12/'Data '!F12-1),"",'Data '!G12/'Data '!F12-1)</f>
        <v>3.1986458630109516E-2</v>
      </c>
      <c r="G248" s="233">
        <f>IF(ISERROR(('Data '!G12/'Data '!B12)^(1/5)-1),"",('Data '!G12/'Data '!B12)^(1/5)-1)</f>
        <v>-4.5952171578196199E-2</v>
      </c>
    </row>
    <row r="249" spans="1:7" ht="12.75" customHeight="1">
      <c r="A249" s="187" t="str">
        <f>'Data '!A13</f>
        <v>Prepaid expenses and other current assets</v>
      </c>
      <c r="B249" s="233">
        <f>IF(ISERROR('Data '!C13/'Data '!B13-1),"",'Data '!C13/'Data '!B13-1)</f>
        <v>8.9872650090964123E-2</v>
      </c>
      <c r="C249" s="233">
        <f>IF(ISERROR('Data '!D13/'Data '!C13-1),"",'Data '!D13/'Data '!C13-1)</f>
        <v>-9.2866681504562676E-2</v>
      </c>
      <c r="D249" s="233">
        <f>IF(ISERROR('Data '!E13/'Data '!D13-1),"",'Data '!E13/'Data '!D13-1)</f>
        <v>0.27114641477028778</v>
      </c>
      <c r="E249" s="233">
        <f>IF(ISERROR('Data '!F13/'Data '!E13-1),"",'Data '!F13/'Data '!E13-1)</f>
        <v>-9.0115086737278971E-2</v>
      </c>
      <c r="F249" s="233">
        <f>IF(ISERROR('Data '!G13/'Data '!F13-1),"",'Data '!G13/'Data '!F13-1)</f>
        <v>0.22043381417055574</v>
      </c>
      <c r="G249" s="233">
        <f>IF(ISERROR(('Data '!G13/'Data '!B13)^(1/5)-1),"",('Data '!G13/'Data '!B13)^(1/5)-1)</f>
        <v>6.8928432797239481E-2</v>
      </c>
    </row>
    <row r="250" spans="1:7" ht="12.75" customHeight="1">
      <c r="A250" s="187" t="str">
        <f>'Data '!A14</f>
        <v>Other current assets (1)</v>
      </c>
      <c r="B250" s="233">
        <f>IF(ISERROR('Data '!C14/'Data '!B14-1),"",'Data '!C14/'Data '!B14-1)</f>
        <v>-0.16955965649552351</v>
      </c>
      <c r="C250" s="233">
        <f>IF(ISERROR('Data '!D14/'Data '!C14-1),"",'Data '!D14/'Data '!C14-1)</f>
        <v>0.14939493949394933</v>
      </c>
      <c r="D250" s="233">
        <f>IF(ISERROR('Data '!E14/'Data '!D14-1),"",'Data '!E14/'Data '!D14-1)</f>
        <v>9.1692189892802478E-2</v>
      </c>
      <c r="E250" s="233">
        <f>IF(ISERROR('Data '!F14/'Data '!E14-1),"",'Data '!F14/'Data '!E14-1)</f>
        <v>5.4548483254427493</v>
      </c>
      <c r="F250" s="233">
        <f>IF(ISERROR('Data '!G14/'Data '!F14-1),"",'Data '!G14/'Data '!F14-1)</f>
        <v>0.37783874823427133</v>
      </c>
      <c r="G250" s="233">
        <f>IF(ISERROR(('Data '!G14/'Data '!B14)^(1/5)-1),"",('Data '!G14/'Data '!B14)^(1/5)-1)</f>
        <v>0.56096250716424767</v>
      </c>
    </row>
    <row r="251" spans="1:7" ht="12.75" customHeight="1">
      <c r="A251" s="187" t="str">
        <f>'Data '!A15</f>
        <v>Other current assets (2)</v>
      </c>
      <c r="B251" s="233">
        <f>IF(ISERROR('Data '!C15/'Data '!B15-1),"",'Data '!C15/'Data '!B15-1)</f>
        <v>-0.20555030586362955</v>
      </c>
      <c r="C251" s="233">
        <f>IF(ISERROR('Data '!D15/'Data '!C15-1),"",'Data '!D15/'Data '!C15-1)</f>
        <v>0.72229873544509826</v>
      </c>
      <c r="D251" s="233">
        <f>IF(ISERROR('Data '!E15/'Data '!D15-1),"",'Data '!E15/'Data '!D15-1)</f>
        <v>0.11155132305902882</v>
      </c>
      <c r="E251" s="233">
        <f>IF(ISERROR('Data '!F15/'Data '!E15-1),"",'Data '!F15/'Data '!E15-1)</f>
        <v>0.11261894640463033</v>
      </c>
      <c r="F251" s="233">
        <f>IF(ISERROR('Data '!G15/'Data '!F15-1),"",'Data '!G15/'Data '!F15-1)</f>
        <v>-0.24108743570903746</v>
      </c>
      <c r="G251" s="233">
        <f>IF(ISERROR(('Data '!G15/'Data '!B15)^(1/5)-1),"",('Data '!G15/'Data '!B15)^(1/5)-1)</f>
        <v>5.1304491291615406E-2</v>
      </c>
    </row>
    <row r="252" spans="1:7" ht="12.75" customHeight="1">
      <c r="A252" s="187" t="str">
        <f>'Data '!A16</f>
        <v>Other current assets (3)</v>
      </c>
      <c r="B252" s="233">
        <f>IF(ISERROR('Data '!C16/'Data '!B16-1),"",'Data '!C16/'Data '!B16-1)</f>
        <v>4.6039603960396036</v>
      </c>
      <c r="C252" s="233">
        <f>IF(ISERROR('Data '!D16/'Data '!C16-1),"",'Data '!D16/'Data '!C16-1)</f>
        <v>5.3003533568904526E-2</v>
      </c>
      <c r="D252" s="233">
        <f>IF(ISERROR('Data '!E16/'Data '!D16-1),"",'Data '!E16/'Data '!D16-1)</f>
        <v>16.206375838926174</v>
      </c>
      <c r="E252" s="233">
        <f>IF(ISERROR('Data '!F16/'Data '!E16-1),"",'Data '!F16/'Data '!E16-1)</f>
        <v>-0.40448561677230621</v>
      </c>
      <c r="F252" s="233">
        <f>IF(ISERROR('Data '!G16/'Data '!F16-1),"",'Data '!G16/'Data '!F16-1)</f>
        <v>-2.1123301129850947E-2</v>
      </c>
      <c r="G252" s="233">
        <f>IF(ISERROR(('Data '!G16/'Data '!B16)^(1/5)-1),"",('Data '!G16/'Data '!B16)^(1/5)-1)</f>
        <v>1.2617620218592767</v>
      </c>
    </row>
    <row r="253" spans="1:7" ht="12.75" customHeight="1">
      <c r="A253" s="210" t="str">
        <f>'Data '!A17</f>
        <v xml:space="preserve">  Current Assets</v>
      </c>
      <c r="B253" s="235">
        <f>IF(ISERROR('Data '!C17/'Data '!B17-1),"",'Data '!C17/'Data '!B17-1)</f>
        <v>2.7794151097066733E-2</v>
      </c>
      <c r="C253" s="235">
        <f>IF(ISERROR('Data '!D17/'Data '!C17-1),"",'Data '!D17/'Data '!C17-1)</f>
        <v>0.14815326002374918</v>
      </c>
      <c r="D253" s="235">
        <f>IF(ISERROR('Data '!E17/'Data '!D17-1),"",'Data '!E17/'Data '!D17-1)</f>
        <v>-0.12002134781392171</v>
      </c>
      <c r="E253" s="235">
        <f>IF(ISERROR('Data '!F17/'Data '!E17-1),"",'Data '!F17/'Data '!E17-1)</f>
        <v>-7.1062576473262196E-2</v>
      </c>
      <c r="F253" s="235">
        <f>IF(ISERROR('Data '!G17/'Data '!F17-1),"",'Data '!G17/'Data '!F17-1)</f>
        <v>-3.7527414713302343E-2</v>
      </c>
      <c r="G253" s="235">
        <f>IF(ISERROR(('Data '!G17/'Data '!B17)^(1/5)-1),"",('Data '!G17/'Data '!B17)^(1/5)-1)</f>
        <v>-1.4740584508305066E-2</v>
      </c>
    </row>
    <row r="254" spans="1:7" ht="12.75" customHeight="1">
      <c r="A254" s="236" t="str">
        <f>'Data '!A18</f>
        <v>Long-term investments</v>
      </c>
      <c r="B254" s="233">
        <f>IF(ISERROR('Data '!C18/'Data '!B18-1),"",'Data '!C18/'Data '!B18-1)</f>
        <v>-8.0583269378357691E-2</v>
      </c>
      <c r="C254" s="233">
        <f>IF(ISERROR('Data '!D18/'Data '!C18-1),"",'Data '!D18/'Data '!C18-1)</f>
        <v>5.4578143058945372E-3</v>
      </c>
      <c r="D254" s="233">
        <f>IF(ISERROR('Data '!E18/'Data '!D18-1),"",'Data '!E18/'Data '!D18-1)</f>
        <v>-5.6836324158631157E-3</v>
      </c>
      <c r="E254" s="233">
        <f>IF(ISERROR('Data '!F18/'Data '!E18-1),"",'Data '!F18/'Data '!E18-1)</f>
        <v>1.4254335260115605</v>
      </c>
      <c r="F254" s="233">
        <f>IF(ISERROR('Data '!G18/'Data '!F18-1),"",'Data '!G18/'Data '!F18-1)</f>
        <v>-0.14307276771528443</v>
      </c>
      <c r="G254" s="233">
        <f>IF(ISERROR(('Data '!G18/'Data '!B18)^(1/5)-1),"",('Data '!G18/'Data '!B19)^(1/5)-1)</f>
        <v>-3.7082608660897853E-2</v>
      </c>
    </row>
    <row r="255" spans="1:7" ht="12.75" customHeight="1">
      <c r="A255" s="236" t="str">
        <f>'Data '!A19</f>
        <v xml:space="preserve">Equity and cost investments </v>
      </c>
      <c r="B255" s="233">
        <f>IF(ISERROR('Data '!C19/'Data '!B19-1),"",'Data '!C19/'Data '!B19-1)</f>
        <v>-0.18589956767542404</v>
      </c>
      <c r="C255" s="233">
        <f>IF(ISERROR('Data '!D19/'Data '!C19-1),"",'Data '!D19/'Data '!C19-1)</f>
        <v>-5.0307943690296675E-2</v>
      </c>
      <c r="D255" s="233">
        <f>IF(ISERROR('Data '!E19/'Data '!D19-1),"",'Data '!E19/'Data '!D19-1)</f>
        <v>-8.1924362240677673E-2</v>
      </c>
      <c r="E255" s="233">
        <f>IF(ISERROR('Data '!F19/'Data '!E19-1),"",'Data '!F19/'Data '!E19-1)</f>
        <v>2.7138068980430363E-2</v>
      </c>
      <c r="F255" s="233">
        <f>IF(ISERROR('Data '!G19/'Data '!F19-1),"",'Data '!G19/'Data '!F19-1)</f>
        <v>-0.21091228070175438</v>
      </c>
      <c r="G255" s="233">
        <f>IF(ISERROR(('Data '!G19/'Data '!B19)^(1/5)-1),"",('Data '!G19/'Data '!B20)^(1/5)-1)</f>
        <v>-0.38314774175031019</v>
      </c>
    </row>
    <row r="256" spans="1:7" ht="12.75" customHeight="1">
      <c r="A256" s="236" t="str">
        <f>'Data '!A20</f>
        <v>Property, plant, and equipment - at cost</v>
      </c>
      <c r="B256" s="233">
        <f>IF(ISERROR('Data '!C20/'Data '!B20-1),"",'Data '!C20/'Data '!B20-1)</f>
        <v>-0.27276662496773296</v>
      </c>
      <c r="C256" s="233">
        <f>IF(ISERROR('Data '!D20/'Data '!C20-1),"",'Data '!D20/'Data '!C20-1)</f>
        <v>0.8365725394684389</v>
      </c>
      <c r="D256" s="233">
        <f>IF(ISERROR('Data '!E20/'Data '!D20-1),"",'Data '!E20/'Data '!D20-1)</f>
        <v>1.6160444821075481E-2</v>
      </c>
      <c r="E256" s="233">
        <f>IF(ISERROR('Data '!F20/'Data '!E20-1),"",'Data '!F20/'Data '!E20-1)</f>
        <v>0.17044623262618863</v>
      </c>
      <c r="F256" s="233">
        <f>IF(ISERROR('Data '!G20/'Data '!F20-1),"",'Data '!G20/'Data '!F20-1)</f>
        <v>5.0000000000000044E-2</v>
      </c>
      <c r="G256" s="233">
        <f>IF(ISERROR(('Data '!G20/'Data '!B20)^(1/5)-1),"",('Data '!G20/'Data '!B20)^(1/5)-1)</f>
        <v>0.10773783195319497</v>
      </c>
    </row>
    <row r="257" spans="1:7" ht="12.75" customHeight="1">
      <c r="A257" s="236" t="str">
        <f>'Data '!A21</f>
        <v>&lt;Accumulated depreciation&gt;</v>
      </c>
      <c r="B257" s="233" t="str">
        <f>IF(ISERROR('Data '!C21/'Data '!B21-1),"",'Data '!C21/'Data '!B21-1)</f>
        <v/>
      </c>
      <c r="C257" s="233" t="str">
        <f>IF(ISERROR('Data '!D21/'Data '!C21-1),"",'Data '!D21/'Data '!C21-1)</f>
        <v/>
      </c>
      <c r="D257" s="233">
        <f>IF(ISERROR('Data '!E21/'Data '!D21-1),"",'Data '!E21/'Data '!D21-1)</f>
        <v>4.8507637443881979E-3</v>
      </c>
      <c r="E257" s="233">
        <f>IF(ISERROR('Data '!F21/'Data '!E21-1),"",'Data '!F21/'Data '!E21-1)</f>
        <v>0.17618153489672816</v>
      </c>
      <c r="F257" s="233">
        <f>IF(ISERROR('Data '!G21/'Data '!F21-1),"",'Data '!G21/'Data '!F21-1)</f>
        <v>0.17749623540867043</v>
      </c>
      <c r="G257" s="233" t="str">
        <f>IF(ISERROR(('Data '!G21/'Data '!B21)^(1/5)-1),"",('Data '!G21/'Data '!B22)^(1/5)-1)</f>
        <v/>
      </c>
    </row>
    <row r="258" spans="1:7" ht="12.75" customHeight="1">
      <c r="A258" s="236" t="str">
        <f>'Data '!A22</f>
        <v>Deferred income taxes - noncurrent</v>
      </c>
      <c r="B258" s="233">
        <f>IF(ISERROR('Data '!C22/'Data '!B22-1),"",'Data '!C22/'Data '!B22-1)</f>
        <v>0.23693350975851812</v>
      </c>
      <c r="C258" s="233">
        <f>IF(ISERROR('Data '!D22/'Data '!C22-1),"",'Data '!D22/'Data '!C22-1)</f>
        <v>-0.11857324329745267</v>
      </c>
      <c r="D258" s="233">
        <f>IF(ISERROR('Data '!E22/'Data '!D22-1),"",'Data '!E22/'Data '!D22-1)</f>
        <v>3.4342170136913541E-2</v>
      </c>
      <c r="E258" s="233">
        <f>IF(ISERROR('Data '!F22/'Data '!E22-1),"",'Data '!F22/'Data '!E22-1)</f>
        <v>0.12154184618205144</v>
      </c>
      <c r="F258" s="233">
        <f>IF(ISERROR('Data '!G22/'Data '!F22-1),"",'Data '!G22/'Data '!F22-1)</f>
        <v>0.18629494315441897</v>
      </c>
      <c r="G258" s="233">
        <f>IF(ISERROR(('Data '!G22/'Data '!B22)^(1/5)-1),"",('Data '!G22/'Data '!B23)^(1/5)-1)</f>
        <v>-0.27171220357377179</v>
      </c>
    </row>
    <row r="259" spans="1:7" ht="12.75" customHeight="1">
      <c r="A259" s="236" t="str">
        <f>'Data '!A23</f>
        <v>Other assets</v>
      </c>
      <c r="B259" s="233">
        <f>IF(ISERROR('Data '!C23/'Data '!B23-1),"",'Data '!C23/'Data '!B23-1)</f>
        <v>-0.32571756877127156</v>
      </c>
      <c r="C259" s="233">
        <f>IF(ISERROR('Data '!D23/'Data '!C23-1),"",'Data '!D23/'Data '!C23-1)</f>
        <v>5.8866015856433807E-2</v>
      </c>
      <c r="D259" s="233">
        <f>IF(ISERROR('Data '!E23/'Data '!D23-1),"",'Data '!E23/'Data '!D23-1)</f>
        <v>-3.9928506323908319E-2</v>
      </c>
      <c r="E259" s="233">
        <f>IF(ISERROR('Data '!F23/'Data '!E23-1),"",'Data '!F23/'Data '!E23-1)</f>
        <v>0.3165137236811757</v>
      </c>
      <c r="F259" s="233">
        <f>IF(ISERROR('Data '!G23/'Data '!F23-1),"",'Data '!G23/'Data '!F23-1)</f>
        <v>-0.16297760911528314</v>
      </c>
      <c r="G259" s="233">
        <f>IF(ISERROR(('Data '!G23/'Data '!B23)^(1/5)-1),"",('Data '!G23/'Data '!B24)^(1/5)-1)</f>
        <v>0.65974086459582981</v>
      </c>
    </row>
    <row r="260" spans="1:7" ht="12.75" customHeight="1">
      <c r="A260" s="236" t="str">
        <f>'Data '!A24</f>
        <v>Other intangible assets</v>
      </c>
      <c r="B260" s="233">
        <f>IF(ISERROR('Data '!C24/'Data '!B24-1),"",'Data '!C24/'Data '!B24-1)</f>
        <v>-8.4573015723566569E-2</v>
      </c>
      <c r="C260" s="233">
        <f>IF(ISERROR('Data '!D24/'Data '!C24-1),"",'Data '!D24/'Data '!C24-1)</f>
        <v>-0.1405980818184156</v>
      </c>
      <c r="D260" s="233">
        <f>IF(ISERROR('Data '!E24/'Data '!D24-1),"",'Data '!E24/'Data '!D24-1)</f>
        <v>4.4280884420907718E-2</v>
      </c>
      <c r="E260" s="233">
        <f>IF(ISERROR('Data '!F24/'Data '!E24-1),"",'Data '!F24/'Data '!E24-1)</f>
        <v>5.6413488811849932E-2</v>
      </c>
      <c r="F260" s="233">
        <f>IF(ISERROR('Data '!G24/'Data '!F24-1),"",'Data '!G24/'Data '!F24-1)</f>
        <v>-0.13560425254935993</v>
      </c>
      <c r="G260" s="233">
        <f>IF(ISERROR(('Data '!G24/'Data '!B24)^(1/5)-1),"",('Data '!G24/'Data '!B24)^(1/5)-1)</f>
        <v>-5.5859161474355656E-2</v>
      </c>
    </row>
    <row r="261" spans="1:7" ht="12.75" customHeight="1">
      <c r="A261" s="236" t="str">
        <f>'Data '!A25</f>
        <v xml:space="preserve">Goodwill </v>
      </c>
      <c r="B261" s="233" t="str">
        <f>IF(ISERROR('Data '!C25/'Data '!B25-1),"",'Data '!C25/'Data '!B25-1)</f>
        <v/>
      </c>
      <c r="C261" s="233">
        <f>IF(ISERROR('Data '!D25/'Data '!C25-1),"",'Data '!D25/'Data '!C25-1)</f>
        <v>0</v>
      </c>
      <c r="D261" s="233">
        <f>IF(ISERROR('Data '!E25/'Data '!D25-1),"",'Data '!E25/'Data '!D25-1)</f>
        <v>0</v>
      </c>
      <c r="E261" s="233">
        <f>IF(ISERROR('Data '!F25/'Data '!E25-1),"",'Data '!F25/'Data '!E25-1)</f>
        <v>0</v>
      </c>
      <c r="F261" s="233">
        <f>IF(ISERROR('Data '!G25/'Data '!F25-1),"",'Data '!G25/'Data '!F25-1)</f>
        <v>0</v>
      </c>
      <c r="G261" s="233" t="str">
        <f>IF(ISERROR(('Data '!G25/'Data '!B25)^(1/5)-1),"",('Data '!G25/'Data '!B26)^(1/5)-1)</f>
        <v/>
      </c>
    </row>
    <row r="262" spans="1:7" ht="12.75" customHeight="1">
      <c r="A262" s="246" t="str">
        <f>'Data '!A26</f>
        <v xml:space="preserve">   Total Assets</v>
      </c>
      <c r="B262" s="235">
        <f>IF(ISERROR('Data '!C26/'Data '!B26-1),"",'Data '!C26/'Data '!B26-1)</f>
        <v>-0.13142237403582036</v>
      </c>
      <c r="C262" s="235">
        <f>IF(ISERROR('Data '!D26/'Data '!C26-1),"",'Data '!D26/'Data '!C26-1)</f>
        <v>7.8883339362608274E-2</v>
      </c>
      <c r="D262" s="235">
        <f>IF(ISERROR('Data '!E26/'Data '!D26-1),"",'Data '!E26/'Data '!D26-1)</f>
        <v>-6.9638274686258606E-2</v>
      </c>
      <c r="E262" s="235">
        <f>IF(ISERROR('Data '!F26/'Data '!E26-1),"",'Data '!F26/'Data '!E26-1)</f>
        <v>9.4935156281789723E-2</v>
      </c>
      <c r="F262" s="235">
        <f>IF(ISERROR('Data '!G26/'Data '!F26-1),"",'Data '!G26/'Data '!F26-1)</f>
        <v>-7.3669865141648527E-2</v>
      </c>
      <c r="G262" s="235">
        <f>IF(ISERROR(('Data '!G26/'Data '!B26)^(1/5)-1),"",('Data '!G26/'Data '!B26)^(1/5)-1)</f>
        <v>-2.429657258243656E-2</v>
      </c>
    </row>
    <row r="263" spans="1:7" ht="12.75" customHeight="1"/>
    <row r="264" spans="1:7" ht="12.75" customHeight="1">
      <c r="A264" s="210" t="str">
        <f>'Data '!A28</f>
        <v>Liabilities and Equities:</v>
      </c>
      <c r="B264" s="247" t="str">
        <f>IF(ISERROR('Data '!C28/'Data '!B28-1),"",'Data '!C28/'Data '!B28-1)</f>
        <v/>
      </c>
      <c r="C264" s="247" t="str">
        <f>IF(ISERROR('Data '!D28/'Data '!C28-1),"",'Data '!D28/'Data '!C28-1)</f>
        <v/>
      </c>
      <c r="D264" s="247" t="str">
        <f>IF(ISERROR('Data '!E28/'Data '!D28-1),"",'Data '!E28/'Data '!D28-1)</f>
        <v/>
      </c>
      <c r="E264" s="247" t="str">
        <f>IF(ISERROR('Data '!F28/'Data '!E28-1),"",'Data '!F28/'Data '!E28-1)</f>
        <v/>
      </c>
      <c r="F264" s="247" t="str">
        <f>IF(ISERROR('Data '!G28/'Data '!F28-1),"",'Data '!G28/'Data '!F28-1)</f>
        <v/>
      </c>
      <c r="G264" s="247" t="str">
        <f>IF(ISERROR(('Data '!G28/'Data '!B28)^(1/5)-1),"",('Data '!G28/'Data '!B28)^(1/5)-1)</f>
        <v/>
      </c>
    </row>
    <row r="265" spans="1:7" ht="12.75" customHeight="1">
      <c r="A265" s="248" t="str">
        <f>'Data '!A29</f>
        <v>Provisions for risks and charges</v>
      </c>
      <c r="B265" s="233">
        <f>IF(ISERROR('Data '!C29/'Data '!B29-1),"",'Data '!C29/'Data '!B29-1)</f>
        <v>-0.31435048810158139</v>
      </c>
      <c r="C265" s="233">
        <f>IF(ISERROR('Data '!D29/'Data '!C29-1),"",'Data '!D29/'Data '!C29-1)</f>
        <v>0.34745855908034518</v>
      </c>
      <c r="D265" s="233">
        <f>IF(ISERROR('Data '!E29/'Data '!D29-1),"",'Data '!E29/'Data '!D29-1)</f>
        <v>-5.3190563245407829E-2</v>
      </c>
      <c r="E265" s="233">
        <f>IF(ISERROR('Data '!F29/'Data '!E29-1),"",'Data '!F29/'Data '!E29-1)</f>
        <v>-0.86249540272158876</v>
      </c>
      <c r="F265" s="233">
        <f>IF(ISERROR('Data '!G29/'Data '!F29-1),"",'Data '!G29/'Data '!F29-1)</f>
        <v>-5.9093948512203287E-2</v>
      </c>
      <c r="G265" s="233">
        <f>IF(ISERROR(('Data '!G29/'Data '!B29)^(1/5)-1),"",('Data '!G29/'Data '!B29)^(1/5)-1)</f>
        <v>-0.35323169463466475</v>
      </c>
    </row>
    <row r="266" spans="1:7" ht="12.75" customHeight="1">
      <c r="A266" s="248" t="str">
        <f>'Data '!A30</f>
        <v>Employee benefit liabilities</v>
      </c>
      <c r="B266" s="233">
        <f>IF(ISERROR('Data '!C30/'Data '!B30-1),"",'Data '!C30/'Data '!B30-1)</f>
        <v>4.8050458715596323E-2</v>
      </c>
      <c r="C266" s="233">
        <f>IF(ISERROR('Data '!D30/'Data '!C30-1),"",'Data '!D30/'Data '!C30-1)</f>
        <v>1.8711018711018657E-2</v>
      </c>
      <c r="D266" s="233">
        <f>IF(ISERROR('Data '!E30/'Data '!D30-1),"",'Data '!E30/'Data '!D30-1)</f>
        <v>8.4854994629430802E-2</v>
      </c>
      <c r="E266" s="233">
        <f>IF(ISERROR('Data '!F30/'Data '!E30-1),"",'Data '!F30/'Data '!E30-1)</f>
        <v>-0.31148514851485154</v>
      </c>
      <c r="F266" s="233">
        <f>IF(ISERROR('Data '!G30/'Data '!F30-1),"",'Data '!G30/'Data '!F30-1)</f>
        <v>-0.13344837503595053</v>
      </c>
      <c r="G266" s="233">
        <f>IF(ISERROR(('Data '!G30/'Data '!B30)^(1/5)-1),"",('Data '!G30/'Data '!B30)^(1/5)-1)</f>
        <v>-7.1242083758567998E-2</v>
      </c>
    </row>
    <row r="267" spans="1:7" ht="12.75" customHeight="1">
      <c r="A267" s="248" t="str">
        <f>'Data '!A31</f>
        <v>Other non-current liabilities</v>
      </c>
      <c r="B267" s="233">
        <f>IF(ISERROR('Data '!C31/'Data '!B31-1),"",'Data '!C31/'Data '!B31-1)</f>
        <v>0.17973366625052023</v>
      </c>
      <c r="C267" s="233">
        <f>IF(ISERROR('Data '!D31/'Data '!C31-1),"",'Data '!D31/'Data '!C31-1)</f>
        <v>0.33345091537620375</v>
      </c>
      <c r="D267" s="233">
        <f>IF(ISERROR('Data '!E31/'Data '!D31-1),"",'Data '!E31/'Data '!D31-1)</f>
        <v>-0.61293053277604359</v>
      </c>
      <c r="E267" s="233">
        <f>IF(ISERROR('Data '!F31/'Data '!E31-1),"",'Data '!F31/'Data '!E31-1)</f>
        <v>-0.44563285948605791</v>
      </c>
      <c r="F267" s="233">
        <f>IF(ISERROR('Data '!G31/'Data '!F31-1),"",'Data '!G31/'Data '!F31-1)</f>
        <v>-9.246132034765453E-2</v>
      </c>
      <c r="G267" s="233">
        <f>IF(ISERROR(('Data '!G31/'Data '!B31)^(1/5)-1),"",('Data '!G31/'Data '!B31)^(1/5)-1)</f>
        <v>-0.21069926154417418</v>
      </c>
    </row>
    <row r="268" spans="1:7" ht="12.75" customHeight="1">
      <c r="A268" s="248" t="str">
        <f>'Data '!A32</f>
        <v>Non-current lease liabilities</v>
      </c>
      <c r="B268" s="233">
        <f>IF(ISERROR('Data '!C32/'Data '!B32-1),"",'Data '!C32/'Data '!B32-1)</f>
        <v>-0.11577625531769486</v>
      </c>
      <c r="C268" s="233">
        <f>IF(ISERROR('Data '!D32/'Data '!C32-1),"",'Data '!D32/'Data '!C32-1)</f>
        <v>6.2825454791370694E-2</v>
      </c>
      <c r="D268" s="233">
        <f>IF(ISERROR('Data '!E32/'Data '!D32-1),"",'Data '!E32/'Data '!D32-1)</f>
        <v>-3.1142057230120312E-2</v>
      </c>
      <c r="E268" s="233">
        <f>IF(ISERROR('Data '!F32/'Data '!E32-1),"",'Data '!F32/'Data '!E32-1)</f>
        <v>4.5973861482746328</v>
      </c>
      <c r="F268" s="233">
        <f>IF(ISERROR('Data '!G32/'Data '!F32-1),"",'Data '!G32/'Data '!F32-1)</f>
        <v>-7.4185010802828688E-2</v>
      </c>
      <c r="G268" s="233">
        <f>IF(ISERROR(('Data '!G32/'Data '!B32)^(1/5)-1),"",('Data '!G32/'Data '!B32)^(1/5)-1)</f>
        <v>0.36382529220201665</v>
      </c>
    </row>
    <row r="269" spans="1:7" ht="12.75" customHeight="1">
      <c r="A269" s="248" t="str">
        <f>'Data '!A33</f>
        <v>Deferred tax liabilities</v>
      </c>
      <c r="B269" s="233" t="str">
        <f>IF(ISERROR('Data '!C33/'Data '!B33-1),"",'Data '!C33/'Data '!B33-1)</f>
        <v/>
      </c>
      <c r="C269" s="233" t="str">
        <f>IF(ISERROR('Data '!D33/'Data '!C33-1),"",'Data '!D33/'Data '!C33-1)</f>
        <v/>
      </c>
      <c r="D269" s="233" t="str">
        <f>IF(ISERROR('Data '!E33/'Data '!D33-1),"",'Data '!E33/'Data '!D33-1)</f>
        <v/>
      </c>
      <c r="E269" s="233" t="str">
        <f>IF(ISERROR('Data '!F33/'Data '!E33-1),"",'Data '!F33/'Data '!E33-1)</f>
        <v/>
      </c>
      <c r="F269" s="233" t="str">
        <f>IF(ISERROR('Data '!G33/'Data '!F33-1),"",'Data '!G33/'Data '!F33-1)</f>
        <v/>
      </c>
      <c r="G269" s="233" t="str">
        <f>IF(ISERROR(('Data '!G33/'Data '!B33)^(1/5)-1),"",('Data '!G33/'Data '!B33)^(1/5)-1)</f>
        <v/>
      </c>
    </row>
    <row r="270" spans="1:7" ht="12.75" customHeight="1">
      <c r="A270" s="248" t="str">
        <f>'Data '!A34</f>
        <v>Other current liabilities (1)</v>
      </c>
      <c r="B270" s="233">
        <f>IF(ISERROR('Data '!C34/'Data '!B34-1),"",'Data '!C34/'Data '!B34-1)</f>
        <v>-1.95160620588124E-2</v>
      </c>
      <c r="C270" s="233">
        <f>IF(ISERROR('Data '!D34/'Data '!C34-1),"",'Data '!D34/'Data '!C34-1)</f>
        <v>-9.3170093170092949E-3</v>
      </c>
      <c r="D270" s="233">
        <f>IF(ISERROR('Data '!E34/'Data '!D34-1),"",'Data '!E34/'Data '!D34-1)</f>
        <v>-2.0052852479403027E-2</v>
      </c>
      <c r="E270" s="233">
        <f>IF(ISERROR('Data '!F34/'Data '!E34-1),"",'Data '!F34/'Data '!E34-1)</f>
        <v>3.5383486675126905</v>
      </c>
      <c r="F270" s="233">
        <f>IF(ISERROR('Data '!G34/'Data '!F34-1),"",'Data '!G34/'Data '!F34-1)</f>
        <v>8.3564169557580836E-2</v>
      </c>
      <c r="G270" s="233">
        <f>IF(ISERROR(('Data '!G34/'Data '!B34)^(1/5)-1),"",('Data '!G34/'Data '!B34)^(1/5)-1)</f>
        <v>0.36165180922747675</v>
      </c>
    </row>
    <row r="271" spans="1:7" ht="12.75" customHeight="1">
      <c r="A271" s="248" t="str">
        <f>'Data '!A35</f>
        <v>Other current liabilities (2)</v>
      </c>
      <c r="B271" s="233">
        <f>IF(ISERROR('Data '!C35/'Data '!B35-1),"",'Data '!C35/'Data '!B35-1)</f>
        <v>-0.45943259016514171</v>
      </c>
      <c r="C271" s="233">
        <f>IF(ISERROR('Data '!D35/'Data '!C35-1),"",'Data '!D35/'Data '!C35-1)</f>
        <v>1.0069818132279815</v>
      </c>
      <c r="D271" s="233">
        <f>IF(ISERROR('Data '!E35/'Data '!D35-1),"",'Data '!E35/'Data '!D35-1)</f>
        <v>0.32082675762358082</v>
      </c>
      <c r="E271" s="233">
        <f>IF(ISERROR('Data '!F35/'Data '!E35-1),"",'Data '!F35/'Data '!E35-1)</f>
        <v>-0.37295561122888166</v>
      </c>
      <c r="F271" s="233">
        <f>IF(ISERROR('Data '!G35/'Data '!F35-1),"",'Data '!G35/'Data '!F35-1)</f>
        <v>-9.5377617506044343E-2</v>
      </c>
      <c r="G271" s="233">
        <f>IF(ISERROR(('Data '!G35/'Data '!B35)^(1/5)-1),"",('Data '!G35/'Data '!B35)^(1/5)-1)</f>
        <v>-4.0597261298122467E-2</v>
      </c>
    </row>
    <row r="272" spans="1:7" ht="12.75" customHeight="1">
      <c r="A272" s="248" t="str">
        <f>'Data '!A36</f>
        <v>Other current liabilities (3)</v>
      </c>
      <c r="B272" s="233">
        <f>IF(ISERROR('Data '!C36/'Data '!B36-1),"",'Data '!C36/'Data '!B36-1)</f>
        <v>0.49495357287040775</v>
      </c>
      <c r="C272" s="233">
        <f>IF(ISERROR('Data '!D36/'Data '!C36-1),"",'Data '!D36/'Data '!C36-1)</f>
        <v>-0.86146367809883873</v>
      </c>
      <c r="D272" s="233">
        <f>IF(ISERROR('Data '!E36/'Data '!D36-1),"",'Data '!E36/'Data '!D36-1)</f>
        <v>1.1364522417153995</v>
      </c>
      <c r="E272" s="233">
        <f>IF(ISERROR('Data '!F36/'Data '!E36-1),"",'Data '!F36/'Data '!E36-1)</f>
        <v>269.97080291970804</v>
      </c>
      <c r="F272" s="233">
        <f>IF(ISERROR('Data '!G36/'Data '!F36-1),"",'Data '!G36/'Data '!F36-1)</f>
        <v>4.8265226409503592E-2</v>
      </c>
      <c r="G272" s="233">
        <f>IF(ISERROR(('Data '!G36/'Data '!B36)^(1/5)-1),"",('Data '!G36/'Data '!B36)^(1/5)-1)</f>
        <v>1.6293938634626919</v>
      </c>
    </row>
    <row r="273" spans="1:7" ht="12.75" customHeight="1">
      <c r="A273" s="210" t="str">
        <f>'Data '!A37</f>
        <v xml:space="preserve">  Current Liabilities</v>
      </c>
      <c r="B273" s="235">
        <f>IF(ISERROR('Data '!C37/'Data '!B37-1),"",'Data '!C37/'Data '!B37-1)</f>
        <v>-0.20014208625600527</v>
      </c>
      <c r="C273" s="235">
        <f>IF(ISERROR('Data '!D37/'Data '!C37-1),"",'Data '!D37/'Data '!C37-1)</f>
        <v>0.27168954778718368</v>
      </c>
      <c r="D273" s="235">
        <f>IF(ISERROR('Data '!E37/'Data '!D37-1),"",'Data '!E37/'Data '!D37-1)</f>
        <v>-8.575056263095715E-2</v>
      </c>
      <c r="E273" s="235">
        <f>IF(ISERROR('Data '!F37/'Data '!E37-1),"",'Data '!F37/'Data '!E37-1)</f>
        <v>1.6029312942541258</v>
      </c>
      <c r="F273" s="235">
        <f>IF(ISERROR('Data '!G37/'Data '!F37-1),"",'Data '!G37/'Data '!F37-1)</f>
        <v>-2.6141890343380103E-2</v>
      </c>
      <c r="G273" s="235">
        <f>IF(ISERROR(('Data '!G37/'Data '!B37)^(1/5)-1),"",('Data '!G37/'Data '!B37)^(1/5)-1)</f>
        <v>0.18708934776852448</v>
      </c>
    </row>
    <row r="274" spans="1:7" ht="12.75" customHeight="1">
      <c r="A274" s="187" t="str">
        <f>'Data '!A38</f>
        <v xml:space="preserve">Long-term debt </v>
      </c>
      <c r="B274" s="233">
        <f>IF(ISERROR('Data '!C38/'Data '!B38-1),"",'Data '!C38/'Data '!B38-1)</f>
        <v>0</v>
      </c>
      <c r="C274" s="233">
        <f>IF(ISERROR('Data '!D38/'Data '!C38-1),"",'Data '!D38/'Data '!C38-1)</f>
        <v>-0.50877789980046706</v>
      </c>
      <c r="D274" s="233">
        <f>IF(ISERROR('Data '!E38/'Data '!D38-1),"",'Data '!E38/'Data '!D38-1)</f>
        <v>-1</v>
      </c>
      <c r="E274" s="233" t="str">
        <f>IF(ISERROR('Data '!F38/'Data '!E38-1),"",'Data '!F38/'Data '!E38-1)</f>
        <v/>
      </c>
      <c r="F274" s="233" t="str">
        <f>IF(ISERROR('Data '!G38/'Data '!F38-1),"",'Data '!G38/'Data '!F38-1)</f>
        <v/>
      </c>
      <c r="G274" s="233">
        <f>IF(ISERROR(('Data '!G38/'Data '!B38)^(1/5)-1),"",('Data '!G38/'Data '!B38)^(1/5)-1)</f>
        <v>-1</v>
      </c>
    </row>
    <row r="275" spans="1:7" ht="12.75" customHeight="1">
      <c r="A275" s="187" t="str">
        <f>'Data '!A39</f>
        <v>Long-term accrued liabilities</v>
      </c>
      <c r="B275" s="233">
        <f>IF(ISERROR('Data '!C39/'Data '!B39-1),"",'Data '!C39/'Data '!B39-1)</f>
        <v>-0.16962738727656024</v>
      </c>
      <c r="C275" s="233">
        <f>IF(ISERROR('Data '!D39/'Data '!C39-1),"",'Data '!D39/'Data '!C39-1)</f>
        <v>4.9160206718346311E-2</v>
      </c>
      <c r="D275" s="233">
        <f>IF(ISERROR('Data '!E39/'Data '!D39-1),"",'Data '!E39/'Data '!D39-1)</f>
        <v>-3.7955380415820028E-2</v>
      </c>
      <c r="E275" s="233">
        <f>IF(ISERROR('Data '!F39/'Data '!E39-1),"",'Data '!F39/'Data '!E39-1)</f>
        <v>-0.98594307682133053</v>
      </c>
      <c r="F275" s="233">
        <f>IF(ISERROR('Data '!G39/'Data '!F39-1),"",'Data '!G39/'Data '!F39-1)</f>
        <v>-0.48338139323114282</v>
      </c>
      <c r="G275" s="233">
        <f>IF(ISERROR(('Data '!G39/'Data '!B39)^(1/5)-1),"",('Data '!G39/'Data '!B39)^(1/5)-1)</f>
        <v>-0.63952589564258777</v>
      </c>
    </row>
    <row r="276" spans="1:7" ht="12.75" customHeight="1">
      <c r="A276" s="187" t="str">
        <f>'Data '!A40</f>
        <v>Deferred tax liabilities- noncurrent</v>
      </c>
      <c r="B276" s="233">
        <f>IF(ISERROR('Data '!C40/'Data '!B40-1),"",'Data '!C40/'Data '!B40-1)</f>
        <v>0.2464991023339318</v>
      </c>
      <c r="C276" s="233">
        <f>IF(ISERROR('Data '!D40/'Data '!C40-1),"",'Data '!D40/'Data '!C40-1)</f>
        <v>-0.51317874117816498</v>
      </c>
      <c r="D276" s="233">
        <f>IF(ISERROR('Data '!E40/'Data '!D40-1),"",'Data '!E40/'Data '!D40-1)</f>
        <v>0.79615384615384621</v>
      </c>
      <c r="E276" s="233">
        <f>IF(ISERROR('Data '!F40/'Data '!E40-1),"",'Data '!F40/'Data '!E40-1)</f>
        <v>0.12535002470762646</v>
      </c>
      <c r="F276" s="233">
        <f>IF(ISERROR('Data '!G40/'Data '!F40-1),"",'Data '!G40/'Data '!F40-1)</f>
        <v>-0.16832552693208436</v>
      </c>
      <c r="G276" s="233">
        <f>IF(ISERROR(('Data '!G40/'Data '!B40)^(1/5)-1),"",('Data '!G40/'Data '!B40)^(1/5)-1)</f>
        <v>3.9895831815786043E-3</v>
      </c>
    </row>
    <row r="277" spans="1:7" ht="12.75" customHeight="1">
      <c r="A277" s="187" t="str">
        <f>'Data '!A41</f>
        <v>Other noncurrent liabilities (1)</v>
      </c>
      <c r="B277" s="233">
        <f>IF(ISERROR('Data '!C41/'Data '!B41-1),"",'Data '!C41/'Data '!B41-1)</f>
        <v>4.0830557062059292E-2</v>
      </c>
      <c r="C277" s="233">
        <f>IF(ISERROR('Data '!D41/'Data '!C41-1),"",'Data '!D41/'Data '!C41-1)</f>
        <v>0.34688104808694353</v>
      </c>
      <c r="D277" s="233">
        <f>IF(ISERROR('Data '!E41/'Data '!D41-1),"",'Data '!E41/'Data '!D41-1)</f>
        <v>6.0544932021664666E-2</v>
      </c>
      <c r="E277" s="233">
        <f>IF(ISERROR('Data '!F41/'Data '!E41-1),"",'Data '!F41/'Data '!E41-1)</f>
        <v>-0.57729487480132358</v>
      </c>
      <c r="F277" s="233">
        <f>IF(ISERROR('Data '!G41/'Data '!F41-1),"",'Data '!G41/'Data '!F41-1)</f>
        <v>-9.246132034765453E-2</v>
      </c>
      <c r="G277" s="233">
        <f>IF(ISERROR(('Data '!G41/'Data '!B41)^(1/5)-1),"",('Data '!G41/'Data '!B41)^(1/5)-1)</f>
        <v>-0.10622500301093796</v>
      </c>
    </row>
    <row r="278" spans="1:7" ht="12.75" customHeight="1">
      <c r="A278" s="187" t="str">
        <f>'Data '!A42</f>
        <v>Other noncurrent liabilities (2)</v>
      </c>
      <c r="B278" s="233">
        <f>IF(ISERROR('Data '!C42/'Data '!B42-1),"",'Data '!C42/'Data '!B42-1)</f>
        <v>-2.8569027812789249E-3</v>
      </c>
      <c r="C278" s="233">
        <f>IF(ISERROR('Data '!D42/'Data '!C42-1),"",'Data '!D42/'Data '!C42-1)</f>
        <v>-0.24412235611359234</v>
      </c>
      <c r="D278" s="233">
        <f>IF(ISERROR('Data '!E42/'Data '!D42-1),"",'Data '!E42/'Data '!D42-1)</f>
        <v>-0.15484949832775918</v>
      </c>
      <c r="E278" s="233">
        <f>IF(ISERROR('Data '!F42/'Data '!E42-1),"",'Data '!F42/'Data '!E42-1)</f>
        <v>2.1563118322121091</v>
      </c>
      <c r="F278" s="233">
        <f>IF(ISERROR('Data '!G42/'Data '!F42-1),"",'Data '!G42/'Data '!F42-1)</f>
        <v>-5.9093948512203287E-2</v>
      </c>
      <c r="G278" s="233">
        <f>IF(ISERROR(('Data '!G42/'Data '!B42)^(1/5)-1),"",('Data '!G42/'Data '!B42)^(1/5)-1)</f>
        <v>0.13598825523787572</v>
      </c>
    </row>
    <row r="279" spans="1:7" ht="12.75" customHeight="1">
      <c r="A279" s="210" t="str">
        <f>'Data '!A43</f>
        <v xml:space="preserve">  Total Liabilities</v>
      </c>
      <c r="B279" s="235">
        <f>IF(ISERROR('Data '!C43/'Data '!B43-1),"",'Data '!C43/'Data '!B43-1)</f>
        <v>-0.15468362635373745</v>
      </c>
      <c r="C279" s="235">
        <f>IF(ISERROR('Data '!D43/'Data '!C43-1),"",'Data '!D43/'Data '!C43-1)</f>
        <v>5.8767292991981357E-2</v>
      </c>
      <c r="D279" s="235">
        <f>IF(ISERROR('Data '!E43/'Data '!D43-1),"",'Data '!E43/'Data '!D43-1)</f>
        <v>-0.11126567943595411</v>
      </c>
      <c r="E279" s="235">
        <f>IF(ISERROR('Data '!F43/'Data '!E43-1),"",'Data '!F43/'Data '!E43-1)</f>
        <v>0.22503151190467374</v>
      </c>
      <c r="F279" s="235">
        <f>IF(ISERROR('Data '!G43/'Data '!F43-1),"",'Data '!G43/'Data '!F43-1)</f>
        <v>-3.1194573865084396E-2</v>
      </c>
      <c r="G279" s="235">
        <f>IF(ISERROR(('Data '!G43/'Data '!B43)^(1/5)-1),"",('Data '!G43/'Data '!B43)^(1/5)-1)</f>
        <v>-1.1458025669441319E-2</v>
      </c>
    </row>
    <row r="280" spans="1:7" ht="12.75" customHeight="1">
      <c r="A280" s="199"/>
      <c r="B280" s="239"/>
      <c r="C280" s="239"/>
      <c r="D280" s="239"/>
      <c r="E280" s="239"/>
      <c r="F280" s="239"/>
      <c r="G280" s="239"/>
    </row>
    <row r="281" spans="1:7" ht="12.75" customHeight="1">
      <c r="A281" s="187" t="str">
        <f>'Data '!A45</f>
        <v>Preferred stock</v>
      </c>
      <c r="B281" s="233" t="str">
        <f>IF(ISERROR('Data '!C45/'Data '!B45-1),"",'Data '!C45/'Data '!B45-1)</f>
        <v/>
      </c>
      <c r="C281" s="233" t="str">
        <f>IF(ISERROR('Data '!D45/'Data '!C45-1),"",'Data '!D45/'Data '!C45-1)</f>
        <v/>
      </c>
      <c r="D281" s="233" t="str">
        <f>IF(ISERROR('Data '!E45/'Data '!D45-1),"",'Data '!E45/'Data '!D45-1)</f>
        <v/>
      </c>
      <c r="E281" s="233" t="str">
        <f>IF(ISERROR('Data '!F45/'Data '!E45-1),"",'Data '!F45/'Data '!E45-1)</f>
        <v/>
      </c>
      <c r="F281" s="233" t="str">
        <f>IF(ISERROR('Data '!G45/'Data '!F45-1),"",'Data '!G45/'Data '!F45-1)</f>
        <v/>
      </c>
      <c r="G281" s="233" t="str">
        <f>IF(ISERROR(('Data '!G45/'Data '!B45)^(1/5)-1),"",('Data '!G45/'Data '!B45)^(1/5)-1)</f>
        <v/>
      </c>
    </row>
    <row r="282" spans="1:7" ht="12.75" customHeight="1">
      <c r="A282" s="187" t="str">
        <f>'Data '!A46</f>
        <v>Common stock + Additional paid in capital</v>
      </c>
      <c r="B282" s="233">
        <f>IF(ISERROR('Data '!C46/'Data '!B46-1),"",'Data '!C46/'Data '!B46-1)</f>
        <v>0</v>
      </c>
      <c r="C282" s="233">
        <f>IF(ISERROR('Data '!D46/'Data '!C46-1),"",'Data '!D46/'Data '!C46-1)</f>
        <v>0</v>
      </c>
      <c r="D282" s="233">
        <f>IF(ISERROR('Data '!E46/'Data '!D46-1),"",'Data '!E46/'Data '!D46-1)</f>
        <v>0</v>
      </c>
      <c r="E282" s="233">
        <f>IF(ISERROR('Data '!F46/'Data '!E46-1),"",'Data '!F46/'Data '!E46-1)</f>
        <v>0</v>
      </c>
      <c r="F282" s="233">
        <f>IF(ISERROR('Data '!G46/'Data '!F46-1),"",'Data '!G46/'Data '!F46-1)</f>
        <v>0</v>
      </c>
      <c r="G282" s="233">
        <f>IF(ISERROR(('Data '!G46/'Data '!B46)^(1/5)-1),"",('Data '!G46/'Data '!B46)^(1/5)-1)</f>
        <v>0</v>
      </c>
    </row>
    <row r="283" spans="1:7" ht="12.75" customHeight="1">
      <c r="A283" s="248" t="str">
        <f>'Data '!A47</f>
        <v>Retained earnings &lt;deficit&gt;</v>
      </c>
      <c r="B283" s="233">
        <f>IF(ISERROR('Data '!C47/'Data '!B47-1),"",'Data '!C47/'Data '!B47-1)</f>
        <v>0.12678491008920578</v>
      </c>
      <c r="C283" s="233">
        <f>IF(ISERROR('Data '!D47/'Data '!C47-1),"",'Data '!D47/'Data '!C47-1)</f>
        <v>-0.10000403714170369</v>
      </c>
      <c r="D283" s="233">
        <f>IF(ISERROR('Data '!E47/'Data '!D47-1),"",'Data '!E47/'Data '!D47-1)</f>
        <v>-5.1810217602913378E-3</v>
      </c>
      <c r="E283" s="233">
        <f>IF(ISERROR('Data '!F47/'Data '!E47-1),"",'Data '!F47/'Data '!E47-1)</f>
        <v>5.8565626869395482E-2</v>
      </c>
      <c r="F283" s="233">
        <f>IF(ISERROR('Data '!G47/'Data '!F47-1),"",'Data '!G47/'Data '!F47-1)</f>
        <v>-0.14493381249405424</v>
      </c>
      <c r="G283" s="233">
        <f>IF(ISERROR(('Data '!G47/'Data '!B47)^(1/5)-1),"",('Data '!G47/'Data '!B47)^(1/5)-1)</f>
        <v>-1.800645449551197E-2</v>
      </c>
    </row>
    <row r="284" spans="1:7" ht="12.75" customHeight="1">
      <c r="A284" s="187" t="str">
        <f>'Data '!A48</f>
        <v>Accum. other comprehensive income &lt;loss&gt;</v>
      </c>
      <c r="B284" s="233">
        <f>IF(ISERROR('Data '!C48/'Data '!B48-1),"",'Data '!C48/'Data '!B48-1)</f>
        <v>-1.7607268477675553</v>
      </c>
      <c r="C284" s="233">
        <f>IF(ISERROR('Data '!D48/'Data '!C48-1),"",'Data '!D48/'Data '!C48-1)</f>
        <v>-2.1844962874828679</v>
      </c>
      <c r="D284" s="233">
        <f>IF(ISERROR('Data '!E48/'Data '!D48-1),"",'Data '!E48/'Data '!D48-1)</f>
        <v>-0.11491856014851165</v>
      </c>
      <c r="E284" s="233">
        <f>IF(ISERROR('Data '!F48/'Data '!E48-1),"",'Data '!F48/'Data '!E48-1)</f>
        <v>-0.94348431955637924</v>
      </c>
      <c r="F284" s="233">
        <f>IF(ISERROR('Data '!G48/'Data '!F48-1),"",'Data '!G48/'Data '!F48-1)</f>
        <v>-0.14743263853584143</v>
      </c>
      <c r="G284" s="233">
        <f>IF(ISERROR(('Data '!G48/'Data '!B48)^(1/5)-1),"",('Data '!G48/'Data '!B48)^(1/5)-1)</f>
        <v>-0.47889088589191475</v>
      </c>
    </row>
    <row r="285" spans="1:7" ht="12.75" customHeight="1">
      <c r="A285" s="187" t="str">
        <f>'Data '!A49</f>
        <v>&lt;Treasury stock&gt; and other equity adjustments</v>
      </c>
      <c r="B285" s="233" t="str">
        <f>IF(ISERROR('Data '!C49/'Data '!B49-1),"",'Data '!C49/'Data '!B49-1)</f>
        <v/>
      </c>
      <c r="C285" s="233" t="str">
        <f>IF(ISERROR('Data '!D49/'Data '!C49-1),"",'Data '!D49/'Data '!C49-1)</f>
        <v/>
      </c>
      <c r="D285" s="233" t="str">
        <f>IF(ISERROR('Data '!E49/'Data '!D49-1),"",'Data '!E49/'Data '!D49-1)</f>
        <v/>
      </c>
      <c r="E285" s="233" t="str">
        <f>IF(ISERROR('Data '!F49/'Data '!E49-1),"",'Data '!F49/'Data '!E49-1)</f>
        <v/>
      </c>
      <c r="F285" s="233" t="str">
        <f>IF(ISERROR('Data '!G49/'Data '!F49-1),"",'Data '!G49/'Data '!F49-1)</f>
        <v/>
      </c>
      <c r="G285" s="233" t="str">
        <f>IF(ISERROR(('Data '!G49/'Data '!B49)^(1/5)-1),"",('Data '!G49/'Data '!B49)^(1/5)-1)</f>
        <v/>
      </c>
    </row>
    <row r="286" spans="1:7" ht="12.75" customHeight="1">
      <c r="A286" s="210" t="str">
        <f>'Data '!A50</f>
        <v xml:space="preserve"> Total Common Shareholders' Equity</v>
      </c>
      <c r="B286" s="235">
        <f>IF(ISERROR('Data '!C50/'Data '!B50-1),"",'Data '!C50/'Data '!B50-1)</f>
        <v>-9.175050776078475E-2</v>
      </c>
      <c r="C286" s="235">
        <f>IF(ISERROR('Data '!D50/'Data '!C50-1),"",'Data '!D50/'Data '!C50-1)</f>
        <v>0.10197929011998585</v>
      </c>
      <c r="D286" s="235">
        <f>IF(ISERROR('Data '!E50/'Data '!D50-1),"",'Data '!E50/'Data '!D50-1)</f>
        <v>-1.6358481407486192E-2</v>
      </c>
      <c r="E286" s="235">
        <f>IF(ISERROR('Data '!F50/'Data '!E50-1),"",'Data '!F50/'Data '!E50-1)</f>
        <v>-3.5527593407908897E-2</v>
      </c>
      <c r="F286" s="235">
        <f>IF(ISERROR('Data '!G50/'Data '!F50-1),"",'Data '!G50/'Data '!F50-1)</f>
        <v>-0.14157357605847465</v>
      </c>
      <c r="G286" s="235">
        <f>IF(ISERROR(('Data '!G50/'Data '!B50)^(1/5)-1),"",('Data '!G50/'Data '!B50)^(1/5)-1)</f>
        <v>-4.0065353977144835E-2</v>
      </c>
    </row>
    <row r="287" spans="1:7" ht="12.75" customHeight="1">
      <c r="A287" s="187" t="str">
        <f>'Data '!A51</f>
        <v>Noncontrolling interests</v>
      </c>
      <c r="B287" s="233">
        <f>IF(ISERROR('Data '!C51/'Data '!B51-1),"",'Data '!C51/'Data '!B51-1)</f>
        <v>-0.25460264594319548</v>
      </c>
      <c r="C287" s="233">
        <f>IF(ISERROR('Data '!D51/'Data '!C51-1),"",'Data '!D51/'Data '!C51-1)</f>
        <v>0.33833933225766422</v>
      </c>
      <c r="D287" s="233">
        <f>IF(ISERROR('Data '!E51/'Data '!D51-1),"",'Data '!E51/'Data '!D51-1)</f>
        <v>9.4268756375776697E-2</v>
      </c>
      <c r="E287" s="233">
        <f>IF(ISERROR('Data '!F51/'Data '!E51-1),"",'Data '!F51/'Data '!E51-1)</f>
        <v>-0.95775244713759056</v>
      </c>
      <c r="F287" s="233">
        <f>IF(ISERROR('Data '!G51/'Data '!F51-1),"",'Data '!G51/'Data '!F51-1)</f>
        <v>-2.0060180541624506E-3</v>
      </c>
      <c r="G287" s="233">
        <f>IF(ISERROR(('Data '!G51/'Data '!B51)^(1/5)-1),"",('Data '!G51/'Data '!B51)^(1/5)-1)</f>
        <v>-0.4597416179391377</v>
      </c>
    </row>
    <row r="288" spans="1:7" ht="12.75" customHeight="1">
      <c r="A288" s="210" t="str">
        <f>'Data '!A52</f>
        <v xml:space="preserve">  Total Equity</v>
      </c>
      <c r="B288" s="235">
        <f>IF(ISERROR('Data '!C52/'Data '!B52-1),"",'Data '!C52/'Data '!B52-1)</f>
        <v>-9.6233755483817518E-2</v>
      </c>
      <c r="C288" s="235">
        <f>IF(ISERROR('Data '!D52/'Data '!C52-1),"",'Data '!D52/'Data '!C52-1)</f>
        <v>0.10734596221480741</v>
      </c>
      <c r="D288" s="235">
        <f>IF(ISERROR('Data '!E52/'Data '!D52-1),"",'Data '!E52/'Data '!D52-1)</f>
        <v>-1.3322661631116284E-2</v>
      </c>
      <c r="E288" s="235">
        <f>IF(ISERROR('Data '!F52/'Data '!E52-1),"",'Data '!F52/'Data '!E52-1)</f>
        <v>-6.3594825440509428E-2</v>
      </c>
      <c r="F288" s="235">
        <f>IF(ISERROR('Data '!G52/'Data '!F52-1),"",'Data '!G52/'Data '!F52-1)</f>
        <v>-0.14138193657321263</v>
      </c>
      <c r="G288" s="235">
        <f>IF(ISERROR(('Data '!G52/'Data '!B52)^(1/5)-1),"",('Data '!G52/'Data '!B52)^(1/5)-1)</f>
        <v>-4.5104856755694311E-2</v>
      </c>
    </row>
    <row r="289" spans="1:10" ht="12.75" customHeight="1">
      <c r="A289" s="210" t="str">
        <f>'Data '!A53</f>
        <v xml:space="preserve">  Total Liabilities and Equities</v>
      </c>
      <c r="B289" s="223">
        <f>IF(ISERROR('Data '!C53/'Data '!B53-1),"",'Data '!C53/'Data '!B53-1)</f>
        <v>-0.13142237403582036</v>
      </c>
      <c r="C289" s="223">
        <f>IF(ISERROR('Data '!D53/'Data '!C53-1),"",'Data '!D53/'Data '!C53-1)</f>
        <v>7.8883339362608274E-2</v>
      </c>
      <c r="D289" s="223">
        <f>IF(ISERROR('Data '!E53/'Data '!D53-1),"",'Data '!E53/'Data '!D53-1)</f>
        <v>-6.9638274686258606E-2</v>
      </c>
      <c r="E289" s="223">
        <f>IF(ISERROR('Data '!F53/'Data '!E53-1),"",'Data '!F53/'Data '!E53-1)</f>
        <v>9.4935156281789723E-2</v>
      </c>
      <c r="F289" s="223">
        <f>IF(ISERROR('Data '!G53/'Data '!F53-1),"",'Data '!G53/'Data '!F53-1)</f>
        <v>-7.3669865141648527E-2</v>
      </c>
      <c r="G289" s="223">
        <f>IF(ISERROR(('Data '!G53/'Data '!B53)^(1/5)-1),"",('Data '!G53/'Data '!B53)^(1/5)-1)</f>
        <v>-2.429657258243656E-2</v>
      </c>
    </row>
    <row r="290" spans="1:10" ht="12.75" customHeight="1">
      <c r="A290" s="113"/>
      <c r="B290" s="170"/>
      <c r="C290" s="170"/>
      <c r="D290" s="170"/>
      <c r="E290" s="170"/>
      <c r="F290" s="170"/>
      <c r="G290" s="249"/>
    </row>
    <row r="291" spans="1:10" ht="12.75" customHeight="1" thickBot="1">
      <c r="A291" s="170"/>
      <c r="B291" s="170"/>
      <c r="C291" s="170"/>
      <c r="D291" s="170"/>
      <c r="E291" s="170"/>
      <c r="F291" s="170"/>
      <c r="G291" s="170"/>
    </row>
    <row r="292" spans="1:10" ht="12.75" customHeight="1" thickBot="1">
      <c r="A292" s="201" t="s">
        <v>260</v>
      </c>
      <c r="B292" s="202"/>
      <c r="C292" s="202"/>
      <c r="D292" s="202"/>
      <c r="E292" s="202"/>
      <c r="F292" s="202"/>
      <c r="G292" s="202"/>
      <c r="H292" s="203"/>
      <c r="J292" s="113"/>
    </row>
    <row r="293" spans="1:10" ht="12.75" customHeight="1">
      <c r="A293" s="250"/>
      <c r="B293" s="170"/>
      <c r="C293" s="170"/>
      <c r="D293" s="170"/>
      <c r="E293" s="170"/>
      <c r="F293" s="170"/>
      <c r="G293" s="170"/>
      <c r="H293" s="251"/>
    </row>
    <row r="294" spans="1:10" ht="12.75" customHeight="1">
      <c r="A294" s="252"/>
      <c r="B294" s="170"/>
      <c r="C294" s="170"/>
      <c r="D294" s="170"/>
      <c r="E294" s="170"/>
      <c r="F294" s="170"/>
      <c r="G294" s="170"/>
      <c r="H294" s="251"/>
    </row>
    <row r="295" spans="1:10" ht="12.75" customHeight="1">
      <c r="A295" s="253" t="s">
        <v>259</v>
      </c>
      <c r="C295" s="254"/>
      <c r="D295" s="254" t="s">
        <v>258</v>
      </c>
      <c r="E295" s="232"/>
      <c r="G295" s="170"/>
      <c r="H295" s="251"/>
    </row>
    <row r="296" spans="1:10" ht="12.75" customHeight="1">
      <c r="A296" s="255"/>
      <c r="B296" s="170"/>
      <c r="C296" s="256">
        <f>'Data '!$E$4</f>
        <v>2022</v>
      </c>
      <c r="D296" s="256">
        <f>'Data '!$F$4</f>
        <v>2023</v>
      </c>
      <c r="E296" s="256">
        <f>'Data '!$G$4</f>
        <v>2024</v>
      </c>
      <c r="F296" s="170"/>
      <c r="G296" s="170"/>
      <c r="H296" s="251"/>
    </row>
    <row r="297" spans="1:10" ht="12.75" customHeight="1">
      <c r="A297" s="257"/>
      <c r="B297" s="170"/>
      <c r="C297" s="240">
        <f>IF(ISERROR(D25),"",D25)</f>
        <v>9.082596947058913E-2</v>
      </c>
      <c r="D297" s="244">
        <f>IF(ISERROR(E25),"",E25)</f>
        <v>8.5669625316601827E-2</v>
      </c>
      <c r="E297" s="240">
        <f>IF(ISERROR(F25),"",F25)</f>
        <v>1.795600707410085E-2</v>
      </c>
      <c r="F297" s="170"/>
      <c r="G297" s="170"/>
      <c r="H297" s="251"/>
    </row>
    <row r="298" spans="1:10" ht="12.75" customHeight="1">
      <c r="A298" s="255"/>
      <c r="B298" s="170"/>
      <c r="C298" s="170"/>
      <c r="D298" s="170"/>
      <c r="E298" s="170"/>
      <c r="F298" s="170"/>
      <c r="G298" s="170"/>
      <c r="H298" s="251"/>
    </row>
    <row r="299" spans="1:10" ht="12.75" customHeight="1">
      <c r="A299" s="253" t="s">
        <v>257</v>
      </c>
      <c r="B299" s="254"/>
      <c r="C299" s="254" t="s">
        <v>256</v>
      </c>
      <c r="D299" s="254"/>
      <c r="E299" s="254"/>
      <c r="F299" s="254" t="s">
        <v>246</v>
      </c>
      <c r="G299" s="232"/>
      <c r="H299" s="251"/>
    </row>
    <row r="300" spans="1:10" ht="12.75" customHeight="1">
      <c r="A300" s="257"/>
      <c r="B300" s="258">
        <f>C296</f>
        <v>2022</v>
      </c>
      <c r="C300" s="258">
        <f>D296</f>
        <v>2023</v>
      </c>
      <c r="D300" s="258">
        <f>E296</f>
        <v>2024</v>
      </c>
      <c r="E300" s="258">
        <f>C296</f>
        <v>2022</v>
      </c>
      <c r="F300" s="258">
        <f>D296</f>
        <v>2023</v>
      </c>
      <c r="G300" s="258">
        <f>E296</f>
        <v>2024</v>
      </c>
      <c r="H300" s="251"/>
    </row>
    <row r="301" spans="1:10" ht="12.75" customHeight="1">
      <c r="A301" s="257"/>
      <c r="B301" s="259">
        <f>IF(ISERROR(D23),"",D23)</f>
        <v>0.12948839598404865</v>
      </c>
      <c r="C301" s="259">
        <f>IF(ISERROR(E23),"",E23)</f>
        <v>0.13350867573432182</v>
      </c>
      <c r="D301" s="259">
        <f>IF(ISERROR(F23),"",F23)</f>
        <v>3.1471375878412457E-2</v>
      </c>
      <c r="E301" s="260">
        <f>IF(ISERROR(D24),"",D24)</f>
        <v>0.70142168941360394</v>
      </c>
      <c r="F301" s="260">
        <f>IF(ISERROR(E24),"",E24)</f>
        <v>0.64167833921955575</v>
      </c>
      <c r="G301" s="260">
        <f>IF(ISERROR(F24),"",F24)</f>
        <v>0.5705504310797429</v>
      </c>
      <c r="H301" s="251"/>
    </row>
    <row r="302" spans="1:10" ht="12.75" customHeight="1">
      <c r="A302" s="257"/>
      <c r="B302" s="244"/>
      <c r="C302" s="244"/>
      <c r="D302" s="244"/>
      <c r="E302" s="244"/>
      <c r="F302" s="244"/>
      <c r="G302" s="244"/>
      <c r="H302" s="251"/>
    </row>
    <row r="303" spans="1:10" ht="12.75" customHeight="1">
      <c r="A303" s="253" t="s">
        <v>255</v>
      </c>
      <c r="B303" s="258">
        <f t="shared" ref="B303:G303" si="0">B300</f>
        <v>2022</v>
      </c>
      <c r="C303" s="258">
        <f t="shared" si="0"/>
        <v>2023</v>
      </c>
      <c r="D303" s="258">
        <f t="shared" si="0"/>
        <v>2024</v>
      </c>
      <c r="E303" s="258">
        <f t="shared" si="0"/>
        <v>2022</v>
      </c>
      <c r="F303" s="258">
        <f t="shared" si="0"/>
        <v>2023</v>
      </c>
      <c r="G303" s="258">
        <f t="shared" si="0"/>
        <v>2024</v>
      </c>
      <c r="H303" s="261" t="s">
        <v>254</v>
      </c>
    </row>
    <row r="304" spans="1:10" ht="12.75" customHeight="1">
      <c r="A304" s="262" t="str">
        <f>A125</f>
        <v>Revenues</v>
      </c>
      <c r="B304" s="259">
        <f t="shared" ref="B304:D307" si="1">IF(ISERROR(D125),"",D125)</f>
        <v>1</v>
      </c>
      <c r="C304" s="259">
        <f t="shared" si="1"/>
        <v>1</v>
      </c>
      <c r="D304" s="259">
        <f t="shared" si="1"/>
        <v>1</v>
      </c>
      <c r="E304" s="260">
        <f>IF(ISERROR(D82),"",D82)</f>
        <v>12.085421896118941</v>
      </c>
      <c r="F304" s="260">
        <f>IF(ISERROR(E82),"",E82)</f>
        <v>11.487410027271237</v>
      </c>
      <c r="G304" s="260">
        <f>IF(ISERROR(F82),"",F82)</f>
        <v>10.816098139508153</v>
      </c>
      <c r="H304" s="261" t="s">
        <v>253</v>
      </c>
    </row>
    <row r="305" spans="1:8" ht="12.75" customHeight="1">
      <c r="A305" s="262" t="str">
        <f>A126</f>
        <v>&lt;Cost of goods sold&gt;</v>
      </c>
      <c r="B305" s="259">
        <f t="shared" si="1"/>
        <v>-0.2801491922083898</v>
      </c>
      <c r="C305" s="259">
        <f t="shared" si="1"/>
        <v>-0.27401794216061803</v>
      </c>
      <c r="D305" s="259">
        <f t="shared" si="1"/>
        <v>-0.28508964299308476</v>
      </c>
      <c r="E305" s="260">
        <f>IF(ISERROR(D84),"",D84)</f>
        <v>1.2755046927652671</v>
      </c>
      <c r="F305" s="260">
        <f>IF(ISERROR(E84),"",E84)</f>
        <v>1.1046075430388309</v>
      </c>
      <c r="G305" s="260">
        <f>IF(ISERROR(F84),"",F84)</f>
        <v>0.97354647470527012</v>
      </c>
      <c r="H305" s="261" t="s">
        <v>252</v>
      </c>
    </row>
    <row r="306" spans="1:8" ht="12.75" customHeight="1">
      <c r="A306" s="262" t="str">
        <f>A127</f>
        <v xml:space="preserve">  Gross Profit</v>
      </c>
      <c r="B306" s="259">
        <f t="shared" si="1"/>
        <v>0.71985080779161026</v>
      </c>
      <c r="C306" s="259">
        <f t="shared" si="1"/>
        <v>0.72598205783938197</v>
      </c>
      <c r="D306" s="259">
        <f t="shared" si="1"/>
        <v>0.71491035700691519</v>
      </c>
      <c r="E306" s="260">
        <f>IF(ISERROR(D89),"",D89)</f>
        <v>6.6160066381620322</v>
      </c>
      <c r="F306" s="260">
        <f>IF(ISERROR(E89),"",E89)</f>
        <v>5.5734916296714045</v>
      </c>
      <c r="G306" s="260">
        <f>IF(ISERROR(F89),"",F89)</f>
        <v>4.7552382658709922</v>
      </c>
      <c r="H306" s="261" t="s">
        <v>251</v>
      </c>
    </row>
    <row r="307" spans="1:8" ht="12.75" customHeight="1">
      <c r="A307" s="262" t="str">
        <f>A128</f>
        <v>&lt;Operating Expenses (1)&gt;</v>
      </c>
      <c r="B307" s="259">
        <f t="shared" si="1"/>
        <v>-0.24872264756256551</v>
      </c>
      <c r="C307" s="259">
        <f t="shared" si="1"/>
        <v>-0.23771243938488468</v>
      </c>
      <c r="D307" s="259">
        <f t="shared" si="1"/>
        <v>-0.2244214602176009</v>
      </c>
      <c r="E307" s="260"/>
      <c r="F307" s="260"/>
      <c r="G307" s="260"/>
      <c r="H307" s="261"/>
    </row>
    <row r="308" spans="1:8" ht="12.75" customHeight="1">
      <c r="A308" s="262" t="str">
        <f>A136</f>
        <v xml:space="preserve">  Operating Profit</v>
      </c>
      <c r="B308" s="259">
        <f>IF(ISERROR(D136),"",D136)</f>
        <v>0.10220257419668193</v>
      </c>
      <c r="C308" s="259">
        <f>IF(ISERROR(E136),"",E136)</f>
        <v>6.2288166009525449E-2</v>
      </c>
      <c r="D308" s="259">
        <f>IF(ISERROR(F136),"",F136)</f>
        <v>-4.7339113095663632E-2</v>
      </c>
      <c r="E308" s="260"/>
      <c r="F308" s="260"/>
      <c r="G308" s="260"/>
      <c r="H308" s="261"/>
    </row>
    <row r="309" spans="1:8" ht="12.75" customHeight="1">
      <c r="A309" s="262" t="str">
        <f>A141</f>
        <v xml:space="preserve">  Income before Tax</v>
      </c>
      <c r="B309" s="259">
        <f t="shared" ref="B309:D310" si="2">IF(ISERROR(D141),"",D141)</f>
        <v>8.0812712492650624E-2</v>
      </c>
      <c r="C309" s="259">
        <f t="shared" si="2"/>
        <v>3.9423283987923247E-2</v>
      </c>
      <c r="D309" s="259">
        <f t="shared" si="2"/>
        <v>-7.3013778299034104E-2</v>
      </c>
      <c r="E309" s="260"/>
      <c r="F309" s="260"/>
      <c r="G309" s="260"/>
      <c r="H309" s="263"/>
    </row>
    <row r="310" spans="1:8" ht="12.75" customHeight="1">
      <c r="A310" s="264" t="str">
        <f>A142</f>
        <v>&lt;Income tax expense&gt;</v>
      </c>
      <c r="B310" s="259">
        <f t="shared" si="2"/>
        <v>-2.8606623379943252E-2</v>
      </c>
      <c r="C310" s="259">
        <f t="shared" si="2"/>
        <v>-1.6733966345259893E-2</v>
      </c>
      <c r="D310" s="240">
        <f t="shared" si="2"/>
        <v>7.2533634236493652E-3</v>
      </c>
      <c r="E310" s="244"/>
      <c r="F310" s="244"/>
      <c r="G310" s="244"/>
      <c r="H310" s="251"/>
    </row>
    <row r="311" spans="1:8" ht="12.75" customHeight="1">
      <c r="A311" s="262" t="s">
        <v>250</v>
      </c>
      <c r="B311" s="259">
        <f>IF(ISERROR(D23),"",D23)</f>
        <v>0.12948839598404865</v>
      </c>
      <c r="C311" s="259">
        <f>IF(ISERROR(E23),"",E23)</f>
        <v>0.13350867573432182</v>
      </c>
      <c r="D311" s="259">
        <f>IF(ISERROR(F23),"",F23)</f>
        <v>3.1471375878412457E-2</v>
      </c>
      <c r="E311" s="244"/>
      <c r="F311" s="244"/>
      <c r="G311" s="244"/>
      <c r="H311" s="251"/>
    </row>
    <row r="312" spans="1:8" ht="12.75" customHeight="1">
      <c r="A312" s="265" t="s">
        <v>249</v>
      </c>
      <c r="B312" s="259"/>
      <c r="C312" s="259"/>
      <c r="D312" s="259"/>
      <c r="E312" s="244"/>
      <c r="F312" s="244"/>
      <c r="G312" s="244"/>
      <c r="H312" s="251"/>
    </row>
    <row r="313" spans="1:8" ht="12.75" customHeight="1">
      <c r="A313" s="266"/>
      <c r="B313" s="259"/>
      <c r="C313" s="259"/>
      <c r="D313" s="259"/>
      <c r="E313" s="267"/>
      <c r="F313" s="268"/>
      <c r="G313" s="170"/>
      <c r="H313" s="251"/>
    </row>
    <row r="314" spans="1:8" ht="12.75" customHeight="1" thickBot="1">
      <c r="A314" s="269"/>
      <c r="B314" s="170"/>
      <c r="C314" s="170"/>
      <c r="D314" s="170"/>
      <c r="E314" s="170"/>
      <c r="F314" s="170"/>
      <c r="G314" s="170"/>
      <c r="H314" s="251"/>
    </row>
    <row r="315" spans="1:8" ht="12.75" customHeight="1" thickBot="1">
      <c r="A315" s="201" t="s">
        <v>248</v>
      </c>
      <c r="B315" s="202"/>
      <c r="C315" s="202"/>
      <c r="D315" s="202"/>
      <c r="E315" s="202"/>
      <c r="F315" s="202"/>
      <c r="G315" s="202"/>
      <c r="H315" s="203"/>
    </row>
    <row r="316" spans="1:8" ht="12.75" customHeight="1">
      <c r="A316" s="269"/>
      <c r="B316" s="170"/>
      <c r="C316" s="170"/>
      <c r="D316" s="170"/>
      <c r="E316" s="170"/>
      <c r="F316" s="170"/>
      <c r="G316" s="170"/>
      <c r="H316" s="251"/>
    </row>
    <row r="317" spans="1:8" ht="12.75" customHeight="1">
      <c r="A317" s="269"/>
      <c r="B317" s="168"/>
      <c r="C317" s="254" t="s">
        <v>243</v>
      </c>
      <c r="D317" s="168"/>
      <c r="E317" s="170"/>
      <c r="G317" s="170"/>
      <c r="H317" s="251"/>
    </row>
    <row r="318" spans="1:8" ht="12.75" customHeight="1">
      <c r="A318" s="269"/>
      <c r="B318" s="258">
        <f>C296</f>
        <v>2022</v>
      </c>
      <c r="C318" s="258">
        <f>D296</f>
        <v>2023</v>
      </c>
      <c r="D318" s="258">
        <f>E296</f>
        <v>2024</v>
      </c>
      <c r="E318" s="170"/>
      <c r="F318" s="170"/>
      <c r="G318" s="170"/>
      <c r="H318" s="251"/>
    </row>
    <row r="319" spans="1:8" ht="12.75" customHeight="1">
      <c r="A319" s="269"/>
      <c r="B319" s="268">
        <f>IF(ISERROR(D37),"",D37)</f>
        <v>0.13742452294437851</v>
      </c>
      <c r="C319" s="268">
        <f>IF(ISERROR(E37),"",E37)</f>
        <v>0.13458027909622117</v>
      </c>
      <c r="D319" s="268">
        <f>IF(ISERROR(F37),"",F37)</f>
        <v>-2.7589074947404348E-2</v>
      </c>
      <c r="E319" s="170"/>
      <c r="F319" s="170"/>
      <c r="G319" s="170"/>
      <c r="H319" s="251"/>
    </row>
    <row r="320" spans="1:8" ht="12.75" customHeight="1">
      <c r="A320" s="269"/>
      <c r="B320" s="244"/>
      <c r="C320" s="244"/>
      <c r="D320" s="244"/>
      <c r="E320" s="170"/>
      <c r="F320" s="170"/>
      <c r="G320" s="170"/>
      <c r="H320" s="251"/>
    </row>
    <row r="321" spans="1:8" ht="12.75" customHeight="1">
      <c r="A321" s="269"/>
      <c r="B321" s="258">
        <f>B318</f>
        <v>2022</v>
      </c>
      <c r="C321" s="258">
        <f>C318</f>
        <v>2023</v>
      </c>
      <c r="D321" s="258">
        <f>D318</f>
        <v>2024</v>
      </c>
      <c r="E321" s="170"/>
      <c r="F321" s="170"/>
      <c r="G321" s="170"/>
      <c r="H321" s="251"/>
    </row>
    <row r="322" spans="1:8" ht="12.75" customHeight="1">
      <c r="A322" s="253" t="s">
        <v>247</v>
      </c>
      <c r="B322" s="268">
        <f t="shared" ref="B322:D324" si="3">IF(ISERROR(D34),"",D34)</f>
        <v>8.3220621692783547E-2</v>
      </c>
      <c r="C322" s="268">
        <f t="shared" si="3"/>
        <v>8.5949989232628005E-2</v>
      </c>
      <c r="D322" s="240">
        <f t="shared" si="3"/>
        <v>-1.7958315380260569E-2</v>
      </c>
      <c r="E322" s="170"/>
      <c r="F322" s="170"/>
      <c r="G322" s="170"/>
      <c r="H322" s="251"/>
    </row>
    <row r="323" spans="1:8" ht="12.75" customHeight="1">
      <c r="A323" s="253" t="s">
        <v>246</v>
      </c>
      <c r="B323" s="270">
        <f t="shared" si="3"/>
        <v>0.70142168941360394</v>
      </c>
      <c r="C323" s="270">
        <f t="shared" si="3"/>
        <v>0.64167833921955575</v>
      </c>
      <c r="D323" s="270">
        <f t="shared" si="3"/>
        <v>0.5705504310797429</v>
      </c>
      <c r="E323" s="170"/>
      <c r="F323" s="170"/>
      <c r="G323" s="170"/>
      <c r="H323" s="251"/>
    </row>
    <row r="324" spans="1:8" ht="12.75" customHeight="1">
      <c r="A324" s="253" t="s">
        <v>245</v>
      </c>
      <c r="B324" s="260">
        <f t="shared" si="3"/>
        <v>2.3542581967294209</v>
      </c>
      <c r="C324" s="260">
        <f t="shared" si="3"/>
        <v>2.4401595222457697</v>
      </c>
      <c r="D324" s="260">
        <f t="shared" si="3"/>
        <v>2.6926351253575946</v>
      </c>
      <c r="E324" s="170"/>
      <c r="F324" s="170"/>
      <c r="G324" s="170"/>
      <c r="H324" s="251"/>
    </row>
    <row r="325" spans="1:8" ht="12.75" customHeight="1">
      <c r="A325" s="253"/>
      <c r="B325" s="260"/>
      <c r="C325" s="260"/>
      <c r="D325" s="260"/>
      <c r="E325" s="170"/>
      <c r="F325" s="170"/>
      <c r="G325" s="170"/>
      <c r="H325" s="251"/>
    </row>
    <row r="326" spans="1:8" ht="12.75" customHeight="1">
      <c r="A326" s="253"/>
      <c r="B326" s="260"/>
      <c r="C326" s="260"/>
      <c r="D326" s="260"/>
      <c r="E326" s="170"/>
      <c r="F326" s="170"/>
      <c r="G326" s="170"/>
      <c r="H326" s="251"/>
    </row>
    <row r="327" spans="1:8" ht="12.75" customHeight="1" thickBot="1">
      <c r="A327" s="253"/>
      <c r="B327" s="260"/>
      <c r="C327" s="260"/>
      <c r="D327" s="260"/>
      <c r="E327" s="170"/>
      <c r="F327" s="170"/>
      <c r="G327" s="170"/>
      <c r="H327" s="251"/>
    </row>
    <row r="328" spans="1:8" ht="12.75" customHeight="1" thickBot="1">
      <c r="A328" s="201" t="s">
        <v>244</v>
      </c>
      <c r="B328" s="202"/>
      <c r="C328" s="202"/>
      <c r="D328" s="202"/>
      <c r="E328" s="202"/>
      <c r="F328" s="202"/>
      <c r="G328" s="202"/>
      <c r="H328" s="203"/>
    </row>
    <row r="329" spans="1:8" ht="12.75" customHeight="1">
      <c r="A329" s="253"/>
      <c r="B329" s="260"/>
      <c r="C329" s="260"/>
      <c r="D329" s="260"/>
      <c r="E329" s="170"/>
      <c r="F329" s="170"/>
      <c r="G329" s="170"/>
      <c r="H329" s="251"/>
    </row>
    <row r="330" spans="1:8" ht="12.75" customHeight="1">
      <c r="A330" s="269"/>
      <c r="B330" s="168"/>
      <c r="C330" s="254" t="s">
        <v>243</v>
      </c>
      <c r="D330" s="168"/>
      <c r="E330" s="170"/>
      <c r="F330" s="170"/>
      <c r="G330" s="170"/>
      <c r="H330" s="251"/>
    </row>
    <row r="331" spans="1:8" ht="12.75" customHeight="1">
      <c r="A331" s="269"/>
      <c r="B331" s="256">
        <f>C296</f>
        <v>2022</v>
      </c>
      <c r="C331" s="256">
        <f>D296</f>
        <v>2023</v>
      </c>
      <c r="D331" s="256">
        <f>E296</f>
        <v>2024</v>
      </c>
      <c r="E331" s="170"/>
      <c r="F331" s="170"/>
      <c r="G331" s="170"/>
      <c r="H331" s="251"/>
    </row>
    <row r="332" spans="1:8" ht="12.75" customHeight="1">
      <c r="A332" s="253" t="s">
        <v>242</v>
      </c>
      <c r="B332" s="268">
        <f>B319</f>
        <v>0.13742452294437851</v>
      </c>
      <c r="C332" s="268">
        <f>C319</f>
        <v>0.13458027909622117</v>
      </c>
      <c r="D332" s="268">
        <f>D319</f>
        <v>-2.7589074947404348E-2</v>
      </c>
      <c r="E332" s="170"/>
      <c r="F332" s="170"/>
      <c r="G332" s="170"/>
      <c r="H332" s="251"/>
    </row>
    <row r="333" spans="1:8" ht="12.75" customHeight="1">
      <c r="A333" s="269"/>
      <c r="B333" s="244"/>
      <c r="C333" s="244"/>
      <c r="D333" s="244"/>
      <c r="E333" s="170"/>
      <c r="F333" s="170"/>
      <c r="G333" s="170"/>
      <c r="H333" s="251"/>
    </row>
    <row r="334" spans="1:8" ht="12.75" customHeight="1">
      <c r="A334" s="253" t="s">
        <v>241</v>
      </c>
      <c r="B334" s="258"/>
      <c r="C334" s="258"/>
      <c r="D334" s="258"/>
      <c r="E334" s="170"/>
      <c r="F334" s="170"/>
      <c r="G334" s="170"/>
      <c r="H334" s="251"/>
    </row>
    <row r="335" spans="1:8" ht="12.75" customHeight="1">
      <c r="A335" s="253" t="s">
        <v>240</v>
      </c>
      <c r="B335" s="271">
        <f>'Data '!E58</f>
        <v>1251808</v>
      </c>
      <c r="C335" s="271">
        <f>'Data '!F58</f>
        <v>1156271</v>
      </c>
      <c r="D335" s="271">
        <f>'Data '!G58</f>
        <v>1035106</v>
      </c>
      <c r="E335" s="170"/>
      <c r="F335" s="170"/>
      <c r="G335" s="170"/>
      <c r="H335" s="251"/>
    </row>
    <row r="336" spans="1:8" ht="12.75" customHeight="1">
      <c r="A336" s="253" t="s">
        <v>239</v>
      </c>
      <c r="B336" s="271">
        <f>'Data '!E79-'Data '!E71*(1+'Data '!E75/'Data '!E74)-'Data '!E139-'Data '!E137</f>
        <v>150762.42673019512</v>
      </c>
      <c r="C336" s="271">
        <f>'Data '!F79-'Data '!F71*(1+'Data '!F75/'Data '!F74)-'Data '!F139-'Data '!F137</f>
        <v>139490.84172779924</v>
      </c>
      <c r="D336" s="271">
        <f>'Data '!G79-'Data '!G71*(1+'Data '!G75/'Data '!G74)-'Data '!G139-'Data '!G137</f>
        <v>39740.515480635644</v>
      </c>
      <c r="E336" s="271"/>
      <c r="F336" s="271"/>
      <c r="G336" s="267"/>
      <c r="H336" s="251"/>
    </row>
    <row r="337" spans="1:8" ht="12.75" customHeight="1">
      <c r="A337" s="253" t="s">
        <v>238</v>
      </c>
      <c r="B337" s="271">
        <f>(-'Data '!E71*(1+'Data '!E75/'Data '!E74)-'Data '!E80+'Data '!E139)</f>
        <v>55100.186730195135</v>
      </c>
      <c r="C337" s="271">
        <f>(-'Data '!F71*(1+'Data '!F75/'Data '!F74)-'Data '!F80+'Data '!F139)</f>
        <v>39759.361727799231</v>
      </c>
      <c r="D337" s="271">
        <f>(-'Data '!G71*(1+'Data '!G75/'Data '!G74)-'Data '!G80+'Data '!G139)</f>
        <v>58293.275480635639</v>
      </c>
      <c r="E337" s="271"/>
      <c r="F337" s="271"/>
      <c r="H337" s="251"/>
    </row>
    <row r="338" spans="1:8" ht="12.75" customHeight="1">
      <c r="A338" s="253" t="s">
        <v>237</v>
      </c>
      <c r="B338" s="272">
        <f>(('Data '!E26-'Data '!E29-'Data '!E30-'Data '!E33-'Data '!E34-'Data '!E35-'Data '!E36-'Data '!E39-'Data '!E40-'Data '!E41-'Data '!E42)+('Data '!D26-'Data '!D29-'Data '!D30-'Data '!D33-'Data '!D34-'Data '!D35-'Data '!D36-'Data '!D39-'Data '!D40-'Data '!D41-'Data '!D42))/2</f>
        <v>973135</v>
      </c>
      <c r="C338" s="272">
        <f>(('Data '!F26-'Data '!F29-'Data '!F30-'Data '!F33-'Data '!F34-'Data '!F35-'Data '!F36-'Data '!F39-'Data '!F40-'Data '!F41-'Data '!F42)+('Data '!E26-'Data '!E29-'Data '!E30-'Data '!E33-'Data '!E34-'Data '!E35-'Data '!E36-'Data '!E39-'Data '!E40-'Data '!E41-'Data '!E42))/2</f>
        <v>1125091</v>
      </c>
      <c r="D338" s="272">
        <f>(('Data '!G26-'Data '!G29-'Data '!G30-'Data '!G33-'Data '!G34-'Data '!G35-'Data '!G36-'Data '!G39-'Data '!G40-'Data '!G41-'Data '!G42)+('Data '!F26-'Data '!F29-'Data '!F30-'Data '!F33-'Data '!F34-'Data '!F35-'Data '!F36-'Data '!F39-'Data '!F40-'Data '!F41-'Data '!F42))/2</f>
        <v>1264715</v>
      </c>
      <c r="E338" s="267"/>
      <c r="F338" s="267"/>
      <c r="G338" s="170"/>
      <c r="H338" s="251"/>
    </row>
    <row r="339" spans="1:8" ht="12.75" customHeight="1">
      <c r="A339" s="253" t="s">
        <v>236</v>
      </c>
      <c r="B339" s="272">
        <f>(('Data '!E31+'Data '!E32+'Data '!E38+'Data '!E45+'Data '!E51)+('Data '!D31+'Data '!D32+'Data '!D38+'Data '!D45+'Data '!D51))/2</f>
        <v>215073.5</v>
      </c>
      <c r="C339" s="272">
        <f>(('Data '!F31+'Data '!F32+'Data '!F38+'Data '!F45+'Data '!F51)+('Data '!E31+'Data '!E32+'Data '!E38+'Data '!E45+'Data '!E51))/2</f>
        <v>386636</v>
      </c>
      <c r="D339" s="272">
        <f>(('Data '!G31+'Data '!G32+'Data '!G38+'Data '!G45+'Data '!G51)+('Data '!F31+'Data '!F32+'Data '!F38+'Data '!F45+'Data '!F51))/2</f>
        <v>590942.5</v>
      </c>
      <c r="E339" s="267"/>
      <c r="F339" s="267"/>
      <c r="G339" s="170"/>
      <c r="H339" s="251"/>
    </row>
    <row r="340" spans="1:8" ht="12.75" customHeight="1">
      <c r="A340" s="253" t="s">
        <v>235</v>
      </c>
      <c r="B340" s="272">
        <f>('Data '!E50+'Data '!D50)/2</f>
        <v>758061.5</v>
      </c>
      <c r="C340" s="272">
        <f>('Data '!F50+'Data '!E50)/2</f>
        <v>738455</v>
      </c>
      <c r="D340" s="272">
        <f>('Data '!G50+'Data '!F50)/2</f>
        <v>673772.5</v>
      </c>
      <c r="E340" s="267"/>
      <c r="F340" s="267"/>
      <c r="G340" s="170"/>
      <c r="H340" s="251"/>
    </row>
    <row r="341" spans="1:8" ht="12.75" customHeight="1">
      <c r="A341" s="253"/>
      <c r="B341" s="272"/>
      <c r="C341" s="272"/>
      <c r="D341" s="272"/>
      <c r="E341" s="267"/>
      <c r="F341" s="267"/>
      <c r="G341" s="170"/>
      <c r="H341" s="251"/>
    </row>
    <row r="342" spans="1:8" ht="12.75" customHeight="1">
      <c r="A342" s="253" t="s">
        <v>234</v>
      </c>
      <c r="B342" s="273">
        <f>B336/B335</f>
        <v>0.12043574312529966</v>
      </c>
      <c r="C342" s="273">
        <f>C336/C335</f>
        <v>0.12063853692412872</v>
      </c>
      <c r="D342" s="273">
        <f>D336/D335</f>
        <v>3.8392701308499463E-2</v>
      </c>
      <c r="E342" s="267"/>
      <c r="F342" s="267"/>
      <c r="G342" s="170"/>
      <c r="H342" s="251"/>
    </row>
    <row r="343" spans="1:8" ht="12.75" customHeight="1">
      <c r="A343" s="253" t="s">
        <v>233</v>
      </c>
      <c r="B343" s="274">
        <f>B335/B338</f>
        <v>1.2863662287349649</v>
      </c>
      <c r="C343" s="274">
        <f>C335/C338</f>
        <v>1.0277133138563903</v>
      </c>
      <c r="D343" s="274">
        <f>D335/D338</f>
        <v>0.81845000652320876</v>
      </c>
      <c r="E343" s="170"/>
      <c r="F343" s="170"/>
      <c r="G343" s="170"/>
      <c r="H343" s="251"/>
    </row>
    <row r="344" spans="1:8" ht="12.75" customHeight="1">
      <c r="A344" s="253" t="s">
        <v>232</v>
      </c>
      <c r="B344" s="274">
        <f>B336/B338</f>
        <v>0.15492447268898468</v>
      </c>
      <c r="C344" s="274">
        <f>C336/C338</f>
        <v>0.12398183056108283</v>
      </c>
      <c r="D344" s="274">
        <f>D336/D338</f>
        <v>3.1422506636384989E-2</v>
      </c>
      <c r="E344" s="170"/>
      <c r="F344" s="275"/>
      <c r="G344" s="275"/>
      <c r="H344" s="251"/>
    </row>
    <row r="345" spans="1:8" ht="12.75" customHeight="1">
      <c r="A345" s="253"/>
      <c r="B345" s="274"/>
      <c r="C345" s="274"/>
      <c r="D345" s="274"/>
      <c r="E345" s="170"/>
      <c r="F345" s="275"/>
      <c r="G345" s="275"/>
      <c r="H345" s="251"/>
    </row>
    <row r="346" spans="1:8" ht="12.75" customHeight="1">
      <c r="A346" s="253" t="s">
        <v>231</v>
      </c>
      <c r="B346" s="274">
        <f>B337/B339</f>
        <v>0.25619235624191328</v>
      </c>
      <c r="C346" s="274">
        <f>C337/C339</f>
        <v>0.10283409131017089</v>
      </c>
      <c r="D346" s="274">
        <f>D337/D339</f>
        <v>9.8644581292825675E-2</v>
      </c>
      <c r="E346" s="170"/>
      <c r="F346" s="170"/>
      <c r="G346" s="170"/>
      <c r="H346" s="251"/>
    </row>
    <row r="347" spans="1:8" ht="12.75" customHeight="1">
      <c r="A347" s="253" t="s">
        <v>230</v>
      </c>
      <c r="B347" s="274">
        <f>B344-B346</f>
        <v>-0.10126788355292859</v>
      </c>
      <c r="C347" s="274">
        <f>C344-C346</f>
        <v>2.1147739250911943E-2</v>
      </c>
      <c r="D347" s="274">
        <f>D344-D346</f>
        <v>-6.7222074656440686E-2</v>
      </c>
      <c r="E347" s="170"/>
      <c r="F347" s="170"/>
      <c r="G347" s="170"/>
      <c r="H347" s="251"/>
    </row>
    <row r="348" spans="1:8" ht="12.75" customHeight="1">
      <c r="A348" s="253" t="s">
        <v>229</v>
      </c>
      <c r="B348" s="274">
        <f>B339/B340</f>
        <v>0.2837151075473428</v>
      </c>
      <c r="C348" s="274">
        <f>C339/C340</f>
        <v>0.52357421914673208</v>
      </c>
      <c r="D348" s="274">
        <f>D339/D340</f>
        <v>0.87706532991477093</v>
      </c>
      <c r="E348" s="170"/>
      <c r="F348" s="170"/>
      <c r="G348" s="170"/>
      <c r="H348" s="251"/>
    </row>
    <row r="349" spans="1:8" ht="12.75" customHeight="1">
      <c r="A349" s="253" t="s">
        <v>228</v>
      </c>
      <c r="B349" s="274">
        <f>B347*B348</f>
        <v>-2.8731228473310923E-2</v>
      </c>
      <c r="C349" s="274">
        <f>C347*C348</f>
        <v>1.1072411065014918E-2</v>
      </c>
      <c r="D349" s="274">
        <f>D347*D348</f>
        <v>-5.8958151086106511E-2</v>
      </c>
      <c r="E349" s="170"/>
      <c r="F349" s="170"/>
      <c r="G349" s="170"/>
      <c r="H349" s="251"/>
    </row>
    <row r="350" spans="1:8" ht="12.75" customHeight="1">
      <c r="A350" s="253"/>
      <c r="B350" s="274"/>
      <c r="C350" s="274"/>
      <c r="D350" s="274"/>
      <c r="E350" s="170"/>
      <c r="F350" s="170"/>
      <c r="G350" s="170"/>
      <c r="H350" s="251"/>
    </row>
    <row r="351" spans="1:8" ht="12.75" customHeight="1">
      <c r="A351" s="253" t="s">
        <v>227</v>
      </c>
      <c r="B351" s="274">
        <f>B344+B349</f>
        <v>0.12619324421567377</v>
      </c>
      <c r="C351" s="274">
        <f>C344+C349</f>
        <v>0.13505424162609775</v>
      </c>
      <c r="D351" s="274">
        <f>D344+D349</f>
        <v>-2.7535644449721522E-2</v>
      </c>
      <c r="E351" s="170"/>
      <c r="F351" s="170"/>
      <c r="G351" s="170"/>
      <c r="H351" s="251"/>
    </row>
    <row r="352" spans="1:8" ht="12.75" customHeight="1">
      <c r="A352" s="269"/>
      <c r="B352" s="249"/>
      <c r="C352" s="249"/>
      <c r="D352" s="249"/>
      <c r="E352" s="276"/>
      <c r="F352" s="276"/>
      <c r="G352" s="276"/>
      <c r="H352" s="277"/>
    </row>
    <row r="353" spans="1:10" ht="12.75" customHeight="1" thickBot="1">
      <c r="A353" s="278"/>
      <c r="B353" s="180"/>
      <c r="C353" s="180"/>
      <c r="D353" s="180"/>
      <c r="E353" s="180"/>
      <c r="F353" s="180"/>
      <c r="G353" s="180"/>
      <c r="H353" s="279"/>
    </row>
    <row r="354" spans="1:10" ht="12.75" customHeight="1"/>
    <row r="355" spans="1:10" ht="12.75" customHeight="1"/>
    <row r="356" spans="1:10" ht="12.75" customHeight="1" thickBot="1"/>
    <row r="357" spans="1:10" ht="12.75" customHeight="1" thickBot="1">
      <c r="A357" s="201" t="s">
        <v>226</v>
      </c>
      <c r="B357" s="241"/>
      <c r="C357" s="241"/>
      <c r="D357" s="241"/>
      <c r="E357" s="241"/>
      <c r="F357" s="242"/>
      <c r="G357" s="280"/>
      <c r="J357" s="113"/>
    </row>
    <row r="358" spans="1:10" ht="12.75" customHeight="1" thickBot="1">
      <c r="A358" s="184" t="s">
        <v>206</v>
      </c>
      <c r="B358" s="185">
        <f>'Data '!$C$4</f>
        <v>2020</v>
      </c>
      <c r="C358" s="185">
        <f>'Data '!$D$4</f>
        <v>2021</v>
      </c>
      <c r="D358" s="185">
        <f>'Data '!$E$4</f>
        <v>2022</v>
      </c>
      <c r="E358" s="185">
        <f>'Data '!$F$4</f>
        <v>2023</v>
      </c>
      <c r="F358" s="185">
        <f>'Data '!$G$4</f>
        <v>2024</v>
      </c>
      <c r="G358" s="281"/>
    </row>
    <row r="359" spans="1:10" ht="12.75" customHeight="1">
      <c r="A359" s="179"/>
      <c r="B359" s="243"/>
      <c r="C359" s="244"/>
      <c r="D359" s="243"/>
      <c r="E359" s="244"/>
      <c r="F359" s="244"/>
      <c r="G359" s="282"/>
    </row>
    <row r="360" spans="1:10" ht="12.75" customHeight="1">
      <c r="A360" s="283" t="s">
        <v>225</v>
      </c>
      <c r="B360" s="221"/>
      <c r="C360" s="245"/>
      <c r="D360" s="245"/>
      <c r="E360" s="244"/>
      <c r="F360" s="244"/>
      <c r="G360" s="282"/>
    </row>
    <row r="361" spans="1:10" ht="12.75" customHeight="1">
      <c r="A361" s="284" t="str">
        <f>'Data '!A90</f>
        <v>Net Income</v>
      </c>
      <c r="B361" s="284">
        <f>'Data '!C90</f>
        <v>-71696</v>
      </c>
      <c r="C361" s="284">
        <f>'Data '!D90</f>
        <v>81137</v>
      </c>
      <c r="D361" s="284">
        <f>'Data '!E90</f>
        <v>65352</v>
      </c>
      <c r="E361" s="284">
        <f>'Data '!F90</f>
        <v>26235</v>
      </c>
      <c r="F361" s="284">
        <f>'Data '!G90</f>
        <v>-68069</v>
      </c>
      <c r="G361" s="240"/>
    </row>
    <row r="362" spans="1:10" ht="12.75" customHeight="1">
      <c r="A362" s="236" t="str">
        <f>'Data '!A91</f>
        <v>Add back depreciation and amortization expenses</v>
      </c>
      <c r="B362" s="236">
        <f>'Data '!C91</f>
        <v>221767</v>
      </c>
      <c r="C362" s="236">
        <f>'Data '!D91</f>
        <v>163172</v>
      </c>
      <c r="D362" s="236">
        <f>'Data '!E91</f>
        <v>170962</v>
      </c>
      <c r="E362" s="236">
        <f>'Data '!F91</f>
        <v>179789</v>
      </c>
      <c r="F362" s="236">
        <f>'Data '!G91</f>
        <v>264219</v>
      </c>
      <c r="G362" s="240"/>
    </row>
    <row r="363" spans="1:10" ht="12.75" customHeight="1">
      <c r="A363" s="187" t="s">
        <v>224</v>
      </c>
      <c r="B363" s="285">
        <f>SUM('Data '!C95:C103)</f>
        <v>-37711</v>
      </c>
      <c r="C363" s="285">
        <f>SUM('Data '!D95:D103)</f>
        <v>130794</v>
      </c>
      <c r="D363" s="285">
        <f>SUM('Data '!E95:E103)</f>
        <v>49680</v>
      </c>
      <c r="E363" s="285">
        <f>SUM('Data '!F95:F103)</f>
        <v>-16610</v>
      </c>
      <c r="F363" s="285">
        <f>SUM('Data '!G95:G103)</f>
        <v>-22821</v>
      </c>
      <c r="G363" s="240"/>
    </row>
    <row r="364" spans="1:10" ht="12.75" customHeight="1">
      <c r="A364" s="187" t="s">
        <v>223</v>
      </c>
      <c r="B364" s="285">
        <f>SUM('Data '!C92:C94)+SUM('Data '!C104:C105)</f>
        <v>-6634</v>
      </c>
      <c r="C364" s="285">
        <f>SUM('Data '!D92:D94)+SUM('Data '!D104:D105)</f>
        <v>21819</v>
      </c>
      <c r="D364" s="285">
        <f>SUM('Data '!E92:E94)+SUM('Data '!E104:E105)</f>
        <v>-18922</v>
      </c>
      <c r="E364" s="285">
        <f>SUM('Data '!F92:F94)+SUM('Data '!F104:F105)</f>
        <v>-70382</v>
      </c>
      <c r="F364" s="285">
        <f>SUM('Data '!G92:G94)+SUM('Data '!G104:G105)</f>
        <v>-2125</v>
      </c>
      <c r="G364" s="240"/>
    </row>
    <row r="365" spans="1:10" ht="12.75" customHeight="1">
      <c r="A365" s="284" t="str">
        <f>'Data '!A106</f>
        <v xml:space="preserve">  Net CF from Operating Activities</v>
      </c>
      <c r="B365" s="284">
        <f>SUM(B361:B364)</f>
        <v>105726</v>
      </c>
      <c r="C365" s="284">
        <f>SUM(C361:C364)</f>
        <v>396922</v>
      </c>
      <c r="D365" s="284">
        <f>SUM(D361:D364)</f>
        <v>267072</v>
      </c>
      <c r="E365" s="284">
        <f>SUM(E361:E364)</f>
        <v>119032</v>
      </c>
      <c r="F365" s="284">
        <f>SUM(F361:F364)</f>
        <v>171204</v>
      </c>
      <c r="G365" s="240"/>
    </row>
    <row r="366" spans="1:10" ht="12.75" customHeight="1">
      <c r="A366" s="236"/>
      <c r="B366" s="236"/>
      <c r="C366" s="236"/>
      <c r="D366" s="236"/>
      <c r="E366" s="236"/>
      <c r="F366" s="236"/>
      <c r="G366" s="240"/>
    </row>
    <row r="367" spans="1:10" ht="12.75" customHeight="1">
      <c r="A367" s="284" t="s">
        <v>222</v>
      </c>
      <c r="B367" s="236"/>
      <c r="C367" s="236"/>
      <c r="D367" s="236"/>
      <c r="E367" s="236"/>
      <c r="F367" s="236"/>
      <c r="G367" s="240"/>
    </row>
    <row r="368" spans="1:10" ht="12.75" customHeight="1">
      <c r="A368" s="187" t="s">
        <v>221</v>
      </c>
      <c r="B368" s="285">
        <f>'Data '!C107+'Data '!C108</f>
        <v>-23701</v>
      </c>
      <c r="C368" s="285">
        <f>'Data '!D107+'Data '!D108</f>
        <v>-36702</v>
      </c>
      <c r="D368" s="285">
        <f>'Data '!E107+'Data '!E108</f>
        <v>-41608</v>
      </c>
      <c r="E368" s="285">
        <f>'Data '!F107+'Data '!F108</f>
        <v>-58033</v>
      </c>
      <c r="F368" s="285">
        <f>'Data '!G107+'Data '!G108</f>
        <v>-61279</v>
      </c>
      <c r="G368" s="240"/>
    </row>
    <row r="369" spans="1:7" ht="12.75" customHeight="1">
      <c r="A369" s="187" t="s">
        <v>220</v>
      </c>
      <c r="B369" s="285">
        <f>SUM('Data '!C109:C111)</f>
        <v>-7581</v>
      </c>
      <c r="C369" s="285">
        <f>SUM('Data '!D109:D111)</f>
        <v>-3629</v>
      </c>
      <c r="D369" s="285">
        <f>SUM('Data '!E109:E111)</f>
        <v>0</v>
      </c>
      <c r="E369" s="285">
        <f>SUM('Data '!F109:F111)</f>
        <v>0</v>
      </c>
      <c r="F369" s="285">
        <f>SUM('Data '!G109:G111)</f>
        <v>0</v>
      </c>
      <c r="G369" s="240"/>
    </row>
    <row r="370" spans="1:7" ht="12.75" customHeight="1">
      <c r="A370" s="187" t="s">
        <v>219</v>
      </c>
      <c r="B370" s="285">
        <f>'Data '!C112+'Data '!C113</f>
        <v>-6109</v>
      </c>
      <c r="C370" s="285">
        <f>'Data '!D112+'Data '!D113</f>
        <v>9439</v>
      </c>
      <c r="D370" s="285">
        <f>'Data '!E112+'Data '!E113</f>
        <v>-24254</v>
      </c>
      <c r="E370" s="285">
        <f>'Data '!F112+'Data '!F113</f>
        <v>-38933</v>
      </c>
      <c r="F370" s="285">
        <f>'Data '!G112+'Data '!G113</f>
        <v>-24571</v>
      </c>
      <c r="G370" s="240"/>
    </row>
    <row r="371" spans="1:7" ht="12.75" customHeight="1">
      <c r="A371" s="284" t="str">
        <f>'Data '!A114</f>
        <v xml:space="preserve">  Net CF from Investing Activities</v>
      </c>
      <c r="B371" s="286">
        <f>SUM(B368:B370)</f>
        <v>-37391</v>
      </c>
      <c r="C371" s="286">
        <f>SUM(C368:C370)</f>
        <v>-30892</v>
      </c>
      <c r="D371" s="286">
        <f>SUM(D368:D370)</f>
        <v>-65862</v>
      </c>
      <c r="E371" s="286">
        <f>SUM(E368:E370)</f>
        <v>-96966</v>
      </c>
      <c r="F371" s="286">
        <f>SUM(F368:F370)</f>
        <v>-85850</v>
      </c>
      <c r="G371" s="247"/>
    </row>
    <row r="372" spans="1:7" ht="12.75" customHeight="1">
      <c r="A372" s="187"/>
      <c r="B372" s="285"/>
      <c r="C372" s="285"/>
      <c r="D372" s="285"/>
      <c r="E372" s="285"/>
      <c r="F372" s="285"/>
      <c r="G372" s="240"/>
    </row>
    <row r="373" spans="1:7" ht="12.75" customHeight="1">
      <c r="A373" s="199" t="s">
        <v>218</v>
      </c>
      <c r="B373" s="285"/>
      <c r="C373" s="285"/>
      <c r="D373" s="285"/>
      <c r="E373" s="285"/>
      <c r="F373" s="285"/>
    </row>
    <row r="374" spans="1:7" ht="12.75" customHeight="1">
      <c r="A374" s="187" t="s">
        <v>217</v>
      </c>
      <c r="B374" s="285">
        <f>'Data '!C115+'Data '!C116</f>
        <v>141122</v>
      </c>
      <c r="C374" s="285">
        <f>'Data '!D115+'Data '!D116</f>
        <v>-47152</v>
      </c>
      <c r="D374" s="285">
        <f>'Data '!E115+'Data '!E116</f>
        <v>-109265</v>
      </c>
      <c r="E374" s="285">
        <f>'Data '!F115+'Data '!F116</f>
        <v>51563</v>
      </c>
      <c r="F374" s="285">
        <f>'Data '!G115+'Data '!G116</f>
        <v>29565</v>
      </c>
    </row>
    <row r="375" spans="1:7" ht="12.75" customHeight="1">
      <c r="A375" s="187" t="s">
        <v>216</v>
      </c>
      <c r="B375" s="285">
        <f>'Data '!C117+'Data '!C118</f>
        <v>0</v>
      </c>
      <c r="C375" s="285">
        <f>'Data '!D117+'Data '!D118</f>
        <v>0</v>
      </c>
      <c r="D375" s="285">
        <f>'Data '!E117+'Data '!E118</f>
        <v>0</v>
      </c>
      <c r="E375" s="285">
        <f>'Data '!F117+'Data '!F118</f>
        <v>0</v>
      </c>
      <c r="F375" s="285">
        <f>'Data '!G117+'Data '!G118</f>
        <v>0</v>
      </c>
    </row>
    <row r="376" spans="1:7" ht="12.75" customHeight="1">
      <c r="A376" s="187" t="s">
        <v>215</v>
      </c>
      <c r="B376" s="285">
        <f>'Data '!C119+'Data '!C120+'Data '!C121</f>
        <v>0</v>
      </c>
      <c r="C376" s="285">
        <f>'Data '!D119+'Data '!D120+'Data '!D121</f>
        <v>-12756</v>
      </c>
      <c r="D376" s="285">
        <f>'Data '!E119+'Data '!E120+'Data '!E121</f>
        <v>-42670</v>
      </c>
      <c r="E376" s="285">
        <f>'Data '!F119+'Data '!F120+'Data '!F121</f>
        <v>0</v>
      </c>
      <c r="F376" s="285">
        <f>'Data '!G119+'Data '!G120+'Data '!G121</f>
        <v>0</v>
      </c>
    </row>
    <row r="377" spans="1:7" ht="12.75" customHeight="1">
      <c r="A377" s="187" t="s">
        <v>214</v>
      </c>
      <c r="B377" s="285">
        <f>'Data '!C122</f>
        <v>0</v>
      </c>
      <c r="C377" s="285">
        <f>'Data '!D122</f>
        <v>-6021</v>
      </c>
      <c r="D377" s="285">
        <f>'Data '!E122</f>
        <v>-56733</v>
      </c>
      <c r="E377" s="285">
        <f>'Data '!F122</f>
        <v>-46350</v>
      </c>
      <c r="F377" s="285">
        <f>'Data '!G122</f>
        <v>-16568</v>
      </c>
    </row>
    <row r="378" spans="1:7" ht="12.75" customHeight="1">
      <c r="A378" s="187" t="s">
        <v>213</v>
      </c>
      <c r="B378" s="285">
        <f>'Data '!C123+'Data '!C124</f>
        <v>-111254</v>
      </c>
      <c r="C378" s="285">
        <f>'Data '!D123+'Data '!D124</f>
        <v>-115148</v>
      </c>
      <c r="D378" s="285">
        <f>'Data '!E123+'Data '!E124</f>
        <v>-114610</v>
      </c>
      <c r="E378" s="285">
        <f>'Data '!F123+'Data '!F124</f>
        <v>-155307</v>
      </c>
      <c r="F378" s="285">
        <f>'Data '!G123+'Data '!G124</f>
        <v>-125903</v>
      </c>
    </row>
    <row r="379" spans="1:7" ht="12.75" customHeight="1">
      <c r="A379" s="284" t="str">
        <f>'Data '!A125</f>
        <v xml:space="preserve">  Net CF from Financing Activities</v>
      </c>
      <c r="B379" s="286">
        <f>SUM(B374:B378)</f>
        <v>29868</v>
      </c>
      <c r="C379" s="286">
        <f>SUM(C374:C378)</f>
        <v>-181077</v>
      </c>
      <c r="D379" s="286">
        <f>SUM(D374:D378)</f>
        <v>-323278</v>
      </c>
      <c r="E379" s="286">
        <f>SUM(E374:E378)</f>
        <v>-150094</v>
      </c>
      <c r="F379" s="286">
        <f>SUM(F374:F378)</f>
        <v>-112906</v>
      </c>
    </row>
    <row r="380" spans="1:7" ht="12.75" customHeight="1">
      <c r="A380" s="187"/>
      <c r="B380" s="285"/>
      <c r="C380" s="285"/>
      <c r="D380" s="285"/>
      <c r="E380" s="285"/>
      <c r="F380" s="285"/>
    </row>
    <row r="381" spans="1:7">
      <c r="A381" s="236" t="str">
        <f>'Data '!A126</f>
        <v>Effects of exchange rate changes on cash</v>
      </c>
      <c r="B381" s="236">
        <f>'Data '!C126</f>
        <v>7345</v>
      </c>
      <c r="C381" s="236">
        <f>'Data '!D126</f>
        <v>-1037</v>
      </c>
      <c r="D381" s="236">
        <f>'Data '!E126</f>
        <v>1626</v>
      </c>
      <c r="E381" s="236">
        <f>'Data '!F126</f>
        <v>5662</v>
      </c>
      <c r="F381" s="236">
        <f>'Data '!G126</f>
        <v>-3242</v>
      </c>
    </row>
    <row r="382" spans="1:7">
      <c r="A382" s="284" t="str">
        <f>'Data '!A127</f>
        <v xml:space="preserve">  Net Change in Cash</v>
      </c>
      <c r="B382" s="284">
        <f>B365+B371+B379+B381</f>
        <v>105548</v>
      </c>
      <c r="C382" s="284">
        <f>C365+C371+C379+C381</f>
        <v>183916</v>
      </c>
      <c r="D382" s="284">
        <f>D365+D371+D379+D381</f>
        <v>-120442</v>
      </c>
      <c r="E382" s="284">
        <f>E365+E371+E379+E381</f>
        <v>-122366</v>
      </c>
      <c r="F382" s="284">
        <f>F365+F371+F379+F381</f>
        <v>-30794</v>
      </c>
    </row>
  </sheetData>
  <printOptions gridLines="1"/>
  <pageMargins left="0.75" right="0.75" top="1" bottom="1" header="0.5" footer="0.5"/>
  <pageSetup scale="80" orientation="portrait" horizontalDpi="300" verticalDpi="300" r:id="rId1"/>
  <headerFooter alignWithMargins="0"/>
  <rowBreaks count="8" manualBreakCount="8">
    <brk id="38" max="7" man="1"/>
    <brk id="69" max="7" man="1"/>
    <brk id="120" max="7" man="1"/>
    <brk id="152" max="7" man="1"/>
    <brk id="187" max="7" man="1"/>
    <brk id="238" max="7" man="1"/>
    <brk id="290" max="7" man="1"/>
    <brk id="354" max="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22FD-361A-4474-9E13-4801F4CF2365}">
  <sheetPr>
    <tabColor rgb="FF4472C4"/>
  </sheetPr>
  <dimension ref="A2:M363"/>
  <sheetViews>
    <sheetView zoomScale="98" zoomScaleNormal="100" workbookViewId="0">
      <pane ySplit="12" topLeftCell="A62" activePane="bottomLeft" state="frozen"/>
      <selection activeCell="C1" sqref="C1"/>
      <selection pane="bottomLeft" activeCell="K31" sqref="K31"/>
    </sheetView>
  </sheetViews>
  <sheetFormatPr defaultColWidth="9.140625" defaultRowHeight="12.75"/>
  <cols>
    <col min="1" max="1" width="47" style="130" customWidth="1"/>
    <col min="2" max="2" width="13.42578125" style="130" customWidth="1"/>
    <col min="3" max="3" width="12.85546875" style="130" customWidth="1"/>
    <col min="4" max="4" width="13.7109375" style="130" customWidth="1"/>
    <col min="5" max="5" width="14" style="130" customWidth="1"/>
    <col min="6" max="7" width="13.7109375" style="130" customWidth="1"/>
    <col min="8" max="8" width="15.140625" style="130" customWidth="1"/>
    <col min="9" max="9" width="15.42578125" style="130" customWidth="1"/>
    <col min="10" max="10" width="16" style="130" customWidth="1"/>
    <col min="11" max="11" width="13.5703125" style="130" customWidth="1"/>
    <col min="12" max="12" width="12" style="130" customWidth="1"/>
    <col min="13" max="13" width="12.140625" style="130" customWidth="1"/>
    <col min="14" max="15" width="9.140625" style="130"/>
    <col min="16" max="16" width="11" style="130" customWidth="1"/>
    <col min="17" max="16384" width="9.140625" style="130"/>
  </cols>
  <sheetData>
    <row r="2" spans="1:12">
      <c r="A2" s="288" t="s">
        <v>358</v>
      </c>
      <c r="B2" s="289" t="s">
        <v>357</v>
      </c>
      <c r="C2" s="290"/>
      <c r="D2" s="290"/>
      <c r="E2" s="289"/>
      <c r="F2" s="290"/>
      <c r="G2" s="290"/>
      <c r="H2" s="290"/>
      <c r="I2" s="290"/>
      <c r="J2" s="291"/>
    </row>
    <row r="3" spans="1:12">
      <c r="A3" s="292" t="str">
        <f>'Data '!A2</f>
        <v>Analyst Name:</v>
      </c>
      <c r="B3" s="293" t="str">
        <f>'Data '!B2</f>
        <v>ARYAN Shrenick kothari</v>
      </c>
      <c r="C3" s="294"/>
      <c r="D3" s="295"/>
      <c r="E3" s="294"/>
      <c r="F3" s="294"/>
      <c r="G3" s="294"/>
      <c r="H3" s="294"/>
      <c r="I3" s="294"/>
      <c r="J3" s="296"/>
    </row>
    <row r="4" spans="1:12">
      <c r="A4" s="292" t="str">
        <f>'Data '!A3</f>
        <v>Company Name:</v>
      </c>
      <c r="B4" s="293" t="str">
        <f>'Data '!B3</f>
        <v>Salvatore Ferragamo Group</v>
      </c>
      <c r="C4" s="290"/>
      <c r="D4" s="290"/>
      <c r="E4" s="294"/>
      <c r="F4" s="294"/>
      <c r="G4" s="294"/>
      <c r="H4" s="294"/>
      <c r="I4" s="294"/>
      <c r="J4" s="296"/>
    </row>
    <row r="5" spans="1:12">
      <c r="A5" s="297"/>
      <c r="B5" s="297"/>
      <c r="C5" s="297"/>
      <c r="D5" s="297"/>
      <c r="E5" s="297"/>
      <c r="F5" s="297"/>
      <c r="G5" s="297"/>
      <c r="H5" s="297"/>
      <c r="I5" s="297"/>
      <c r="J5" s="297"/>
    </row>
    <row r="6" spans="1:12">
      <c r="A6" s="297"/>
      <c r="B6" s="298" t="s">
        <v>434</v>
      </c>
      <c r="C6" s="297"/>
      <c r="D6" s="297"/>
      <c r="E6" s="298" t="s">
        <v>434</v>
      </c>
      <c r="F6" s="297"/>
      <c r="G6" s="297"/>
      <c r="H6" s="297"/>
      <c r="I6" s="297"/>
      <c r="J6" s="297"/>
    </row>
    <row r="7" spans="1:12">
      <c r="A7" s="297"/>
      <c r="B7" s="298" t="s">
        <v>433</v>
      </c>
      <c r="C7" s="297"/>
      <c r="D7" s="297"/>
      <c r="E7" s="299" t="s">
        <v>432</v>
      </c>
      <c r="F7" s="297"/>
      <c r="G7" s="297"/>
      <c r="H7" s="297"/>
      <c r="I7" s="297"/>
      <c r="J7" s="300" t="s">
        <v>431</v>
      </c>
      <c r="L7" s="113"/>
    </row>
    <row r="8" spans="1:12">
      <c r="A8" s="297"/>
      <c r="B8" s="297" t="s">
        <v>451</v>
      </c>
      <c r="C8" s="297"/>
      <c r="D8" s="297"/>
      <c r="E8" s="301" t="s">
        <v>429</v>
      </c>
      <c r="F8" s="297"/>
      <c r="G8" s="297"/>
      <c r="H8" s="297"/>
      <c r="I8" s="302" t="s">
        <v>428</v>
      </c>
      <c r="J8" s="303">
        <f>'Valuation '!$F$23</f>
        <v>0.03</v>
      </c>
    </row>
    <row r="9" spans="1:12">
      <c r="A9" s="297"/>
      <c r="B9" s="297" t="s">
        <v>450</v>
      </c>
      <c r="C9" s="297"/>
      <c r="D9" s="297"/>
      <c r="E9" s="301" t="s">
        <v>426</v>
      </c>
      <c r="F9" s="297"/>
      <c r="G9" s="297"/>
      <c r="H9" s="297"/>
      <c r="I9" s="302" t="s">
        <v>425</v>
      </c>
      <c r="J9" s="212">
        <f>1+$J$8</f>
        <v>1.03</v>
      </c>
    </row>
    <row r="10" spans="1:12" ht="13.5" thickBot="1">
      <c r="A10" s="170"/>
      <c r="B10" s="304"/>
      <c r="C10" s="305"/>
      <c r="D10" s="305"/>
      <c r="E10" s="305"/>
      <c r="F10" s="305"/>
      <c r="G10" s="305"/>
      <c r="H10" s="305"/>
      <c r="I10" s="305"/>
      <c r="J10" s="305"/>
    </row>
    <row r="11" spans="1:12" ht="13.5" thickTop="1">
      <c r="A11" s="170"/>
      <c r="B11" s="306" t="s">
        <v>208</v>
      </c>
      <c r="C11" s="307"/>
      <c r="D11" s="307"/>
      <c r="E11" s="308" t="s">
        <v>207</v>
      </c>
      <c r="F11" s="309"/>
      <c r="G11" s="309"/>
      <c r="H11" s="309"/>
      <c r="I11" s="309"/>
      <c r="J11" s="308"/>
      <c r="L11" s="113"/>
    </row>
    <row r="12" spans="1:12">
      <c r="A12" s="258" t="s">
        <v>206</v>
      </c>
      <c r="B12" s="117">
        <f>'Data '!E4</f>
        <v>2022</v>
      </c>
      <c r="C12" s="117">
        <f>'Data '!F4</f>
        <v>2023</v>
      </c>
      <c r="D12" s="117">
        <f>'Data '!G4</f>
        <v>2024</v>
      </c>
      <c r="E12" s="117" t="s">
        <v>449</v>
      </c>
      <c r="F12" s="117" t="s">
        <v>448</v>
      </c>
      <c r="G12" s="117" t="s">
        <v>447</v>
      </c>
      <c r="H12" s="117" t="s">
        <v>446</v>
      </c>
      <c r="I12" s="117" t="s">
        <v>445</v>
      </c>
      <c r="J12" s="117" t="s">
        <v>444</v>
      </c>
    </row>
    <row r="13" spans="1:12">
      <c r="A13" s="179" t="s">
        <v>443</v>
      </c>
    </row>
    <row r="14" spans="1:12">
      <c r="A14" s="258" t="str">
        <f>'Data '!A58</f>
        <v>Revenues</v>
      </c>
      <c r="B14" s="125">
        <f>'Data '!E58</f>
        <v>1251808</v>
      </c>
      <c r="C14" s="125">
        <f>'Data '!F58</f>
        <v>1156271</v>
      </c>
      <c r="D14" s="125">
        <f>'Data '!G58</f>
        <v>1035106</v>
      </c>
      <c r="E14" s="310">
        <f>'Forecast Development '!E16</f>
        <v>1046253.44</v>
      </c>
      <c r="F14" s="310">
        <f>'Forecast Development '!F16</f>
        <v>1083489.8600999999</v>
      </c>
      <c r="G14" s="310">
        <f>'Forecast Development '!G16</f>
        <v>1131787.7638109999</v>
      </c>
      <c r="H14" s="310">
        <f>'Forecast Development '!H16</f>
        <v>1184145.70522527</v>
      </c>
      <c r="I14" s="310">
        <f>'Forecast Development '!I16</f>
        <v>1233098.4724433867</v>
      </c>
      <c r="J14" s="311">
        <f>I14*$J$9</f>
        <v>1270091.4266166883</v>
      </c>
      <c r="L14" s="113"/>
    </row>
    <row r="15" spans="1:12">
      <c r="A15" s="245" t="s">
        <v>412</v>
      </c>
      <c r="B15" s="312">
        <f>B14/B$14</f>
        <v>1</v>
      </c>
      <c r="C15" s="312">
        <f>C14/C$14</f>
        <v>1</v>
      </c>
      <c r="D15" s="312">
        <f>D14/D$14</f>
        <v>1</v>
      </c>
      <c r="E15" s="313">
        <f>E14/D14-1</f>
        <v>1.0769370479931428E-2</v>
      </c>
      <c r="F15" s="313">
        <f>F14/E14-1</f>
        <v>3.5590248668620816E-2</v>
      </c>
      <c r="G15" s="313">
        <f>G14/F14-1</f>
        <v>4.4576239695074182E-2</v>
      </c>
      <c r="H15" s="313">
        <f>H14/G14-1</f>
        <v>4.6261271846559371E-2</v>
      </c>
      <c r="I15" s="313">
        <f>I14/H14-1</f>
        <v>4.1340155187071348E-2</v>
      </c>
      <c r="J15" s="314"/>
    </row>
    <row r="16" spans="1:12">
      <c r="A16" s="245" t="s">
        <v>411</v>
      </c>
      <c r="B16" s="312"/>
      <c r="C16" s="312">
        <f>IF(ISERROR(C14/B14-1),"",C14/B14-1)</f>
        <v>-7.6319211891919481E-2</v>
      </c>
      <c r="D16" s="312">
        <f>IF(ISERROR(D14/C14-1),"",D14/C14-1)</f>
        <v>-0.10478944814840119</v>
      </c>
      <c r="E16" s="315" t="s">
        <v>442</v>
      </c>
      <c r="F16" s="316"/>
      <c r="G16" s="316"/>
      <c r="H16" s="316"/>
      <c r="I16" s="316"/>
      <c r="J16" s="314"/>
    </row>
    <row r="17" spans="1:12">
      <c r="A17" s="258" t="str">
        <f>'Data '!A59</f>
        <v>&lt;Cost of goods sold&gt;</v>
      </c>
      <c r="B17" s="125">
        <f>'Data '!E59</f>
        <v>-350693</v>
      </c>
      <c r="C17" s="125">
        <f>'Data '!F59</f>
        <v>-316839</v>
      </c>
      <c r="D17" s="125">
        <f>'Data '!G59</f>
        <v>-295098</v>
      </c>
      <c r="E17" s="310">
        <f>-'Forecast Development '!E116</f>
        <v>-298182.23039999994</v>
      </c>
      <c r="F17" s="310">
        <f>-'Forecast Development '!F116</f>
        <v>-308794.61012849997</v>
      </c>
      <c r="G17" s="310">
        <f>-'Forecast Development '!G116</f>
        <v>-322559.51268613496</v>
      </c>
      <c r="H17" s="310">
        <f>-'Forecast Development '!H116</f>
        <v>-337481.52598920191</v>
      </c>
      <c r="I17" s="310">
        <f>-'Forecast Development '!I116</f>
        <v>-351433.06464636518</v>
      </c>
      <c r="J17" s="311">
        <f>I17*$J$9</f>
        <v>-361976.05658575613</v>
      </c>
    </row>
    <row r="18" spans="1:12">
      <c r="A18" s="245" t="s">
        <v>412</v>
      </c>
      <c r="B18" s="312">
        <f>B17/B$14</f>
        <v>-0.2801491922083898</v>
      </c>
      <c r="C18" s="312">
        <f>C17/C$14</f>
        <v>-0.27401794216061803</v>
      </c>
      <c r="D18" s="312">
        <f>D17/D$14</f>
        <v>-0.28508964299308476</v>
      </c>
      <c r="E18" s="313">
        <f>E17/E14</f>
        <v>-0.28499999999999998</v>
      </c>
      <c r="F18" s="313">
        <f>F17/F14</f>
        <v>-0.28499999999999998</v>
      </c>
      <c r="G18" s="313">
        <f>G17/G14</f>
        <v>-0.28499999999999998</v>
      </c>
      <c r="H18" s="313">
        <f>H17/H14</f>
        <v>-0.28499999999999998</v>
      </c>
      <c r="I18" s="313">
        <f>I17/I14</f>
        <v>-0.28499999999999998</v>
      </c>
      <c r="J18" s="314"/>
    </row>
    <row r="19" spans="1:12">
      <c r="A19" s="245" t="s">
        <v>411</v>
      </c>
      <c r="B19" s="312">
        <f>AVERAGE(B18:D18)</f>
        <v>-0.27975225912069751</v>
      </c>
      <c r="C19" s="312">
        <f>IF(ISERROR(C17/B17-1),"",C17/B17-1)</f>
        <v>-9.6534575825579672E-2</v>
      </c>
      <c r="D19" s="312">
        <f>IF(ISERROR(D17/C17-1),"",D17/C17-1)</f>
        <v>-6.8618446592748961E-2</v>
      </c>
      <c r="E19" s="315" t="s">
        <v>441</v>
      </c>
      <c r="F19" s="316"/>
      <c r="G19" s="316"/>
      <c r="H19" s="316"/>
      <c r="I19" s="316"/>
      <c r="J19" s="314"/>
    </row>
    <row r="20" spans="1:12">
      <c r="A20" s="258" t="str">
        <f>'Data '!A60</f>
        <v xml:space="preserve">  Gross Profit</v>
      </c>
      <c r="B20" s="317">
        <f t="shared" ref="B20:J20" si="0">B14+B17</f>
        <v>901115</v>
      </c>
      <c r="C20" s="317">
        <f t="shared" si="0"/>
        <v>839432</v>
      </c>
      <c r="D20" s="317">
        <f t="shared" si="0"/>
        <v>740008</v>
      </c>
      <c r="E20" s="318">
        <f t="shared" si="0"/>
        <v>748071.20959999994</v>
      </c>
      <c r="F20" s="318">
        <f t="shared" si="0"/>
        <v>774695.2499714999</v>
      </c>
      <c r="G20" s="318">
        <f t="shared" si="0"/>
        <v>809228.25112486491</v>
      </c>
      <c r="H20" s="318">
        <f t="shared" si="0"/>
        <v>846664.17923606816</v>
      </c>
      <c r="I20" s="318">
        <f t="shared" si="0"/>
        <v>881665.40779702156</v>
      </c>
      <c r="J20" s="318">
        <f t="shared" si="0"/>
        <v>908115.37003093213</v>
      </c>
    </row>
    <row r="21" spans="1:12">
      <c r="A21" s="245" t="s">
        <v>412</v>
      </c>
      <c r="B21" s="312">
        <f t="shared" ref="B21:J21" si="1">B20/B$14</f>
        <v>0.71985080779161026</v>
      </c>
      <c r="C21" s="312">
        <f t="shared" si="1"/>
        <v>0.72598205783938197</v>
      </c>
      <c r="D21" s="312">
        <f t="shared" si="1"/>
        <v>0.71491035700691519</v>
      </c>
      <c r="E21" s="312">
        <f t="shared" si="1"/>
        <v>0.71499999999999997</v>
      </c>
      <c r="F21" s="312">
        <f t="shared" si="1"/>
        <v>0.71499999999999997</v>
      </c>
      <c r="G21" s="312">
        <f t="shared" si="1"/>
        <v>0.71499999999999997</v>
      </c>
      <c r="H21" s="312">
        <f t="shared" si="1"/>
        <v>0.71500000000000008</v>
      </c>
      <c r="I21" s="312">
        <f t="shared" si="1"/>
        <v>0.71500000000000008</v>
      </c>
      <c r="J21" s="312">
        <f t="shared" si="1"/>
        <v>0.71499999999999997</v>
      </c>
    </row>
    <row r="22" spans="1:12">
      <c r="A22" s="245" t="s">
        <v>411</v>
      </c>
      <c r="B22" s="312"/>
      <c r="C22" s="312">
        <f t="shared" ref="C22:I22" si="2">IF(ISERROR(C20/B20-1),"",C20/B20-1)</f>
        <v>-6.8451862414897091E-2</v>
      </c>
      <c r="D22" s="312">
        <f t="shared" si="2"/>
        <v>-0.11844199411030321</v>
      </c>
      <c r="E22" s="312">
        <f t="shared" si="2"/>
        <v>1.0896111393390306E-2</v>
      </c>
      <c r="F22" s="312">
        <f t="shared" si="2"/>
        <v>3.5590248668620816E-2</v>
      </c>
      <c r="G22" s="312">
        <f t="shared" si="2"/>
        <v>4.4576239695074182E-2</v>
      </c>
      <c r="H22" s="312">
        <f t="shared" si="2"/>
        <v>4.6261271846559371E-2</v>
      </c>
      <c r="I22" s="312">
        <f t="shared" si="2"/>
        <v>4.1340155187071348E-2</v>
      </c>
      <c r="J22" s="312"/>
    </row>
    <row r="23" spans="1:12">
      <c r="A23" s="244"/>
      <c r="B23" s="312"/>
      <c r="C23" s="312"/>
      <c r="D23" s="312"/>
      <c r="E23" s="131"/>
      <c r="F23" s="131"/>
      <c r="G23" s="131"/>
      <c r="H23" s="131"/>
      <c r="I23" s="131"/>
      <c r="J23" s="131"/>
    </row>
    <row r="24" spans="1:12">
      <c r="A24" s="258" t="str">
        <f>'Data '!A61</f>
        <v>&lt;Operating Expenses (1)&gt;</v>
      </c>
      <c r="B24" s="125">
        <f>'Data '!E61</f>
        <v>-311353</v>
      </c>
      <c r="C24" s="125">
        <f>'Data '!F61</f>
        <v>-274860</v>
      </c>
      <c r="D24" s="125">
        <f>'Data '!G61</f>
        <v>-232300</v>
      </c>
      <c r="E24" s="310">
        <f>E14*E25</f>
        <v>-240638.29120000001</v>
      </c>
      <c r="F24" s="310">
        <f>F14*F25</f>
        <v>-249202.667823</v>
      </c>
      <c r="G24" s="310">
        <f>G14*G25</f>
        <v>-260311.18567653</v>
      </c>
      <c r="H24" s="310">
        <f>H14*H25</f>
        <v>-272353.51220181212</v>
      </c>
      <c r="I24" s="310">
        <f>I14*I25</f>
        <v>-283612.64866197895</v>
      </c>
      <c r="J24" s="311">
        <f>I24*$J$9</f>
        <v>-292121.02812183835</v>
      </c>
    </row>
    <row r="25" spans="1:12">
      <c r="A25" s="245" t="s">
        <v>412</v>
      </c>
      <c r="B25" s="312">
        <f>B24/B$14</f>
        <v>-0.24872264756256551</v>
      </c>
      <c r="C25" s="312">
        <f>C24/C$14</f>
        <v>-0.23771243938488468</v>
      </c>
      <c r="D25" s="312">
        <f>D24/D$14</f>
        <v>-0.2244214602176009</v>
      </c>
      <c r="E25" s="313">
        <v>-0.23</v>
      </c>
      <c r="F25" s="313">
        <v>-0.23</v>
      </c>
      <c r="G25" s="313">
        <v>-0.23</v>
      </c>
      <c r="H25" s="313">
        <v>-0.23</v>
      </c>
      <c r="I25" s="313">
        <v>-0.23</v>
      </c>
      <c r="J25" s="314"/>
      <c r="L25" s="213"/>
    </row>
    <row r="26" spans="1:12">
      <c r="A26" s="245" t="s">
        <v>411</v>
      </c>
      <c r="B26" s="312">
        <f>AVERAGE((B25:D25))</f>
        <v>-0.23695218238835036</v>
      </c>
      <c r="C26" s="312">
        <f>IF(ISERROR(C24/B24-1),"",C24/B24-1)</f>
        <v>-0.11720779950731164</v>
      </c>
      <c r="D26" s="312">
        <f>IF(ISERROR(D24/C24-1),"",D24/C24-1)</f>
        <v>-0.15484246525503897</v>
      </c>
      <c r="E26" s="315" t="s">
        <v>1352</v>
      </c>
      <c r="F26" s="315"/>
      <c r="G26" s="315"/>
      <c r="H26" s="315"/>
      <c r="I26" s="315"/>
      <c r="J26" s="314"/>
    </row>
    <row r="27" spans="1:12">
      <c r="A27" s="319" t="str">
        <f>'Data '!A62</f>
        <v>&lt;Operating Expenses (2)&gt;</v>
      </c>
      <c r="B27" s="125">
        <f>'Data '!E62</f>
        <v>-168819</v>
      </c>
      <c r="C27" s="125">
        <f>'Data '!F62</f>
        <v>-137142</v>
      </c>
      <c r="D27" s="125">
        <f>'Data '!G62</f>
        <v>-157093</v>
      </c>
      <c r="E27" s="310">
        <f>E14*E28</f>
        <v>-124504.15935999999</v>
      </c>
      <c r="F27" s="310">
        <f>F14*F28</f>
        <v>-128935.29335189999</v>
      </c>
      <c r="G27" s="310">
        <f>G14*G28</f>
        <v>-134682.74389350897</v>
      </c>
      <c r="H27" s="310">
        <f>H14*H28</f>
        <v>-140913.33892180712</v>
      </c>
      <c r="I27" s="310">
        <f>I14*I28</f>
        <v>-146738.718220763</v>
      </c>
      <c r="J27" s="311">
        <f>I27*$J$9</f>
        <v>-151140.87976738589</v>
      </c>
    </row>
    <row r="28" spans="1:12">
      <c r="A28" s="245" t="s">
        <v>412</v>
      </c>
      <c r="B28" s="312">
        <f>B27/B$14</f>
        <v>-0.13486013829596871</v>
      </c>
      <c r="C28" s="312">
        <f>C27/C$14</f>
        <v>-0.11860714313513009</v>
      </c>
      <c r="D28" s="312">
        <f>D27/D$14</f>
        <v>-0.15176513323273172</v>
      </c>
      <c r="E28" s="313">
        <v>-0.11899999999999999</v>
      </c>
      <c r="F28" s="313">
        <v>-0.11899999999999999</v>
      </c>
      <c r="G28" s="313">
        <v>-0.11899999999999999</v>
      </c>
      <c r="H28" s="313">
        <v>-0.11899999999999999</v>
      </c>
      <c r="I28" s="313">
        <v>-0.11899999999999999</v>
      </c>
      <c r="J28" s="314"/>
    </row>
    <row r="29" spans="1:12">
      <c r="A29" s="245" t="s">
        <v>411</v>
      </c>
      <c r="B29" s="312">
        <f>AVERAGE((B28:D28))</f>
        <v>-0.13507747155461017</v>
      </c>
      <c r="C29" s="312">
        <f>IF(ISERROR(C27/B27-1),"",C27/B27-1)</f>
        <v>-0.18763883212197674</v>
      </c>
      <c r="D29" s="312">
        <f>IF(ISERROR(D27/C27-1),"",D27/C27-1)</f>
        <v>0.1454769508976097</v>
      </c>
      <c r="E29" s="315" t="s">
        <v>1353</v>
      </c>
      <c r="F29" s="315"/>
      <c r="G29" s="315"/>
      <c r="H29" s="315"/>
      <c r="I29" s="315"/>
      <c r="J29" s="320"/>
    </row>
    <row r="30" spans="1:12">
      <c r="A30" s="319" t="str">
        <f>'Data '!A63</f>
        <v>&lt;Depreciation and Amortization&gt;</v>
      </c>
      <c r="B30" s="125">
        <f>-'Data '!E91</f>
        <v>-170962</v>
      </c>
      <c r="C30" s="125">
        <f>-'Data '!F91</f>
        <v>-179789</v>
      </c>
      <c r="D30" s="125">
        <f>-'Data '!G91</f>
        <v>-264219</v>
      </c>
      <c r="E30" s="1112">
        <f>-('Forecast Development '!E80*0.95+'Forecast Development '!E85)</f>
        <v>-271999.80724999995</v>
      </c>
      <c r="F30" s="1112">
        <f>-('Forecast Development '!F80*0.95+'Forecast Development '!F85)</f>
        <v>-271347.09086249996</v>
      </c>
      <c r="G30" s="1112">
        <f>-('Forecast Development '!G80*0.95+'Forecast Development '!G85)</f>
        <v>-270805.078060625</v>
      </c>
      <c r="H30" s="1112">
        <f>-('Forecast Development '!H80*0.95+'Forecast Development '!H85)</f>
        <v>-270372.03345118125</v>
      </c>
      <c r="I30" s="1112">
        <f>-('Forecast Development '!I80*0.95+'Forecast Development '!I85)</f>
        <v>-270066.02685190225</v>
      </c>
      <c r="J30" s="311">
        <f>I30*$J$9</f>
        <v>-278168.0076574593</v>
      </c>
    </row>
    <row r="31" spans="1:12">
      <c r="A31" s="245" t="s">
        <v>412</v>
      </c>
      <c r="B31" s="312">
        <f>B30/B$14</f>
        <v>-0.13657206216927836</v>
      </c>
      <c r="C31" s="312">
        <f>C30/C$14</f>
        <v>-0.15549036514796272</v>
      </c>
      <c r="D31" s="312">
        <f>D30/D$14</f>
        <v>-0.2552579156144395</v>
      </c>
      <c r="E31" s="321"/>
      <c r="F31" s="321"/>
      <c r="G31" s="321"/>
      <c r="H31" s="321"/>
      <c r="I31" s="321"/>
      <c r="J31" s="314"/>
    </row>
    <row r="32" spans="1:12">
      <c r="A32" s="245" t="s">
        <v>411</v>
      </c>
      <c r="B32" s="312">
        <f>AVERAGE((B31:D31))</f>
        <v>-0.1824401143105602</v>
      </c>
      <c r="C32" s="312">
        <f>IF(ISERROR(C30/B30-1),"",C30/B30-1)</f>
        <v>5.1631356675752471E-2</v>
      </c>
      <c r="D32" s="312">
        <f>IF(ISERROR(D30/C30-1),"",D30/C30-1)</f>
        <v>0.46960603818921065</v>
      </c>
      <c r="E32" s="315" t="s">
        <v>440</v>
      </c>
      <c r="F32" s="315"/>
      <c r="G32" s="315"/>
      <c r="H32" s="315"/>
      <c r="I32" s="315"/>
      <c r="J32" s="320"/>
    </row>
    <row r="33" spans="1:10">
      <c r="A33" s="319" t="str">
        <f>'Data '!A64</f>
        <v>&lt;Selling, General and Administrative Expenses&gt;</v>
      </c>
      <c r="B33" s="125">
        <f>'Data '!E64</f>
        <v>-49263</v>
      </c>
      <c r="C33" s="125">
        <f>'Data '!F64</f>
        <v>-53086</v>
      </c>
      <c r="D33" s="125">
        <f>'Data '!G64</f>
        <v>-47038</v>
      </c>
      <c r="E33" s="310">
        <f>E14*E34</f>
        <v>-46035.151359999996</v>
      </c>
      <c r="F33" s="310">
        <f>F14*F34</f>
        <v>-47673.553844399998</v>
      </c>
      <c r="G33" s="310">
        <f>G14*G34</f>
        <v>-49798.661607683993</v>
      </c>
      <c r="H33" s="310">
        <f>H14*H34</f>
        <v>-52102.411029911877</v>
      </c>
      <c r="I33" s="310">
        <f>I14*I34</f>
        <v>-54256.332787509011</v>
      </c>
      <c r="J33" s="311">
        <f>I33*$J$9</f>
        <v>-55884.022771134281</v>
      </c>
    </row>
    <row r="34" spans="1:10">
      <c r="A34" s="245" t="s">
        <v>412</v>
      </c>
      <c r="B34" s="312">
        <f>B33/B$14</f>
        <v>-3.9353479127789567E-2</v>
      </c>
      <c r="C34" s="312">
        <f>C33/C$14</f>
        <v>-4.5911382366244591E-2</v>
      </c>
      <c r="D34" s="312">
        <f>D33/D$14</f>
        <v>-4.5442688961323766E-2</v>
      </c>
      <c r="E34" s="313">
        <v>-4.3999999999999997E-2</v>
      </c>
      <c r="F34" s="313">
        <v>-4.3999999999999997E-2</v>
      </c>
      <c r="G34" s="313">
        <v>-4.3999999999999997E-2</v>
      </c>
      <c r="H34" s="313">
        <v>-4.3999999999999997E-2</v>
      </c>
      <c r="I34" s="313">
        <v>-4.3999999999999997E-2</v>
      </c>
      <c r="J34" s="314"/>
    </row>
    <row r="35" spans="1:10">
      <c r="A35" s="245" t="s">
        <v>411</v>
      </c>
      <c r="B35" s="312">
        <f>AVERAGE(B34:D34)</f>
        <v>-4.356918348511931E-2</v>
      </c>
      <c r="C35" s="312">
        <f>IF(ISERROR(C33/B33-1),"",C33/B33-1)</f>
        <v>7.7603881209020953E-2</v>
      </c>
      <c r="D35" s="312">
        <f>IF(ISERROR(D33/C33-1),"",D33/C33-1)</f>
        <v>-0.11392834268922125</v>
      </c>
      <c r="E35" s="315" t="s">
        <v>1354</v>
      </c>
      <c r="F35" s="315"/>
      <c r="G35" s="315"/>
      <c r="H35" s="315"/>
      <c r="I35" s="315"/>
      <c r="J35" s="320"/>
    </row>
    <row r="36" spans="1:10">
      <c r="A36" s="319" t="str">
        <f>'Data '!A65</f>
        <v>Other operating expenses (1)</v>
      </c>
      <c r="B36" s="125">
        <f>'Data '!E65</f>
        <v>-92064</v>
      </c>
      <c r="C36" s="125">
        <f>'Data '!F65</f>
        <v>-113695</v>
      </c>
      <c r="D36" s="125">
        <f>'Data '!G65</f>
        <v>-86661</v>
      </c>
      <c r="E36" s="310">
        <f>E14*E37</f>
        <v>-83700.275200000004</v>
      </c>
      <c r="F36" s="310">
        <f>F14*F37</f>
        <v>-86679.188807999992</v>
      </c>
      <c r="G36" s="310">
        <f>G14*G37</f>
        <v>-90543.021104879997</v>
      </c>
      <c r="H36" s="310">
        <f>H14*H37</f>
        <v>-94731.656418021608</v>
      </c>
      <c r="I36" s="310">
        <f>I14*I37</f>
        <v>-98647.877795470937</v>
      </c>
      <c r="J36" s="311">
        <f>I36*$J$9</f>
        <v>-101607.31412933506</v>
      </c>
    </row>
    <row r="37" spans="1:10">
      <c r="A37" s="245" t="s">
        <v>412</v>
      </c>
      <c r="B37" s="312">
        <f>B36/B$14</f>
        <v>-7.3544824765459246E-2</v>
      </c>
      <c r="C37" s="312">
        <f>C36/C$14</f>
        <v>-9.8329024943114546E-2</v>
      </c>
      <c r="D37" s="312">
        <f>D36/D$14</f>
        <v>-8.3721860369855836E-2</v>
      </c>
      <c r="E37" s="313">
        <v>-0.08</v>
      </c>
      <c r="F37" s="313">
        <v>-0.08</v>
      </c>
      <c r="G37" s="313">
        <v>-0.08</v>
      </c>
      <c r="H37" s="313">
        <v>-0.08</v>
      </c>
      <c r="I37" s="313">
        <v>-0.08</v>
      </c>
      <c r="J37" s="314"/>
    </row>
    <row r="38" spans="1:10">
      <c r="A38" s="245" t="s">
        <v>411</v>
      </c>
      <c r="B38" s="312">
        <f>AVERAGE(B37:D37)</f>
        <v>-8.5198570026143214E-2</v>
      </c>
      <c r="C38" s="312">
        <f>IF(ISERROR(C36/B36-1),"",C36/B36-1)</f>
        <v>0.23495611748348977</v>
      </c>
      <c r="D38" s="312">
        <f>IF(ISERROR(D36/C36-1),"",D36/C36-1)</f>
        <v>-0.23777650732222178</v>
      </c>
      <c r="E38" s="315" t="s">
        <v>1355</v>
      </c>
      <c r="F38" s="315"/>
      <c r="G38" s="315"/>
      <c r="H38" s="315"/>
      <c r="I38" s="315"/>
      <c r="J38" s="320"/>
    </row>
    <row r="39" spans="1:10">
      <c r="A39" s="319" t="str">
        <f>'Data '!A66</f>
        <v>Other operating expenses (2)</v>
      </c>
      <c r="B39" s="125">
        <f>'Data '!E66</f>
        <v>-29024</v>
      </c>
      <c r="C39" s="125">
        <f>'Data '!F66</f>
        <v>-29721</v>
      </c>
      <c r="D39" s="125">
        <f>'Data '!G66</f>
        <v>-25703</v>
      </c>
      <c r="E39" s="310">
        <f>E$14*E40</f>
        <v>-25110.082559999999</v>
      </c>
      <c r="F39" s="310">
        <f>F$14*F40</f>
        <v>-26003.7566424</v>
      </c>
      <c r="G39" s="310">
        <f>G$14*G40</f>
        <v>-27162.906331463997</v>
      </c>
      <c r="H39" s="310">
        <f>H$14*H40</f>
        <v>-28419.496925406482</v>
      </c>
      <c r="I39" s="310">
        <f>I$14*I40</f>
        <v>-29594.36333864128</v>
      </c>
      <c r="J39" s="311">
        <f>I39*$J$9</f>
        <v>-30482.194238800519</v>
      </c>
    </row>
    <row r="40" spans="1:10">
      <c r="A40" s="245" t="s">
        <v>412</v>
      </c>
      <c r="B40" s="312">
        <f>B39/B$14</f>
        <v>-2.3185664255221249E-2</v>
      </c>
      <c r="C40" s="312">
        <f>C39/C$14</f>
        <v>-2.5704181805130458E-2</v>
      </c>
      <c r="D40" s="312">
        <f>D39/D$14</f>
        <v>-2.4831273318867825E-2</v>
      </c>
      <c r="E40" s="313">
        <f>B41</f>
        <v>-2.4E-2</v>
      </c>
      <c r="F40" s="313">
        <f>E40</f>
        <v>-2.4E-2</v>
      </c>
      <c r="G40" s="313">
        <f t="shared" ref="G40:I40" si="3">F40</f>
        <v>-2.4E-2</v>
      </c>
      <c r="H40" s="313">
        <f t="shared" si="3"/>
        <v>-2.4E-2</v>
      </c>
      <c r="I40" s="313">
        <f t="shared" si="3"/>
        <v>-2.4E-2</v>
      </c>
      <c r="J40" s="314"/>
    </row>
    <row r="41" spans="1:10">
      <c r="A41" s="245" t="s">
        <v>411</v>
      </c>
      <c r="B41" s="312">
        <v>-2.4E-2</v>
      </c>
      <c r="C41" s="312">
        <f>IF(ISERROR(C39/B39-1),"",C39/B39-1)</f>
        <v>2.4014608599779441E-2</v>
      </c>
      <c r="D41" s="312">
        <f>IF(ISERROR(D39/C39-1),"",D39/C39-1)</f>
        <v>-0.13519060596884358</v>
      </c>
      <c r="E41" s="315" t="s">
        <v>1356</v>
      </c>
      <c r="F41" s="315"/>
      <c r="G41" s="315"/>
      <c r="H41" s="315"/>
      <c r="I41" s="315"/>
      <c r="J41" s="320"/>
    </row>
    <row r="42" spans="1:10">
      <c r="A42" s="319" t="str">
        <f>'Data '!A67</f>
        <v>Income from equity investees</v>
      </c>
      <c r="B42" s="125">
        <f>'Data '!E67</f>
        <v>0</v>
      </c>
      <c r="C42" s="125">
        <f>'Data '!F67</f>
        <v>0</v>
      </c>
      <c r="D42" s="125">
        <f>'Data '!G67</f>
        <v>0</v>
      </c>
      <c r="E42" s="310">
        <f>E$14*E43</f>
        <v>0</v>
      </c>
      <c r="F42" s="310">
        <f>F$14*F43</f>
        <v>0</v>
      </c>
      <c r="G42" s="310">
        <f>G$14*G43</f>
        <v>0</v>
      </c>
      <c r="H42" s="310">
        <f>H$14*H43</f>
        <v>0</v>
      </c>
      <c r="I42" s="310">
        <f>I$14*I43</f>
        <v>0</v>
      </c>
      <c r="J42" s="311">
        <f>I42*$J$9</f>
        <v>0</v>
      </c>
    </row>
    <row r="43" spans="1:10">
      <c r="A43" s="245" t="s">
        <v>412</v>
      </c>
      <c r="B43" s="312">
        <f>B42/B$14</f>
        <v>0</v>
      </c>
      <c r="C43" s="312">
        <f>C42/C$14</f>
        <v>0</v>
      </c>
      <c r="D43" s="312">
        <f>D42/D$14</f>
        <v>0</v>
      </c>
      <c r="E43" s="313">
        <v>0</v>
      </c>
      <c r="F43" s="313">
        <f>E43</f>
        <v>0</v>
      </c>
      <c r="G43" s="313">
        <f>F43</f>
        <v>0</v>
      </c>
      <c r="H43" s="313">
        <f>G43</f>
        <v>0</v>
      </c>
      <c r="I43" s="313">
        <f>H43</f>
        <v>0</v>
      </c>
      <c r="J43" s="314"/>
    </row>
    <row r="44" spans="1:10">
      <c r="A44" s="245" t="s">
        <v>411</v>
      </c>
      <c r="B44" s="312"/>
      <c r="C44" s="312" t="str">
        <f>IF(ISERROR(C42/B42-1),"",C42/B42-1)</f>
        <v/>
      </c>
      <c r="D44" s="312" t="str">
        <f>IF(ISERROR(D42/C42-1),"",D42/C42-1)</f>
        <v/>
      </c>
      <c r="E44" s="315" t="s">
        <v>1357</v>
      </c>
      <c r="F44" s="315"/>
      <c r="G44" s="315"/>
      <c r="H44" s="315"/>
      <c r="I44" s="315"/>
      <c r="J44" s="320"/>
    </row>
    <row r="45" spans="1:10">
      <c r="A45" s="319" t="str">
        <f>'Data '!A68</f>
        <v>Non-recurring operating gains &lt;losses&gt;</v>
      </c>
      <c r="B45" s="125">
        <f>'Data '!E68</f>
        <v>48308</v>
      </c>
      <c r="C45" s="125">
        <f>'Data '!F68</f>
        <v>20883</v>
      </c>
      <c r="D45" s="125">
        <f>'Data '!G68</f>
        <v>24005</v>
      </c>
      <c r="E45" s="310">
        <f>E$14*E46</f>
        <v>20925.068800000001</v>
      </c>
      <c r="F45" s="310">
        <f>F$14*F46</f>
        <v>21669.797201999998</v>
      </c>
      <c r="G45" s="310">
        <f>G$14*G46</f>
        <v>22635.755276219999</v>
      </c>
      <c r="H45" s="310">
        <f>H$14*H46</f>
        <v>23682.914104505402</v>
      </c>
      <c r="I45" s="310">
        <f>I$14*I46</f>
        <v>24661.969448867734</v>
      </c>
      <c r="J45" s="311">
        <f>I45*$J$9</f>
        <v>25401.828532333766</v>
      </c>
    </row>
    <row r="46" spans="1:10">
      <c r="A46" s="245" t="s">
        <v>412</v>
      </c>
      <c r="B46" s="312">
        <f>B45/B$14</f>
        <v>3.8590582581354331E-2</v>
      </c>
      <c r="C46" s="312">
        <f>C45/C$14</f>
        <v>1.8060644952610592E-2</v>
      </c>
      <c r="D46" s="312">
        <f>D45/D$14</f>
        <v>2.3190861612240678E-2</v>
      </c>
      <c r="E46" s="313">
        <v>0.02</v>
      </c>
      <c r="F46" s="313">
        <v>0.02</v>
      </c>
      <c r="G46" s="313">
        <v>0.02</v>
      </c>
      <c r="H46" s="313">
        <v>0.02</v>
      </c>
      <c r="I46" s="313">
        <v>0.02</v>
      </c>
      <c r="J46" s="322"/>
    </row>
    <row r="47" spans="1:10">
      <c r="A47" s="245" t="s">
        <v>411</v>
      </c>
      <c r="B47" s="312">
        <f>AVERAGE((B46:D46))</f>
        <v>2.6614029715401871E-2</v>
      </c>
      <c r="C47" s="312">
        <f>IF(ISERROR(C45/B45-1),"",C45/B45-1)</f>
        <v>-0.56771135215699264</v>
      </c>
      <c r="D47" s="312">
        <f>IF(ISERROR(D45/C45-1),"",D45/C45-1)</f>
        <v>0.14949959297035864</v>
      </c>
      <c r="E47" s="315" t="s">
        <v>1358</v>
      </c>
      <c r="F47" s="315"/>
      <c r="G47" s="315"/>
      <c r="H47" s="315"/>
      <c r="I47" s="315"/>
      <c r="J47" s="320"/>
    </row>
    <row r="48" spans="1:10">
      <c r="A48" s="258" t="str">
        <f>'Data '!A69</f>
        <v xml:space="preserve">  Operating Profit</v>
      </c>
      <c r="B48" s="317">
        <f t="shared" ref="B48:J48" si="4">B20+B24+B27+B30+B33+B36+B39+B42+B45</f>
        <v>127938</v>
      </c>
      <c r="C48" s="317">
        <f t="shared" si="4"/>
        <v>72022</v>
      </c>
      <c r="D48" s="317">
        <f t="shared" si="4"/>
        <v>-49001</v>
      </c>
      <c r="E48" s="317">
        <f t="shared" si="4"/>
        <v>-22991.488529999981</v>
      </c>
      <c r="F48" s="317">
        <f t="shared" si="4"/>
        <v>-13476.504158700049</v>
      </c>
      <c r="G48" s="317">
        <f t="shared" si="4"/>
        <v>-1439.5902736070529</v>
      </c>
      <c r="H48" s="317">
        <f t="shared" si="4"/>
        <v>11454.644392433096</v>
      </c>
      <c r="I48" s="317">
        <f>I20+I24+I27+I30+I33+I36+I39+I42+I45</f>
        <v>23411.409589623774</v>
      </c>
      <c r="J48" s="317">
        <f t="shared" si="4"/>
        <v>24113.751877312501</v>
      </c>
    </row>
    <row r="49" spans="1:10">
      <c r="A49" s="245" t="s">
        <v>412</v>
      </c>
      <c r="B49" s="312">
        <f t="shared" ref="B49:J49" si="5">B48/B$14</f>
        <v>0.10220257419668193</v>
      </c>
      <c r="C49" s="312">
        <f t="shared" si="5"/>
        <v>6.2288166009525449E-2</v>
      </c>
      <c r="D49" s="312">
        <f t="shared" si="5"/>
        <v>-4.7339113095663632E-2</v>
      </c>
      <c r="E49" s="312">
        <f t="shared" si="5"/>
        <v>-2.1975066127381128E-2</v>
      </c>
      <c r="F49" s="312">
        <f t="shared" si="5"/>
        <v>-1.2438052865078261E-2</v>
      </c>
      <c r="G49" s="312">
        <f t="shared" si="5"/>
        <v>-1.2719613337748134E-3</v>
      </c>
      <c r="H49" s="312">
        <f t="shared" si="5"/>
        <v>9.6733403177390095E-3</v>
      </c>
      <c r="I49" s="312">
        <f t="shared" si="5"/>
        <v>1.8985839422243404E-2</v>
      </c>
      <c r="J49" s="312">
        <f t="shared" si="5"/>
        <v>1.8985839422243415E-2</v>
      </c>
    </row>
    <row r="50" spans="1:10">
      <c r="A50" s="245" t="s">
        <v>411</v>
      </c>
      <c r="B50" s="312"/>
      <c r="C50" s="312">
        <f t="shared" ref="C50:I50" si="6">IF(ISERROR(C48/B48-1),"",C48/B48-1)</f>
        <v>-0.43705544873298008</v>
      </c>
      <c r="D50" s="312">
        <f t="shared" si="6"/>
        <v>-1.6803615561911638</v>
      </c>
      <c r="E50" s="312">
        <f t="shared" si="6"/>
        <v>-0.53079552396889906</v>
      </c>
      <c r="F50" s="312">
        <f t="shared" si="6"/>
        <v>-0.4138481229209886</v>
      </c>
      <c r="G50" s="312">
        <f t="shared" si="6"/>
        <v>-0.89317776652948278</v>
      </c>
      <c r="H50" s="312">
        <f t="shared" si="6"/>
        <v>-8.9568781495947558</v>
      </c>
      <c r="I50" s="312">
        <f t="shared" si="6"/>
        <v>1.0438355646456632</v>
      </c>
      <c r="J50" s="312"/>
    </row>
    <row r="51" spans="1:10">
      <c r="A51" s="258"/>
      <c r="B51" s="312"/>
      <c r="C51" s="312"/>
      <c r="D51" s="312"/>
      <c r="E51" s="131"/>
      <c r="F51" s="131"/>
      <c r="G51" s="131"/>
      <c r="H51" s="131"/>
      <c r="I51" s="131"/>
      <c r="J51" s="131"/>
    </row>
    <row r="52" spans="1:10">
      <c r="A52" s="258" t="str">
        <f>'Data '!A70</f>
        <v>Interest income</v>
      </c>
      <c r="B52" s="125">
        <f>'Data '!E70</f>
        <v>51927</v>
      </c>
      <c r="C52" s="125">
        <f>'Data '!F70</f>
        <v>42949</v>
      </c>
      <c r="D52" s="125">
        <f>'Data '!G70</f>
        <v>38167</v>
      </c>
      <c r="E52" s="310">
        <f>E53*((D108+E108+D111+E111+D135+E135)/2)</f>
        <v>11252.512320000002</v>
      </c>
      <c r="F52" s="310">
        <f>F53*((E108+F108+E111+F111+E135+F135)/2)</f>
        <v>11576.686999500002</v>
      </c>
      <c r="G52" s="310">
        <f>G53*((F108+G108+F111+G111+F135+G135)/2)</f>
        <v>11910.318905583001</v>
      </c>
      <c r="H52" s="310">
        <f>H53*((G108+H108+G111+H111+G135+H135)/2)</f>
        <v>12253.68639477045</v>
      </c>
      <c r="I52" s="310">
        <f>I53*((H108+I108+H111+I111+H135+I135)/2)</f>
        <v>12607.076067073926</v>
      </c>
      <c r="J52" s="311">
        <f>I52*$J$9</f>
        <v>12985.288349086144</v>
      </c>
    </row>
    <row r="53" spans="1:10">
      <c r="A53" s="245" t="s">
        <v>412</v>
      </c>
      <c r="B53" s="312">
        <f>B52/B$14</f>
        <v>4.1481601012295817E-2</v>
      </c>
      <c r="C53" s="312">
        <f>C52/C$14</f>
        <v>3.7144406458347566E-2</v>
      </c>
      <c r="D53" s="312">
        <f>D52/D$14</f>
        <v>3.6872552183061444E-2</v>
      </c>
      <c r="E53" s="313">
        <v>4.1000000000000002E-2</v>
      </c>
      <c r="F53" s="313">
        <v>4.1000000000000002E-2</v>
      </c>
      <c r="G53" s="313">
        <v>4.1000000000000002E-2</v>
      </c>
      <c r="H53" s="313">
        <v>4.1000000000000002E-2</v>
      </c>
      <c r="I53" s="313">
        <v>4.1000000000000002E-2</v>
      </c>
      <c r="J53" s="314"/>
    </row>
    <row r="54" spans="1:10">
      <c r="A54" s="245" t="s">
        <v>411</v>
      </c>
      <c r="B54" s="312">
        <f>AVERAGE(B53:D53)</f>
        <v>3.8499519884568276E-2</v>
      </c>
      <c r="C54" s="312">
        <f>IF(ISERROR(C52/B52-1),"",C52/B52-1)</f>
        <v>-0.1728965663335067</v>
      </c>
      <c r="D54" s="312">
        <f>IF(ISERROR(D52/C52-1),"",D52/C52-1)</f>
        <v>-0.1113413583552586</v>
      </c>
      <c r="E54" s="315" t="s">
        <v>439</v>
      </c>
      <c r="F54" s="315"/>
      <c r="G54" s="315"/>
      <c r="H54" s="315"/>
      <c r="I54" s="315"/>
      <c r="J54" s="320"/>
    </row>
    <row r="55" spans="1:10">
      <c r="A55" s="258" t="str">
        <f>'Data '!A71</f>
        <v>&lt;Interest expense&gt;</v>
      </c>
      <c r="B55" s="125">
        <f>'Data '!E71</f>
        <v>-78703</v>
      </c>
      <c r="C55" s="125">
        <f>'Data '!F71</f>
        <v>-69387</v>
      </c>
      <c r="D55" s="125">
        <f>'Data '!G71</f>
        <v>-64743</v>
      </c>
      <c r="E55" s="310">
        <f>E56*((D170+E170+D173+E173+D191+E191)/2)</f>
        <v>-34364.260199999997</v>
      </c>
      <c r="F55" s="310">
        <f>F56*((E170+F170+E173+F173+E191+F191)/2)</f>
        <v>-35051.545403999997</v>
      </c>
      <c r="G55" s="310">
        <f>G56*((F170+G170+F173+G173+F191+G191)/2)</f>
        <v>-35752.576312080004</v>
      </c>
      <c r="H55" s="310">
        <f>H56*((G170+H170+G173+H173+G191+H191)/2)</f>
        <v>-36467.627838321598</v>
      </c>
      <c r="I55" s="310">
        <f>I56*((H170+I170+H173+I173+H191+I191)/2)</f>
        <v>-37196.98039508803</v>
      </c>
      <c r="J55" s="311">
        <f>I55*$J$9</f>
        <v>-38312.889806940671</v>
      </c>
    </row>
    <row r="56" spans="1:10">
      <c r="A56" s="245" t="s">
        <v>412</v>
      </c>
      <c r="B56" s="312">
        <f>B55/B$14</f>
        <v>-6.2871462716327098E-2</v>
      </c>
      <c r="C56" s="312">
        <f>C55/C$14</f>
        <v>-6.0009288479949768E-2</v>
      </c>
      <c r="D56" s="312">
        <f>D55/D$14</f>
        <v>-6.2547217386431916E-2</v>
      </c>
      <c r="E56" s="323">
        <v>-0.06</v>
      </c>
      <c r="F56" s="323">
        <f>E56</f>
        <v>-0.06</v>
      </c>
      <c r="G56" s="323">
        <f>F56</f>
        <v>-0.06</v>
      </c>
      <c r="H56" s="323">
        <f>G56</f>
        <v>-0.06</v>
      </c>
      <c r="I56" s="323">
        <f>H56</f>
        <v>-0.06</v>
      </c>
      <c r="J56" s="314"/>
    </row>
    <row r="57" spans="1:10">
      <c r="A57" s="245" t="s">
        <v>411</v>
      </c>
      <c r="B57" s="312">
        <v>-0.06</v>
      </c>
      <c r="C57" s="312">
        <f>IF(ISERROR(C55/B55-1),"",C55/B55-1)</f>
        <v>-0.11836905835863942</v>
      </c>
      <c r="D57" s="312">
        <f>IF(ISERROR(D55/C55-1),"",D55/C55-1)</f>
        <v>-6.6928963638721917E-2</v>
      </c>
      <c r="E57" s="315" t="s">
        <v>438</v>
      </c>
      <c r="F57" s="315"/>
      <c r="G57" s="315"/>
      <c r="H57" s="315"/>
      <c r="I57" s="315"/>
      <c r="J57" s="320"/>
    </row>
    <row r="58" spans="1:10">
      <c r="A58" s="319" t="str">
        <f>'Data '!A72</f>
        <v>Income &lt;Loss&gt; from equity affiliates</v>
      </c>
      <c r="B58" s="125">
        <f>'Data '!E72</f>
        <v>0</v>
      </c>
      <c r="C58" s="125">
        <f>'Data '!F72</f>
        <v>0</v>
      </c>
      <c r="D58" s="125">
        <f>'Data '!G72</f>
        <v>0</v>
      </c>
      <c r="E58" s="310">
        <f>E59*(D135+E135)/2</f>
        <v>0</v>
      </c>
      <c r="F58" s="310">
        <f>F59*(E135+F135)/2</f>
        <v>0</v>
      </c>
      <c r="G58" s="310">
        <f>G59*(F135+G135)/2</f>
        <v>0</v>
      </c>
      <c r="H58" s="310">
        <f>H59*(G135+H135)/2</f>
        <v>0</v>
      </c>
      <c r="I58" s="310">
        <f>I59*(H135+I135)/2</f>
        <v>0</v>
      </c>
      <c r="J58" s="311">
        <f>I58*$J$9</f>
        <v>0</v>
      </c>
    </row>
    <row r="59" spans="1:10">
      <c r="A59" s="245" t="s">
        <v>412</v>
      </c>
      <c r="B59" s="312">
        <f>B58/B$14</f>
        <v>0</v>
      </c>
      <c r="C59" s="312">
        <f>C58/C$14</f>
        <v>0</v>
      </c>
      <c r="D59" s="312">
        <f>D58/D$14</f>
        <v>0</v>
      </c>
      <c r="E59" s="313">
        <v>0</v>
      </c>
      <c r="F59" s="313">
        <f>E59</f>
        <v>0</v>
      </c>
      <c r="G59" s="313">
        <f>F59</f>
        <v>0</v>
      </c>
      <c r="H59" s="313">
        <f>G59</f>
        <v>0</v>
      </c>
      <c r="I59" s="313">
        <f>H59</f>
        <v>0</v>
      </c>
      <c r="J59" s="322"/>
    </row>
    <row r="60" spans="1:10">
      <c r="A60" s="245" t="s">
        <v>411</v>
      </c>
      <c r="B60" s="312"/>
      <c r="C60" s="312" t="str">
        <f>IF(ISERROR(C58/B58-1),"",C58/B58-1)</f>
        <v/>
      </c>
      <c r="D60" s="312" t="str">
        <f>IF(ISERROR(D58/C58-1),"",D58/C58-1)</f>
        <v/>
      </c>
      <c r="E60" s="315" t="s">
        <v>437</v>
      </c>
      <c r="F60" s="315"/>
      <c r="G60" s="315"/>
      <c r="H60" s="315"/>
      <c r="I60" s="315"/>
      <c r="J60" s="320"/>
    </row>
    <row r="61" spans="1:10">
      <c r="A61" s="319" t="str">
        <f>'Data '!A73</f>
        <v>Other income or gains &lt;Other expenses or losses&gt;</v>
      </c>
      <c r="B61" s="125">
        <f>'Data '!E73</f>
        <v>0</v>
      </c>
      <c r="C61" s="125">
        <f>'Data '!F73</f>
        <v>0</v>
      </c>
      <c r="D61" s="125">
        <f>'Data '!G73</f>
        <v>0</v>
      </c>
      <c r="E61" s="324">
        <v>0</v>
      </c>
      <c r="F61" s="324">
        <v>0</v>
      </c>
      <c r="G61" s="324">
        <v>0</v>
      </c>
      <c r="H61" s="324">
        <v>0</v>
      </c>
      <c r="I61" s="324">
        <v>0</v>
      </c>
      <c r="J61" s="311">
        <f>I61*$J$9</f>
        <v>0</v>
      </c>
    </row>
    <row r="62" spans="1:10">
      <c r="A62" s="245" t="s">
        <v>412</v>
      </c>
      <c r="B62" s="312">
        <f>B61/B$14</f>
        <v>0</v>
      </c>
      <c r="C62" s="312">
        <f>C61/C$14</f>
        <v>0</v>
      </c>
      <c r="D62" s="312">
        <f>D61/D$14</f>
        <v>0</v>
      </c>
      <c r="E62" s="321">
        <v>0</v>
      </c>
      <c r="F62" s="321">
        <v>0</v>
      </c>
      <c r="G62" s="321">
        <f>F62</f>
        <v>0</v>
      </c>
      <c r="H62" s="321">
        <f>G62</f>
        <v>0</v>
      </c>
      <c r="I62" s="321">
        <f>H62</f>
        <v>0</v>
      </c>
      <c r="J62" s="322"/>
    </row>
    <row r="63" spans="1:10">
      <c r="A63" s="245" t="s">
        <v>411</v>
      </c>
      <c r="B63" s="312"/>
      <c r="C63" s="312" t="str">
        <f>IF(ISERROR(C61/B61-1),"",C61/B61-1)</f>
        <v/>
      </c>
      <c r="D63" s="312" t="str">
        <f>IF(ISERROR(D61/C61-1),"",D61/C61-1)</f>
        <v/>
      </c>
      <c r="E63" s="315" t="s">
        <v>1359</v>
      </c>
      <c r="F63" s="315"/>
      <c r="G63" s="315"/>
      <c r="H63" s="315"/>
      <c r="I63" s="315"/>
      <c r="J63" s="320"/>
    </row>
    <row r="64" spans="1:10">
      <c r="A64" s="319" t="str">
        <f>'Data '!A74</f>
        <v xml:space="preserve">  Income before Tax</v>
      </c>
      <c r="B64" s="317">
        <f t="shared" ref="B64:J64" si="7">B48+B52+B55+B58+B61</f>
        <v>101162</v>
      </c>
      <c r="C64" s="317">
        <f t="shared" si="7"/>
        <v>45584</v>
      </c>
      <c r="D64" s="317">
        <f t="shared" si="7"/>
        <v>-75577</v>
      </c>
      <c r="E64" s="317">
        <f t="shared" si="7"/>
        <v>-46103.236409999976</v>
      </c>
      <c r="F64" s="317">
        <f t="shared" si="7"/>
        <v>-36951.362563200048</v>
      </c>
      <c r="G64" s="317">
        <f t="shared" si="7"/>
        <v>-25281.847680104056</v>
      </c>
      <c r="H64" s="317">
        <f t="shared" si="7"/>
        <v>-12759.297051118054</v>
      </c>
      <c r="I64" s="317">
        <f t="shared" si="7"/>
        <v>-1178.4947383903345</v>
      </c>
      <c r="J64" s="317">
        <f t="shared" si="7"/>
        <v>-1213.8495805420243</v>
      </c>
    </row>
    <row r="65" spans="1:10">
      <c r="A65" s="245" t="s">
        <v>412</v>
      </c>
      <c r="B65" s="312">
        <f t="shared" ref="B65:J65" si="8">B64/B$14</f>
        <v>8.0812712492650624E-2</v>
      </c>
      <c r="C65" s="312">
        <f t="shared" si="8"/>
        <v>3.9423283987923247E-2</v>
      </c>
      <c r="D65" s="312">
        <f t="shared" si="8"/>
        <v>-7.3013778299034104E-2</v>
      </c>
      <c r="E65" s="312">
        <f t="shared" si="8"/>
        <v>-4.4065075102644326E-2</v>
      </c>
      <c r="F65" s="312">
        <f t="shared" si="8"/>
        <v>-3.4104022496149293E-2</v>
      </c>
      <c r="G65" s="312">
        <f t="shared" si="8"/>
        <v>-2.2337975801199717E-2</v>
      </c>
      <c r="H65" s="312">
        <f t="shared" si="8"/>
        <v>-1.0775107315607537E-2</v>
      </c>
      <c r="I65" s="312">
        <f t="shared" si="8"/>
        <v>-9.557182696489318E-4</v>
      </c>
      <c r="J65" s="312">
        <f t="shared" si="8"/>
        <v>-9.5571826964891587E-4</v>
      </c>
    </row>
    <row r="66" spans="1:10">
      <c r="A66" s="245" t="s">
        <v>411</v>
      </c>
      <c r="B66" s="312"/>
      <c r="C66" s="312">
        <f t="shared" ref="C66:I66" si="9">IF(ISERROR(C64/B64-1),"",C64/B64-1)</f>
        <v>-0.54939601826772899</v>
      </c>
      <c r="D66" s="312">
        <f t="shared" si="9"/>
        <v>-2.6579720954720956</v>
      </c>
      <c r="E66" s="312">
        <f t="shared" si="9"/>
        <v>-0.3899832434470808</v>
      </c>
      <c r="F66" s="312">
        <f t="shared" si="9"/>
        <v>-0.19850827315921038</v>
      </c>
      <c r="G66" s="312">
        <f t="shared" si="9"/>
        <v>-0.31580743100168351</v>
      </c>
      <c r="H66" s="312">
        <f t="shared" si="9"/>
        <v>-0.49531785759633462</v>
      </c>
      <c r="I66" s="312">
        <f t="shared" si="9"/>
        <v>-0.90763638986780493</v>
      </c>
      <c r="J66" s="312"/>
    </row>
    <row r="67" spans="1:10">
      <c r="A67" s="245"/>
      <c r="B67" s="312"/>
      <c r="C67" s="312"/>
      <c r="D67" s="312"/>
      <c r="E67" s="131"/>
      <c r="F67" s="131"/>
      <c r="G67" s="131"/>
      <c r="H67" s="131"/>
      <c r="I67" s="131"/>
      <c r="J67" s="131"/>
    </row>
    <row r="68" spans="1:10">
      <c r="A68" s="258" t="str">
        <f>'Data '!A75</f>
        <v>&lt;Income tax expense&gt;</v>
      </c>
      <c r="B68" s="125">
        <f>'Data '!E75</f>
        <v>-35810</v>
      </c>
      <c r="C68" s="125">
        <f>'Data '!F75</f>
        <v>-19349</v>
      </c>
      <c r="D68" s="125">
        <f>'Data '!G75</f>
        <v>7508</v>
      </c>
      <c r="E68" s="310">
        <f>E64*E69</f>
        <v>7146.0016435499965</v>
      </c>
      <c r="F68" s="310">
        <f>F64*F69</f>
        <v>5727.4611972960074</v>
      </c>
      <c r="G68" s="310">
        <f>G64*G69</f>
        <v>3918.6863904161287</v>
      </c>
      <c r="H68" s="310">
        <f>H64*H69</f>
        <v>1977.6910429232983</v>
      </c>
      <c r="I68" s="310">
        <f>I64*I69</f>
        <v>182.66668445050186</v>
      </c>
      <c r="J68" s="311">
        <f>I68*$J$9</f>
        <v>188.14668498401693</v>
      </c>
    </row>
    <row r="69" spans="1:10">
      <c r="A69" s="245" t="s">
        <v>412</v>
      </c>
      <c r="B69" s="312">
        <f>B68/B$14</f>
        <v>-2.8606623379943252E-2</v>
      </c>
      <c r="C69" s="312">
        <f>C68/C$14</f>
        <v>-1.6733966345259893E-2</v>
      </c>
      <c r="D69" s="312">
        <f>D68/D$14</f>
        <v>7.2533634236493652E-3</v>
      </c>
      <c r="E69" s="325">
        <v>-0.155</v>
      </c>
      <c r="F69" s="325">
        <v>-0.155</v>
      </c>
      <c r="G69" s="325">
        <v>-0.155</v>
      </c>
      <c r="H69" s="325">
        <v>-0.155</v>
      </c>
      <c r="I69" s="325">
        <v>-0.155</v>
      </c>
      <c r="J69" s="314"/>
    </row>
    <row r="70" spans="1:10">
      <c r="A70" s="245" t="s">
        <v>411</v>
      </c>
      <c r="B70" s="312" cm="1">
        <f t="array" ref="B70">AVERAGE(-B69:D69)</f>
        <v>1.2695742100517928E-2</v>
      </c>
      <c r="C70" s="312">
        <f>IF(ISERROR(C68/B68-1),"",C68/B68-1)</f>
        <v>-0.45967606813739181</v>
      </c>
      <c r="D70" s="312">
        <f>IF(ISERROR(D68/C68-1),"",D68/C68-1)</f>
        <v>-1.3880303891673988</v>
      </c>
      <c r="E70" s="315" t="s">
        <v>436</v>
      </c>
      <c r="F70" s="315"/>
      <c r="G70" s="315"/>
      <c r="H70" s="315"/>
      <c r="I70" s="315"/>
      <c r="J70" s="326"/>
    </row>
    <row r="71" spans="1:10">
      <c r="A71" s="258" t="str">
        <f>'Data '!A76</f>
        <v>Income &lt;Loss&gt; from discontinued operations</v>
      </c>
      <c r="B71" s="125">
        <f>'Data '!E76</f>
        <v>0</v>
      </c>
      <c r="C71" s="125">
        <f>'Data '!F76</f>
        <v>0</v>
      </c>
      <c r="D71" s="125">
        <f>'Data '!G76</f>
        <v>0</v>
      </c>
      <c r="E71" s="324">
        <v>0</v>
      </c>
      <c r="F71" s="324">
        <v>0</v>
      </c>
      <c r="G71" s="324">
        <v>0</v>
      </c>
      <c r="H71" s="324">
        <v>0</v>
      </c>
      <c r="I71" s="324">
        <v>0</v>
      </c>
      <c r="J71" s="311">
        <f>I71*$J$9</f>
        <v>0</v>
      </c>
    </row>
    <row r="72" spans="1:10">
      <c r="A72" s="245" t="s">
        <v>412</v>
      </c>
      <c r="B72" s="312">
        <f>B71/B$14</f>
        <v>0</v>
      </c>
      <c r="C72" s="312">
        <f>C71/C$14</f>
        <v>0</v>
      </c>
      <c r="D72" s="312">
        <f>D71/D$14</f>
        <v>0</v>
      </c>
      <c r="E72" s="321">
        <v>0</v>
      </c>
      <c r="F72" s="321">
        <f>E72</f>
        <v>0</v>
      </c>
      <c r="G72" s="321">
        <f>F72</f>
        <v>0</v>
      </c>
      <c r="H72" s="321">
        <f>G72</f>
        <v>0</v>
      </c>
      <c r="I72" s="321">
        <f>H72</f>
        <v>0</v>
      </c>
      <c r="J72" s="322"/>
    </row>
    <row r="73" spans="1:10">
      <c r="A73" s="245" t="s">
        <v>411</v>
      </c>
      <c r="B73" s="312"/>
      <c r="C73" s="312" t="str">
        <f>IF(ISERROR(C71/B71-1),"",C71/B71-1)</f>
        <v/>
      </c>
      <c r="D73" s="312" t="str">
        <f>IF(ISERROR(D71/C71-1),"",D71/C71-1)</f>
        <v/>
      </c>
      <c r="E73" s="315" t="s">
        <v>1360</v>
      </c>
      <c r="F73" s="315"/>
      <c r="G73" s="315"/>
      <c r="H73" s="315"/>
      <c r="I73" s="315"/>
      <c r="J73" s="320"/>
    </row>
    <row r="74" spans="1:10">
      <c r="A74" s="258" t="str">
        <f>'Data '!A78</f>
        <v>Changes in accounting principles</v>
      </c>
      <c r="B74" s="125">
        <f>'Data '!E78</f>
        <v>0</v>
      </c>
      <c r="C74" s="125">
        <f>'Data '!F78</f>
        <v>0</v>
      </c>
      <c r="D74" s="125">
        <f>'Data '!G78</f>
        <v>0</v>
      </c>
      <c r="E74" s="324">
        <v>0</v>
      </c>
      <c r="F74" s="324">
        <v>0</v>
      </c>
      <c r="G74" s="324">
        <v>0</v>
      </c>
      <c r="H74" s="324">
        <v>0</v>
      </c>
      <c r="I74" s="324">
        <v>0</v>
      </c>
      <c r="J74" s="311">
        <f>I74*$J$9</f>
        <v>0</v>
      </c>
    </row>
    <row r="75" spans="1:10">
      <c r="A75" s="245" t="s">
        <v>412</v>
      </c>
      <c r="B75" s="312">
        <f>B74/B$14</f>
        <v>0</v>
      </c>
      <c r="C75" s="312">
        <f>C74/C$14</f>
        <v>0</v>
      </c>
      <c r="D75" s="312">
        <f>D74/D$14</f>
        <v>0</v>
      </c>
      <c r="E75" s="321">
        <v>0</v>
      </c>
      <c r="F75" s="321">
        <f>E75</f>
        <v>0</v>
      </c>
      <c r="G75" s="321">
        <f>F75</f>
        <v>0</v>
      </c>
      <c r="H75" s="321">
        <f>G75</f>
        <v>0</v>
      </c>
      <c r="I75" s="321">
        <f>H75</f>
        <v>0</v>
      </c>
      <c r="J75" s="322"/>
    </row>
    <row r="76" spans="1:10">
      <c r="A76" s="245" t="s">
        <v>411</v>
      </c>
      <c r="B76" s="312"/>
      <c r="C76" s="312" t="str">
        <f>IF(ISERROR(C74/B74-1),"",C74/B74-1)</f>
        <v/>
      </c>
      <c r="D76" s="312" t="str">
        <f>IF(ISERROR(D74/C74-1),"",D74/C74-1)</f>
        <v/>
      </c>
      <c r="E76" s="315" t="s">
        <v>413</v>
      </c>
      <c r="F76" s="316"/>
      <c r="G76" s="316"/>
      <c r="H76" s="316"/>
      <c r="I76" s="316"/>
      <c r="J76" s="320"/>
    </row>
    <row r="77" spans="1:10">
      <c r="A77" s="319" t="str">
        <f>'Data '!A79</f>
        <v xml:space="preserve">  Net Income </v>
      </c>
      <c r="B77" s="317">
        <f t="shared" ref="B77:J77" si="10">B64+B68+B71+B74</f>
        <v>65352</v>
      </c>
      <c r="C77" s="317">
        <f t="shared" si="10"/>
        <v>26235</v>
      </c>
      <c r="D77" s="317">
        <f t="shared" si="10"/>
        <v>-68069</v>
      </c>
      <c r="E77" s="317">
        <f t="shared" si="10"/>
        <v>-38957.234766449983</v>
      </c>
      <c r="F77" s="317">
        <f t="shared" si="10"/>
        <v>-31223.901365904039</v>
      </c>
      <c r="G77" s="317">
        <f t="shared" si="10"/>
        <v>-21363.161289687927</v>
      </c>
      <c r="H77" s="317">
        <f t="shared" si="10"/>
        <v>-10781.606008194756</v>
      </c>
      <c r="I77" s="317">
        <f t="shared" si="10"/>
        <v>-995.82805393983267</v>
      </c>
      <c r="J77" s="317">
        <f t="shared" si="10"/>
        <v>-1025.7028955580074</v>
      </c>
    </row>
    <row r="78" spans="1:10">
      <c r="A78" s="245" t="s">
        <v>412</v>
      </c>
      <c r="B78" s="312">
        <f t="shared" ref="B78:J78" si="11">B77/B$14</f>
        <v>5.2206089112707382E-2</v>
      </c>
      <c r="C78" s="312">
        <f t="shared" si="11"/>
        <v>2.2689317642663354E-2</v>
      </c>
      <c r="D78" s="312">
        <f t="shared" si="11"/>
        <v>-6.576041487538474E-2</v>
      </c>
      <c r="E78" s="312">
        <f t="shared" si="11"/>
        <v>-3.723498846173446E-2</v>
      </c>
      <c r="F78" s="312">
        <f t="shared" si="11"/>
        <v>-2.881789900924615E-2</v>
      </c>
      <c r="G78" s="312">
        <f t="shared" si="11"/>
        <v>-1.8875589552013759E-2</v>
      </c>
      <c r="H78" s="312">
        <f t="shared" si="11"/>
        <v>-9.1049656816883703E-3</v>
      </c>
      <c r="I78" s="312">
        <f t="shared" si="11"/>
        <v>-8.0758193785334732E-4</v>
      </c>
      <c r="J78" s="312">
        <f t="shared" si="11"/>
        <v>-8.0758193785333149E-4</v>
      </c>
    </row>
    <row r="79" spans="1:10">
      <c r="A79" s="245" t="s">
        <v>411</v>
      </c>
      <c r="B79" s="312"/>
      <c r="C79" s="312">
        <f t="shared" ref="C79:J79" si="12">IF(ISERROR(C77/B77-1),"",C77/B77-1)</f>
        <v>-0.59855857510099153</v>
      </c>
      <c r="D79" s="312">
        <f t="shared" si="12"/>
        <v>-3.5945873832666284</v>
      </c>
      <c r="E79" s="312">
        <f t="shared" si="12"/>
        <v>-0.42768022497098557</v>
      </c>
      <c r="F79" s="312">
        <f t="shared" si="12"/>
        <v>-0.19850827315921049</v>
      </c>
      <c r="G79" s="312">
        <f t="shared" si="12"/>
        <v>-0.31580743100168351</v>
      </c>
      <c r="H79" s="312">
        <f t="shared" si="12"/>
        <v>-0.49531785759633451</v>
      </c>
      <c r="I79" s="312">
        <f t="shared" si="12"/>
        <v>-0.90763638986780493</v>
      </c>
      <c r="J79" s="312">
        <f t="shared" si="12"/>
        <v>2.9999999999979599E-2</v>
      </c>
    </row>
    <row r="80" spans="1:10">
      <c r="A80" s="319" t="str">
        <f>'Data '!A80</f>
        <v>Net income attributable to noncontrolling interests</v>
      </c>
      <c r="B80" s="327">
        <f>'Data '!E80</f>
        <v>-4257</v>
      </c>
      <c r="C80" s="327">
        <f>'Data '!F80</f>
        <v>175</v>
      </c>
      <c r="D80" s="327">
        <f>'Data '!G80</f>
        <v>18</v>
      </c>
      <c r="E80" s="324">
        <f>-E81*D230</f>
        <v>-0.995</v>
      </c>
      <c r="F80" s="324">
        <f>-F81*E230</f>
        <v>-0.99599500000000007</v>
      </c>
      <c r="G80" s="324">
        <f>-G81*F230</f>
        <v>-0.99699099499999999</v>
      </c>
      <c r="H80" s="324">
        <f>-H81*G230</f>
        <v>-0.99798798599500005</v>
      </c>
      <c r="I80" s="324">
        <f>-I81*H230</f>
        <v>-0.99898597398099509</v>
      </c>
      <c r="J80" s="311">
        <f>I80*$J$9</f>
        <v>-1.0289555532004249</v>
      </c>
    </row>
    <row r="81" spans="1:13">
      <c r="A81" s="245" t="s">
        <v>412</v>
      </c>
      <c r="B81" s="312">
        <f>B80/B$14</f>
        <v>-3.4006812546332984E-3</v>
      </c>
      <c r="C81" s="312">
        <f>C80/C$14</f>
        <v>1.5134860253348913E-4</v>
      </c>
      <c r="D81" s="312">
        <f>D80/D$14</f>
        <v>1.7389523391807216E-5</v>
      </c>
      <c r="E81" s="328">
        <f>B82</f>
        <v>1E-3</v>
      </c>
      <c r="F81" s="328">
        <f>E81</f>
        <v>1E-3</v>
      </c>
      <c r="G81" s="328">
        <f>F81</f>
        <v>1E-3</v>
      </c>
      <c r="H81" s="328">
        <f>G81</f>
        <v>1E-3</v>
      </c>
      <c r="I81" s="328">
        <f>H81</f>
        <v>1E-3</v>
      </c>
      <c r="J81" s="322"/>
    </row>
    <row r="82" spans="1:13">
      <c r="A82" s="245" t="s">
        <v>411</v>
      </c>
      <c r="B82" s="312">
        <f>0.1%</f>
        <v>1E-3</v>
      </c>
      <c r="C82" s="312">
        <f>IF(ISERROR(C80/B80-1),"",C80/B80-1)</f>
        <v>-1.0411087620389945</v>
      </c>
      <c r="D82" s="312">
        <f>IF(ISERROR(D80/C80-1),"",D80/C80-1)</f>
        <v>-0.89714285714285713</v>
      </c>
      <c r="E82" s="315" t="s">
        <v>413</v>
      </c>
      <c r="F82" s="315"/>
      <c r="G82" s="315"/>
      <c r="H82" s="315"/>
      <c r="I82" s="315"/>
      <c r="J82" s="320"/>
    </row>
    <row r="83" spans="1:13">
      <c r="A83" s="319" t="str">
        <f>'Data '!A81</f>
        <v xml:space="preserve">  Net Income attributable to common shareholders</v>
      </c>
      <c r="B83" s="329">
        <f t="shared" ref="B83:J83" si="13">B77+B80</f>
        <v>61095</v>
      </c>
      <c r="C83" s="329">
        <f t="shared" si="13"/>
        <v>26410</v>
      </c>
      <c r="D83" s="329">
        <f t="shared" si="13"/>
        <v>-68051</v>
      </c>
      <c r="E83" s="329">
        <f t="shared" si="13"/>
        <v>-38958.229766449986</v>
      </c>
      <c r="F83" s="329">
        <f t="shared" si="13"/>
        <v>-31224.89736090404</v>
      </c>
      <c r="G83" s="329">
        <f t="shared" si="13"/>
        <v>-21364.158280682928</v>
      </c>
      <c r="H83" s="329">
        <f t="shared" si="13"/>
        <v>-10782.603996180751</v>
      </c>
      <c r="I83" s="329">
        <f t="shared" si="13"/>
        <v>-996.82703991381368</v>
      </c>
      <c r="J83" s="329">
        <f t="shared" si="13"/>
        <v>-1026.7318511112078</v>
      </c>
    </row>
    <row r="84" spans="1:13">
      <c r="A84" s="245" t="s">
        <v>412</v>
      </c>
      <c r="B84" s="312">
        <f t="shared" ref="B84:J84" si="14">B83/B$14</f>
        <v>4.8805407858074079E-2</v>
      </c>
      <c r="C84" s="312">
        <f t="shared" si="14"/>
        <v>2.2840666245196845E-2</v>
      </c>
      <c r="D84" s="312">
        <f t="shared" si="14"/>
        <v>-6.5743025351992931E-2</v>
      </c>
      <c r="E84" s="312">
        <f t="shared" si="14"/>
        <v>-3.7235939474139258E-2</v>
      </c>
      <c r="F84" s="312">
        <f t="shared" si="14"/>
        <v>-2.8818818256427577E-2</v>
      </c>
      <c r="G84" s="312">
        <f t="shared" si="14"/>
        <v>-1.8876470451266145E-2</v>
      </c>
      <c r="H84" s="312">
        <f t="shared" si="14"/>
        <v>-9.1058084732313291E-3</v>
      </c>
      <c r="I84" s="312">
        <f t="shared" si="14"/>
        <v>-8.0839208075458825E-4</v>
      </c>
      <c r="J84" s="312">
        <f t="shared" si="14"/>
        <v>-8.0839208075457231E-4</v>
      </c>
    </row>
    <row r="85" spans="1:13">
      <c r="A85" s="245" t="s">
        <v>411</v>
      </c>
      <c r="B85" s="312"/>
      <c r="C85" s="312">
        <f t="shared" ref="C85:J85" si="15">IF(ISERROR(C83/B83-1),"",C83/B83-1)</f>
        <v>-0.56772239954169734</v>
      </c>
      <c r="D85" s="312">
        <f t="shared" si="15"/>
        <v>-3.5767133661491859</v>
      </c>
      <c r="E85" s="312">
        <f t="shared" si="15"/>
        <v>-0.42751422071020284</v>
      </c>
      <c r="F85" s="312">
        <f t="shared" si="15"/>
        <v>-0.19850317768303039</v>
      </c>
      <c r="G85" s="312">
        <f t="shared" si="15"/>
        <v>-0.31579732564845875</v>
      </c>
      <c r="H85" s="312">
        <f t="shared" si="15"/>
        <v>-0.49529469616735711</v>
      </c>
      <c r="I85" s="312">
        <f t="shared" si="15"/>
        <v>-0.90755229068350329</v>
      </c>
      <c r="J85" s="312">
        <f t="shared" si="15"/>
        <v>2.9999999999979599E-2</v>
      </c>
    </row>
    <row r="86" spans="1:13">
      <c r="A86" s="245"/>
      <c r="B86" s="312"/>
      <c r="C86" s="312"/>
      <c r="D86" s="312"/>
      <c r="E86" s="312"/>
      <c r="F86" s="312"/>
      <c r="G86" s="312"/>
      <c r="H86" s="312"/>
      <c r="I86" s="312"/>
      <c r="J86" s="312"/>
    </row>
    <row r="87" spans="1:13">
      <c r="A87" s="258" t="str">
        <f>'Data '!A84</f>
        <v>Other comprehensive income items</v>
      </c>
      <c r="B87" s="125">
        <f>'Data '!E84</f>
        <v>18124</v>
      </c>
      <c r="C87" s="125">
        <f>'Data '!F84</f>
        <v>1496</v>
      </c>
      <c r="D87" s="125">
        <f>'Data '!G84</f>
        <v>-20037</v>
      </c>
      <c r="E87" s="330">
        <v>0</v>
      </c>
      <c r="F87" s="330">
        <v>0</v>
      </c>
      <c r="G87" s="330">
        <v>0</v>
      </c>
      <c r="H87" s="330">
        <v>0</v>
      </c>
      <c r="I87" s="330">
        <v>0</v>
      </c>
      <c r="J87" s="311">
        <f>I87*$J$9</f>
        <v>0</v>
      </c>
    </row>
    <row r="88" spans="1:13">
      <c r="A88" s="245" t="s">
        <v>412</v>
      </c>
      <c r="B88" s="312">
        <f>B87/B$14</f>
        <v>1.4478258646693422E-2</v>
      </c>
      <c r="C88" s="312">
        <f>C87/C$14</f>
        <v>1.2938143393719985E-3</v>
      </c>
      <c r="D88" s="312">
        <f>D87/D$14</f>
        <v>-1.9357437788980067E-2</v>
      </c>
      <c r="E88" s="321">
        <f>B89</f>
        <v>-1.1951216009715483E-3</v>
      </c>
      <c r="F88" s="321">
        <f>E88</f>
        <v>-1.1951216009715483E-3</v>
      </c>
      <c r="G88" s="321">
        <f>F88</f>
        <v>-1.1951216009715483E-3</v>
      </c>
      <c r="H88" s="321">
        <f>G88</f>
        <v>-1.1951216009715483E-3</v>
      </c>
      <c r="I88" s="321">
        <f>H88</f>
        <v>-1.1951216009715483E-3</v>
      </c>
      <c r="J88" s="314"/>
    </row>
    <row r="89" spans="1:13">
      <c r="A89" s="245" t="s">
        <v>411</v>
      </c>
      <c r="B89" s="312">
        <f>AVERAGE(B88:D88)</f>
        <v>-1.1951216009715483E-3</v>
      </c>
      <c r="C89" s="312">
        <f>IF(ISERROR(C87/B87-1),"",C87/B87-1)</f>
        <v>-0.91745751489737359</v>
      </c>
      <c r="D89" s="312">
        <f>IF(ISERROR(D87/C87-1),"",D87/C87-1)</f>
        <v>-14.393716577540108</v>
      </c>
      <c r="E89" s="315" t="s">
        <v>435</v>
      </c>
      <c r="F89" s="316"/>
      <c r="G89" s="316"/>
      <c r="H89" s="316"/>
      <c r="I89" s="316"/>
      <c r="J89" s="320"/>
    </row>
    <row r="90" spans="1:13" ht="13.5" thickBot="1">
      <c r="A90" s="319" t="str">
        <f>'Data '!A85</f>
        <v>Comprehensive Income</v>
      </c>
      <c r="B90" s="331">
        <f t="shared" ref="B90:J90" si="16">B77+B87</f>
        <v>83476</v>
      </c>
      <c r="C90" s="331">
        <f t="shared" si="16"/>
        <v>27731</v>
      </c>
      <c r="D90" s="331">
        <f t="shared" si="16"/>
        <v>-88106</v>
      </c>
      <c r="E90" s="331">
        <f>E77+E87</f>
        <v>-38957.234766449983</v>
      </c>
      <c r="F90" s="331">
        <f t="shared" si="16"/>
        <v>-31223.901365904039</v>
      </c>
      <c r="G90" s="331">
        <f t="shared" si="16"/>
        <v>-21363.161289687927</v>
      </c>
      <c r="H90" s="331">
        <f t="shared" si="16"/>
        <v>-10781.606008194756</v>
      </c>
      <c r="I90" s="331">
        <f t="shared" si="16"/>
        <v>-995.82805393983267</v>
      </c>
      <c r="J90" s="331">
        <f t="shared" si="16"/>
        <v>-1025.7028955580074</v>
      </c>
    </row>
    <row r="91" spans="1:13" ht="13.5" thickTop="1">
      <c r="A91" s="245" t="s">
        <v>412</v>
      </c>
      <c r="B91" s="312">
        <f t="shared" ref="B91:J91" si="17">B90/B$14</f>
        <v>6.6684347759400797E-2</v>
      </c>
      <c r="C91" s="312">
        <f t="shared" si="17"/>
        <v>2.3983131982035354E-2</v>
      </c>
      <c r="D91" s="312">
        <f t="shared" si="17"/>
        <v>-8.5117852664364807E-2</v>
      </c>
      <c r="E91" s="312">
        <f t="shared" si="17"/>
        <v>-3.723498846173446E-2</v>
      </c>
      <c r="F91" s="312">
        <f t="shared" si="17"/>
        <v>-2.881789900924615E-2</v>
      </c>
      <c r="G91" s="312">
        <f t="shared" si="17"/>
        <v>-1.8875589552013759E-2</v>
      </c>
      <c r="H91" s="312">
        <f t="shared" si="17"/>
        <v>-9.1049656816883703E-3</v>
      </c>
      <c r="I91" s="312">
        <f t="shared" si="17"/>
        <v>-8.0758193785334732E-4</v>
      </c>
      <c r="J91" s="312">
        <f t="shared" si="17"/>
        <v>-8.0758193785333149E-4</v>
      </c>
    </row>
    <row r="92" spans="1:13">
      <c r="A92" s="245" t="s">
        <v>411</v>
      </c>
      <c r="B92" s="312"/>
      <c r="C92" s="312">
        <f t="shared" ref="C92:J92" si="18">IF(ISERROR(C90/B90-1),"",C90/B90-1)</f>
        <v>-0.66779673199482481</v>
      </c>
      <c r="D92" s="312">
        <f t="shared" si="18"/>
        <v>-4.1771663481302514</v>
      </c>
      <c r="E92" s="312">
        <f t="shared" si="18"/>
        <v>-0.55783675610684869</v>
      </c>
      <c r="F92" s="312">
        <f t="shared" si="18"/>
        <v>-0.19850827315921049</v>
      </c>
      <c r="G92" s="312">
        <f t="shared" si="18"/>
        <v>-0.31580743100168351</v>
      </c>
      <c r="H92" s="312">
        <f t="shared" si="18"/>
        <v>-0.49531785759633451</v>
      </c>
      <c r="I92" s="312">
        <f t="shared" si="18"/>
        <v>-0.90763638986780493</v>
      </c>
      <c r="J92" s="312">
        <f t="shared" si="18"/>
        <v>2.9999999999979599E-2</v>
      </c>
      <c r="M92" s="539"/>
    </row>
    <row r="93" spans="1:13">
      <c r="A93" s="258"/>
    </row>
    <row r="94" spans="1:13">
      <c r="A94" s="179"/>
    </row>
    <row r="95" spans="1:13">
      <c r="A95" s="288" t="s">
        <v>358</v>
      </c>
      <c r="B95" s="289" t="s">
        <v>357</v>
      </c>
      <c r="C95" s="290"/>
      <c r="D95" s="290"/>
      <c r="E95" s="289"/>
      <c r="F95" s="290"/>
      <c r="G95" s="290"/>
      <c r="H95" s="290"/>
      <c r="I95" s="290"/>
      <c r="J95" s="291"/>
    </row>
    <row r="96" spans="1:13">
      <c r="A96" s="292" t="str">
        <f>'Data '!A2</f>
        <v>Analyst Name:</v>
      </c>
      <c r="B96" s="332" t="str">
        <f>'Data '!B2</f>
        <v>ARYAN Shrenick kothari</v>
      </c>
      <c r="C96" s="290"/>
      <c r="D96" s="290"/>
      <c r="E96" s="289"/>
      <c r="F96" s="290"/>
      <c r="G96" s="290"/>
      <c r="H96" s="290"/>
      <c r="I96" s="290"/>
      <c r="J96" s="291"/>
    </row>
    <row r="97" spans="1:12">
      <c r="A97" s="292" t="str">
        <f>'Data '!A3</f>
        <v>Company Name:</v>
      </c>
      <c r="B97" s="333" t="str">
        <f>'Data '!B3</f>
        <v>Salvatore Ferragamo Group</v>
      </c>
      <c r="C97" s="307"/>
      <c r="D97" s="307"/>
      <c r="E97" s="306"/>
      <c r="F97" s="307"/>
      <c r="G97" s="307"/>
      <c r="H97" s="307"/>
      <c r="I97" s="307"/>
      <c r="J97" s="334"/>
    </row>
    <row r="98" spans="1:12">
      <c r="A98" s="335"/>
      <c r="B98" s="298"/>
      <c r="C98" s="170"/>
      <c r="D98" s="170"/>
      <c r="E98" s="179"/>
      <c r="F98" s="170"/>
      <c r="G98" s="170"/>
      <c r="H98" s="170"/>
      <c r="I98" s="170"/>
      <c r="J98" s="170"/>
    </row>
    <row r="99" spans="1:12">
      <c r="A99" s="179"/>
      <c r="B99" s="179" t="s">
        <v>434</v>
      </c>
      <c r="C99" s="170"/>
      <c r="D99" s="170"/>
      <c r="E99" s="298" t="s">
        <v>434</v>
      </c>
      <c r="F99" s="297"/>
      <c r="G99" s="297"/>
      <c r="H99" s="297"/>
      <c r="I99" s="297"/>
      <c r="J99" s="297"/>
    </row>
    <row r="100" spans="1:12">
      <c r="A100" s="170"/>
      <c r="B100" s="179" t="s">
        <v>433</v>
      </c>
      <c r="C100" s="170"/>
      <c r="D100" s="170"/>
      <c r="E100" s="299" t="s">
        <v>432</v>
      </c>
      <c r="F100" s="297"/>
      <c r="G100" s="297"/>
      <c r="H100" s="297"/>
      <c r="I100" s="297"/>
      <c r="J100" s="300" t="s">
        <v>431</v>
      </c>
    </row>
    <row r="101" spans="1:12">
      <c r="A101" s="170"/>
      <c r="B101" s="170" t="s">
        <v>430</v>
      </c>
      <c r="C101" s="170"/>
      <c r="D101" s="170"/>
      <c r="E101" s="301" t="s">
        <v>429</v>
      </c>
      <c r="F101" s="297"/>
      <c r="G101" s="297"/>
      <c r="H101" s="297"/>
      <c r="I101" s="302" t="s">
        <v>428</v>
      </c>
      <c r="J101" s="303">
        <f>$J$8</f>
        <v>0.03</v>
      </c>
    </row>
    <row r="102" spans="1:12">
      <c r="A102" s="170"/>
      <c r="B102" s="170" t="s">
        <v>427</v>
      </c>
      <c r="C102" s="170"/>
      <c r="D102" s="170"/>
      <c r="E102" s="301" t="s">
        <v>426</v>
      </c>
      <c r="F102" s="297"/>
      <c r="G102" s="297"/>
      <c r="H102" s="297"/>
      <c r="I102" s="302" t="s">
        <v>425</v>
      </c>
      <c r="J102" s="212">
        <f>1+$J$8</f>
        <v>1.03</v>
      </c>
    </row>
    <row r="103" spans="1:12" ht="13.5" thickBot="1">
      <c r="A103" s="170"/>
      <c r="B103" s="336"/>
      <c r="C103" s="170"/>
      <c r="D103" s="170"/>
      <c r="E103" s="305"/>
      <c r="F103" s="305"/>
      <c r="G103" s="305"/>
      <c r="H103" s="305"/>
      <c r="I103" s="305"/>
      <c r="J103" s="305"/>
    </row>
    <row r="104" spans="1:12" ht="13.5" thickTop="1">
      <c r="A104" s="170"/>
      <c r="B104" s="337" t="s">
        <v>208</v>
      </c>
      <c r="C104" s="338"/>
      <c r="D104" s="338"/>
      <c r="E104" s="339" t="s">
        <v>207</v>
      </c>
      <c r="F104" s="340"/>
      <c r="G104" s="340"/>
      <c r="H104" s="340"/>
      <c r="I104" s="340"/>
      <c r="J104" s="339"/>
      <c r="L104" s="113"/>
    </row>
    <row r="105" spans="1:12">
      <c r="A105" s="170"/>
      <c r="B105" s="117">
        <f>B12</f>
        <v>2022</v>
      </c>
      <c r="C105" s="117">
        <f>C12</f>
        <v>2023</v>
      </c>
      <c r="D105" s="117">
        <f>D12</f>
        <v>2024</v>
      </c>
      <c r="E105" s="117" t="str">
        <f t="shared" ref="E105:J105" si="19">E$12</f>
        <v>Year +1</v>
      </c>
      <c r="F105" s="117" t="str">
        <f t="shared" si="19"/>
        <v>Year +2</v>
      </c>
      <c r="G105" s="117" t="str">
        <f t="shared" si="19"/>
        <v>Year +3</v>
      </c>
      <c r="H105" s="117" t="str">
        <f t="shared" si="19"/>
        <v>Year +4</v>
      </c>
      <c r="I105" s="117" t="str">
        <f t="shared" si="19"/>
        <v>Year +5</v>
      </c>
      <c r="J105" s="117" t="str">
        <f t="shared" si="19"/>
        <v>Year +6</v>
      </c>
    </row>
    <row r="106" spans="1:12">
      <c r="A106" s="179" t="s">
        <v>424</v>
      </c>
    </row>
    <row r="107" spans="1:12">
      <c r="A107" s="258" t="s">
        <v>423</v>
      </c>
    </row>
    <row r="108" spans="1:12">
      <c r="A108" s="258" t="str">
        <f>'Data '!A9</f>
        <v>Cash and cash equivalents</v>
      </c>
      <c r="B108" s="125">
        <f>'Data '!E9</f>
        <v>391354</v>
      </c>
      <c r="C108" s="125">
        <f>'Data '!F9</f>
        <v>268988</v>
      </c>
      <c r="D108" s="125">
        <f>'Data '!G9</f>
        <v>238194</v>
      </c>
      <c r="E108" s="341">
        <f>D108*(1+E109)</f>
        <v>245339.82</v>
      </c>
      <c r="F108" s="341">
        <f t="shared" ref="F108:I108" si="20">E108*(1+F109)</f>
        <v>252700.01460000002</v>
      </c>
      <c r="G108" s="341">
        <f t="shared" si="20"/>
        <v>260281.01503800004</v>
      </c>
      <c r="H108" s="341">
        <f t="shared" si="20"/>
        <v>268089.44548914005</v>
      </c>
      <c r="I108" s="341">
        <f t="shared" si="20"/>
        <v>276132.12885381427</v>
      </c>
      <c r="J108" s="125">
        <f>I108*$J$102</f>
        <v>284416.09271942871</v>
      </c>
      <c r="L108" s="113"/>
    </row>
    <row r="109" spans="1:12">
      <c r="A109" s="245" t="s">
        <v>412</v>
      </c>
      <c r="B109" s="312">
        <f>B108/B$159</f>
        <v>0.22749303896436066</v>
      </c>
      <c r="C109" s="312">
        <f>C108/C$159</f>
        <v>0.1428048116219634</v>
      </c>
      <c r="D109" s="312">
        <f>D108/D$159</f>
        <v>0.13651329834638229</v>
      </c>
      <c r="E109" s="342">
        <v>0.03</v>
      </c>
      <c r="F109" s="342">
        <v>0.03</v>
      </c>
      <c r="G109" s="342">
        <v>0.03</v>
      </c>
      <c r="H109" s="342">
        <v>0.03</v>
      </c>
      <c r="I109" s="342">
        <v>0.03</v>
      </c>
      <c r="J109" s="343"/>
    </row>
    <row r="110" spans="1:12">
      <c r="A110" s="245" t="s">
        <v>411</v>
      </c>
      <c r="B110" s="312">
        <f>AVERAGE(B109:D109)</f>
        <v>0.16893704964423542</v>
      </c>
      <c r="C110" s="312">
        <f>IF(ISERROR(C108/B108-1),"",C108/B108-1)</f>
        <v>-0.3126734363261906</v>
      </c>
      <c r="D110" s="312">
        <f>IF(ISERROR(D108/C108-1),"",D108/C108-1)</f>
        <v>-0.11448094338780912</v>
      </c>
      <c r="E110" s="315" t="s">
        <v>1361</v>
      </c>
      <c r="F110" s="316"/>
      <c r="G110" s="316"/>
      <c r="H110" s="316"/>
      <c r="I110" s="316"/>
      <c r="J110" s="344"/>
    </row>
    <row r="111" spans="1:12">
      <c r="A111" s="258" t="str">
        <f>'Data '!A10</f>
        <v>Short-term investments</v>
      </c>
      <c r="B111" s="125">
        <f>'Data '!E10</f>
        <v>0</v>
      </c>
      <c r="C111" s="125">
        <f>'Data '!F10</f>
        <v>0</v>
      </c>
      <c r="D111" s="125">
        <f>'Data '!G10</f>
        <v>0</v>
      </c>
      <c r="E111" s="341">
        <f>D111*(1+E112)</f>
        <v>0</v>
      </c>
      <c r="F111" s="341">
        <f>E111*(1+F112)</f>
        <v>0</v>
      </c>
      <c r="G111" s="341">
        <f>F111*(1+G112)</f>
        <v>0</v>
      </c>
      <c r="H111" s="341">
        <f>G111*(1+H112)</f>
        <v>0</v>
      </c>
      <c r="I111" s="341">
        <f>H111*(1+I112)</f>
        <v>0</v>
      </c>
      <c r="J111" s="125">
        <f>I111*$J$102</f>
        <v>0</v>
      </c>
    </row>
    <row r="112" spans="1:12">
      <c r="A112" s="245" t="s">
        <v>412</v>
      </c>
      <c r="B112" s="312">
        <f>B111/B$159</f>
        <v>0</v>
      </c>
      <c r="C112" s="312">
        <f>C111/C$159</f>
        <v>0</v>
      </c>
      <c r="D112" s="312">
        <f>D111/D$159</f>
        <v>0</v>
      </c>
      <c r="E112" s="342">
        <v>0</v>
      </c>
      <c r="F112" s="342">
        <v>0</v>
      </c>
      <c r="G112" s="342">
        <v>0</v>
      </c>
      <c r="H112" s="342">
        <v>0</v>
      </c>
      <c r="I112" s="342">
        <v>0</v>
      </c>
      <c r="J112" s="343"/>
    </row>
    <row r="113" spans="1:12">
      <c r="A113" s="245" t="s">
        <v>411</v>
      </c>
      <c r="B113" s="312"/>
      <c r="C113" s="312" t="str">
        <f>IF(ISERROR(C111/B111-1),"",C111/B111-1)</f>
        <v/>
      </c>
      <c r="D113" s="312" t="str">
        <f>IF(ISERROR(D111/C111-1),"",D111/C111-1)</f>
        <v/>
      </c>
      <c r="E113" s="315" t="s">
        <v>413</v>
      </c>
      <c r="F113" s="316"/>
      <c r="G113" s="316"/>
      <c r="H113" s="316"/>
      <c r="I113" s="316"/>
      <c r="J113" s="326"/>
      <c r="L113" s="345"/>
    </row>
    <row r="114" spans="1:12">
      <c r="A114" s="258" t="str">
        <f>'Data '!A11</f>
        <v>Accounts and notes receivable - net</v>
      </c>
      <c r="B114" s="125">
        <f>'Data '!E11</f>
        <v>94490</v>
      </c>
      <c r="C114" s="125">
        <f>'Data '!F11</f>
        <v>106821</v>
      </c>
      <c r="D114" s="125">
        <f>'Data '!G11</f>
        <v>84580</v>
      </c>
      <c r="E114" s="341">
        <f>D114*(1+E115)</f>
        <v>86271.6</v>
      </c>
      <c r="F114" s="341">
        <f>E114*(1+F115)</f>
        <v>87997.032000000007</v>
      </c>
      <c r="G114" s="341">
        <f>F114*(1+G115)</f>
        <v>89756.972640000007</v>
      </c>
      <c r="H114" s="341">
        <f>G114*(1+H115)</f>
        <v>91552.112092800002</v>
      </c>
      <c r="I114" s="341">
        <f>H114*(1+I115)</f>
        <v>93383.154334656007</v>
      </c>
      <c r="J114" s="125">
        <f>I114*$J$102</f>
        <v>96184.648964695691</v>
      </c>
    </row>
    <row r="115" spans="1:12">
      <c r="A115" s="245" t="s">
        <v>412</v>
      </c>
      <c r="B115" s="312">
        <f>B114/B$159</f>
        <v>5.4926785600102307E-2</v>
      </c>
      <c r="C115" s="312">
        <f>C114/C$159</f>
        <v>5.6710904509754162E-2</v>
      </c>
      <c r="D115" s="312">
        <f>D114/D$159</f>
        <v>4.8474330898918581E-2</v>
      </c>
      <c r="E115" s="342">
        <v>0.02</v>
      </c>
      <c r="F115" s="342">
        <v>0.02</v>
      </c>
      <c r="G115" s="342">
        <v>0.02</v>
      </c>
      <c r="H115" s="342">
        <v>0.02</v>
      </c>
      <c r="I115" s="342">
        <v>0.02</v>
      </c>
      <c r="J115" s="343"/>
    </row>
    <row r="116" spans="1:12">
      <c r="A116" s="245" t="s">
        <v>411</v>
      </c>
      <c r="B116" s="312">
        <f>AVERAGE((B115:D115))</f>
        <v>5.3370673669591688E-2</v>
      </c>
      <c r="C116" s="312">
        <f>IF(ISERROR(C114/B114-1),"",C114/B114-1)</f>
        <v>0.13050058207217696</v>
      </c>
      <c r="D116" s="312">
        <f>IF(ISERROR(D114/C114-1),"",D114/C114-1)</f>
        <v>-0.20820812387077448</v>
      </c>
      <c r="E116" s="315" t="s">
        <v>1362</v>
      </c>
      <c r="F116" s="316"/>
      <c r="G116" s="316"/>
      <c r="H116" s="316"/>
      <c r="I116" s="316"/>
      <c r="J116" s="344"/>
    </row>
    <row r="117" spans="1:12">
      <c r="A117" s="258" t="str">
        <f>'Data '!A12</f>
        <v>Inventories</v>
      </c>
      <c r="B117" s="125">
        <f>'Data '!E12</f>
        <v>275323</v>
      </c>
      <c r="C117" s="125">
        <f>'Data '!F12</f>
        <v>298345</v>
      </c>
      <c r="D117" s="125">
        <f>'Data '!G12</f>
        <v>307888</v>
      </c>
      <c r="E117" s="341">
        <f>D117*(1+E118)</f>
        <v>314045.76</v>
      </c>
      <c r="F117" s="341">
        <f>E117*(1+F118)</f>
        <v>320326.6752</v>
      </c>
      <c r="G117" s="341">
        <f>F117*(1+G118)</f>
        <v>326733.20870399999</v>
      </c>
      <c r="H117" s="341">
        <f>G117*(1+H118)</f>
        <v>333267.87287808</v>
      </c>
      <c r="I117" s="341">
        <f>H117*(1+I118)</f>
        <v>339933.23033564159</v>
      </c>
      <c r="J117" s="125">
        <f>I117*$J$102</f>
        <v>350131.22724571085</v>
      </c>
    </row>
    <row r="118" spans="1:12">
      <c r="A118" s="245" t="s">
        <v>412</v>
      </c>
      <c r="B118" s="312">
        <f>B117/B$159</f>
        <v>0.1600445273761982</v>
      </c>
      <c r="C118" s="312">
        <f>C117/C$159</f>
        <v>0.15839034277869152</v>
      </c>
      <c r="D118" s="312">
        <f>D117/D$159</f>
        <v>0.17645619285654107</v>
      </c>
      <c r="E118" s="342">
        <v>0.02</v>
      </c>
      <c r="F118" s="342">
        <v>0.02</v>
      </c>
      <c r="G118" s="342">
        <v>0.02</v>
      </c>
      <c r="H118" s="342">
        <v>0.02</v>
      </c>
      <c r="I118" s="342">
        <v>0.02</v>
      </c>
      <c r="J118" s="343"/>
    </row>
    <row r="119" spans="1:12">
      <c r="A119" s="245" t="s">
        <v>411</v>
      </c>
      <c r="B119" s="312">
        <v>0.29799999999999999</v>
      </c>
      <c r="C119" s="312">
        <f>IF(ISERROR(C117/B117-1),"",C117/B117-1)</f>
        <v>8.3618150317990247E-2</v>
      </c>
      <c r="D119" s="312">
        <f>IF(ISERROR(D117/C117-1),"",D117/C117-1)</f>
        <v>3.1986458630109516E-2</v>
      </c>
      <c r="E119" s="315" t="s">
        <v>1363</v>
      </c>
      <c r="F119" s="316"/>
      <c r="G119" s="316"/>
      <c r="H119" s="316"/>
      <c r="I119" s="316"/>
      <c r="J119" s="346"/>
    </row>
    <row r="120" spans="1:12">
      <c r="A120" s="319" t="str">
        <f>'Data '!A13</f>
        <v>Prepaid expenses and other current assets</v>
      </c>
      <c r="B120" s="125">
        <f>'Data '!E13</f>
        <v>41447</v>
      </c>
      <c r="C120" s="125">
        <f>'Data '!F13</f>
        <v>37712</v>
      </c>
      <c r="D120" s="125">
        <f>'Data '!G13</f>
        <v>46025</v>
      </c>
      <c r="E120" s="341">
        <f>D120*(1+E121)</f>
        <v>47106.464223931842</v>
      </c>
      <c r="F120" s="341">
        <f>E120*(1+F121)</f>
        <v>48237.019365306209</v>
      </c>
      <c r="G120" s="341">
        <f>F120*(1+G121)</f>
        <v>49394.707830073559</v>
      </c>
      <c r="H120" s="341">
        <f>G120*(1+H121)</f>
        <v>50580.180817995322</v>
      </c>
      <c r="I120" s="341">
        <f>H120*(1+I121)</f>
        <v>51794.105157627208</v>
      </c>
      <c r="J120" s="125">
        <f>I120*$J$102</f>
        <v>53347.928312356024</v>
      </c>
    </row>
    <row r="121" spans="1:12">
      <c r="A121" s="245" t="s">
        <v>412</v>
      </c>
      <c r="B121" s="312">
        <f>B120/B$159</f>
        <v>2.409303082619791E-2</v>
      </c>
      <c r="C121" s="312">
        <f>C120/C$159</f>
        <v>2.0021172155960429E-2</v>
      </c>
      <c r="D121" s="312">
        <f>D120/D$159</f>
        <v>2.6377761641318609E-2</v>
      </c>
      <c r="E121" s="342">
        <f>B122</f>
        <v>2.3497321541158984E-2</v>
      </c>
      <c r="F121" s="342">
        <v>2.4E-2</v>
      </c>
      <c r="G121" s="342">
        <v>2.4E-2</v>
      </c>
      <c r="H121" s="342">
        <v>2.4E-2</v>
      </c>
      <c r="I121" s="342">
        <v>2.4E-2</v>
      </c>
      <c r="J121" s="343"/>
    </row>
    <row r="122" spans="1:12">
      <c r="A122" s="245" t="s">
        <v>411</v>
      </c>
      <c r="B122" s="312">
        <f>AVERAGE(B121:D121)</f>
        <v>2.3497321541158984E-2</v>
      </c>
      <c r="C122" s="312">
        <f>IF(ISERROR(C120/B120-1),"",C120/B120-1)</f>
        <v>-9.0115086737278971E-2</v>
      </c>
      <c r="D122" s="312">
        <f>IF(ISERROR(D120/C120-1),"",D120/C120-1)</f>
        <v>0.22043381417055574</v>
      </c>
      <c r="E122" s="315" t="s">
        <v>1364</v>
      </c>
      <c r="F122" s="316"/>
      <c r="G122" s="316"/>
      <c r="H122" s="316"/>
      <c r="I122" s="316"/>
      <c r="J122" s="346"/>
    </row>
    <row r="123" spans="1:12">
      <c r="A123" s="319" t="str">
        <f>'Data '!A14</f>
        <v>Other current assets (1)</v>
      </c>
      <c r="B123" s="125">
        <f>'Data '!E14</f>
        <v>5703</v>
      </c>
      <c r="C123" s="125">
        <f>'Data '!F14</f>
        <v>36812</v>
      </c>
      <c r="D123" s="125">
        <f>'Data '!G14</f>
        <v>50721</v>
      </c>
      <c r="E123" s="341">
        <f>D123*(1+E124)</f>
        <v>51598.940411713469</v>
      </c>
      <c r="F123" s="341">
        <f>E123*(1+F124)</f>
        <v>52492.077277884055</v>
      </c>
      <c r="G123" s="341">
        <f>F123*(1+G124)</f>
        <v>53400.673637124615</v>
      </c>
      <c r="H123" s="341">
        <f>G123*(1+H124)</f>
        <v>53560.875658035984</v>
      </c>
      <c r="I123" s="341">
        <f>H123*(1+I124)</f>
        <v>53721.558285010084</v>
      </c>
      <c r="J123" s="125">
        <f>I123*$J$102</f>
        <v>55333.205033560385</v>
      </c>
    </row>
    <row r="124" spans="1:12">
      <c r="A124" s="245" t="s">
        <v>412</v>
      </c>
      <c r="B124" s="312">
        <f>B123/B$159</f>
        <v>3.3151387266100482E-3</v>
      </c>
      <c r="C124" s="312">
        <f>C123/C$159</f>
        <v>1.9543365226061076E-2</v>
      </c>
      <c r="D124" s="312">
        <f>D123/D$159</f>
        <v>2.906912435001241E-2</v>
      </c>
      <c r="E124" s="342">
        <f>B125</f>
        <v>1.7309209434227844E-2</v>
      </c>
      <c r="F124" s="342">
        <f>B125</f>
        <v>1.7309209434227844E-2</v>
      </c>
      <c r="G124" s="342">
        <f>B125</f>
        <v>1.7309209434227844E-2</v>
      </c>
      <c r="H124" s="342">
        <v>3.0000000000000001E-3</v>
      </c>
      <c r="I124" s="342">
        <v>3.0000000000000001E-3</v>
      </c>
      <c r="J124" s="343"/>
    </row>
    <row r="125" spans="1:12">
      <c r="A125" s="245" t="s">
        <v>411</v>
      </c>
      <c r="B125" s="312">
        <f>AVERAGE(B124:D124)</f>
        <v>1.7309209434227844E-2</v>
      </c>
      <c r="C125" s="312">
        <f>IF(ISERROR(C123/B123-1),"",C123/B123-1)</f>
        <v>5.4548483254427493</v>
      </c>
      <c r="D125" s="312">
        <f>IF(ISERROR(D123/C123-1),"",D123/C123-1)</f>
        <v>0.37783874823427133</v>
      </c>
      <c r="E125" s="315" t="s">
        <v>1365</v>
      </c>
      <c r="F125" s="316"/>
      <c r="G125" s="316"/>
      <c r="H125" s="316"/>
      <c r="I125" s="316"/>
      <c r="J125" s="346"/>
    </row>
    <row r="126" spans="1:12">
      <c r="A126" s="319" t="str">
        <f>'Data '!A15</f>
        <v>Other current assets (2)</v>
      </c>
      <c r="B126" s="125">
        <f>'Data '!E15</f>
        <v>30581</v>
      </c>
      <c r="C126" s="125">
        <f>'Data '!F15</f>
        <v>34025</v>
      </c>
      <c r="D126" s="125">
        <f>'Data '!G15</f>
        <v>25822</v>
      </c>
      <c r="E126" s="341">
        <f>D126*(1+E127)</f>
        <v>26260.973999999998</v>
      </c>
      <c r="F126" s="341">
        <f>E126*(1+F127)</f>
        <v>26707.410557999996</v>
      </c>
      <c r="G126" s="341">
        <f>F126*(1+G127)</f>
        <v>27161.436537485992</v>
      </c>
      <c r="H126" s="341">
        <f>G126*(1+H127)</f>
        <v>27623.180958623252</v>
      </c>
      <c r="I126" s="341">
        <f>H126*(1+I127)</f>
        <v>28092.775034919843</v>
      </c>
      <c r="J126" s="125">
        <f>I126*$J$102</f>
        <v>28935.55828596744</v>
      </c>
    </row>
    <row r="127" spans="1:12">
      <c r="A127" s="245" t="s">
        <v>412</v>
      </c>
      <c r="B127" s="312">
        <f>B126/B$159</f>
        <v>1.7776653936254935E-2</v>
      </c>
      <c r="C127" s="312">
        <f>C126/C$159</f>
        <v>1.8063756433139413E-2</v>
      </c>
      <c r="D127" s="312">
        <f>D126/D$159</f>
        <v>1.4799056189073961E-2</v>
      </c>
      <c r="E127" s="342">
        <v>1.7000000000000001E-2</v>
      </c>
      <c r="F127" s="342">
        <v>1.7000000000000001E-2</v>
      </c>
      <c r="G127" s="342">
        <v>1.7000000000000001E-2</v>
      </c>
      <c r="H127" s="342">
        <v>1.7000000000000001E-2</v>
      </c>
      <c r="I127" s="342">
        <v>1.7000000000000001E-2</v>
      </c>
      <c r="J127" s="343"/>
    </row>
    <row r="128" spans="1:12">
      <c r="A128" s="245" t="s">
        <v>411</v>
      </c>
      <c r="B128" s="312">
        <f>AVERAGE(B127:D127)</f>
        <v>1.6879822186156104E-2</v>
      </c>
      <c r="C128" s="312">
        <f>IF(ISERROR(C126/B126-1),"",C126/B126-1)</f>
        <v>0.11261894640463033</v>
      </c>
      <c r="D128" s="312">
        <f>IF(ISERROR(D126/C126-1),"",D126/C126-1)</f>
        <v>-0.24108743570903746</v>
      </c>
      <c r="E128" s="315" t="s">
        <v>1366</v>
      </c>
      <c r="F128" s="316"/>
      <c r="G128" s="316"/>
      <c r="H128" s="316"/>
      <c r="I128" s="316"/>
      <c r="J128" s="326"/>
    </row>
    <row r="129" spans="1:10">
      <c r="A129" s="258" t="str">
        <f>'Data '!A16</f>
        <v>Other current assets (3)</v>
      </c>
      <c r="B129" s="125">
        <f>'Data '!E16</f>
        <v>10255</v>
      </c>
      <c r="C129" s="125">
        <f>'Data '!F16</f>
        <v>6107</v>
      </c>
      <c r="D129" s="125">
        <f>'Data '!G16</f>
        <v>5978</v>
      </c>
      <c r="E129" s="341">
        <f>D129*(1+E130)</f>
        <v>6091.5819999999994</v>
      </c>
      <c r="F129" s="341">
        <f>E129*(1+F130)</f>
        <v>6207.3220579999988</v>
      </c>
      <c r="G129" s="341">
        <f>F129*(1+G130)</f>
        <v>6325.2611771019983</v>
      </c>
      <c r="H129" s="341">
        <f>G129*(1+H130)</f>
        <v>6445.441139466936</v>
      </c>
      <c r="I129" s="341">
        <f>H129*(1+I130)</f>
        <v>6567.9045211168068</v>
      </c>
      <c r="J129" s="125">
        <f>I129*$J$102</f>
        <v>6764.9416567503113</v>
      </c>
    </row>
    <row r="130" spans="1:10">
      <c r="A130" s="245" t="s">
        <v>412</v>
      </c>
      <c r="B130" s="312">
        <f>B129/B$159</f>
        <v>5.9612042155683057E-3</v>
      </c>
      <c r="C130" s="312">
        <f>C129/C$159</f>
        <v>3.2421854676614962E-3</v>
      </c>
      <c r="D130" s="312">
        <f>D129/D$159</f>
        <v>3.4261001432222193E-3</v>
      </c>
      <c r="E130" s="342">
        <v>1.9E-2</v>
      </c>
      <c r="F130" s="342">
        <v>1.9E-2</v>
      </c>
      <c r="G130" s="342">
        <v>1.9E-2</v>
      </c>
      <c r="H130" s="342">
        <v>1.9E-2</v>
      </c>
      <c r="I130" s="342">
        <v>1.9E-2</v>
      </c>
      <c r="J130" s="343"/>
    </row>
    <row r="131" spans="1:10">
      <c r="A131" s="245" t="s">
        <v>411</v>
      </c>
      <c r="B131" s="312">
        <f>AVERAGE(B130:D130)</f>
        <v>4.2098299421506743E-3</v>
      </c>
      <c r="C131" s="312">
        <f>IF(ISERROR(C129/B129-1),"",C129/B129-1)</f>
        <v>-0.40448561677230621</v>
      </c>
      <c r="D131" s="312">
        <f>IF(ISERROR(D129/C129-1),"",D129/C129-1)</f>
        <v>-2.1123301129850947E-2</v>
      </c>
      <c r="E131" s="315" t="s">
        <v>1367</v>
      </c>
      <c r="F131" s="316"/>
      <c r="G131" s="316"/>
      <c r="H131" s="316"/>
      <c r="I131" s="316"/>
      <c r="J131" s="347"/>
    </row>
    <row r="132" spans="1:10">
      <c r="A132" s="319" t="str">
        <f>'Data '!A17</f>
        <v xml:space="preserve">  Current Assets</v>
      </c>
      <c r="B132" s="317">
        <f t="shared" ref="B132:J132" si="21">B108+B111+B114+B117+B120+B123+B126+B129</f>
        <v>849153</v>
      </c>
      <c r="C132" s="317">
        <f t="shared" si="21"/>
        <v>788810</v>
      </c>
      <c r="D132" s="317">
        <f t="shared" si="21"/>
        <v>759208</v>
      </c>
      <c r="E132" s="317">
        <f t="shared" si="21"/>
        <v>776715.14063564548</v>
      </c>
      <c r="F132" s="317">
        <f t="shared" si="21"/>
        <v>794667.55105919018</v>
      </c>
      <c r="G132" s="317">
        <f t="shared" si="21"/>
        <v>813053.27556378627</v>
      </c>
      <c r="H132" s="317">
        <f t="shared" si="21"/>
        <v>831119.10903414164</v>
      </c>
      <c r="I132" s="317">
        <f t="shared" si="21"/>
        <v>849624.85652278573</v>
      </c>
      <c r="J132" s="317">
        <f t="shared" si="21"/>
        <v>875113.60221846937</v>
      </c>
    </row>
    <row r="133" spans="1:10">
      <c r="A133" s="245" t="s">
        <v>412</v>
      </c>
      <c r="B133" s="312">
        <f>B132/B$159</f>
        <v>0.49361037964529236</v>
      </c>
      <c r="C133" s="312">
        <f>C132/C$159</f>
        <v>0.41877653819323152</v>
      </c>
      <c r="D133" s="312">
        <f>D132/D$159</f>
        <v>0.43511586442546912</v>
      </c>
      <c r="E133" s="131">
        <f t="shared" ref="E133:J133" si="22">E132/E159</f>
        <v>0.43822779336687084</v>
      </c>
      <c r="F133" s="131">
        <f t="shared" si="22"/>
        <v>0.44227005878941283</v>
      </c>
      <c r="G133" s="131">
        <f t="shared" si="22"/>
        <v>0.44722602853992177</v>
      </c>
      <c r="H133" s="131">
        <f t="shared" si="22"/>
        <v>0.45286877617928195</v>
      </c>
      <c r="I133" s="131">
        <f t="shared" si="22"/>
        <v>0.45939435479155066</v>
      </c>
      <c r="J133" s="131">
        <f t="shared" si="22"/>
        <v>0.45939435479155066</v>
      </c>
    </row>
    <row r="134" spans="1:10">
      <c r="A134" s="245" t="s">
        <v>411</v>
      </c>
      <c r="B134" s="312"/>
      <c r="C134" s="312">
        <f t="shared" ref="C134:J134" si="23">IF(ISERROR(C132/B132-1),"",C132/B132-1)</f>
        <v>-7.1062576473262196E-2</v>
      </c>
      <c r="D134" s="312">
        <f t="shared" si="23"/>
        <v>-3.7527414713302343E-2</v>
      </c>
      <c r="E134" s="312">
        <f t="shared" si="23"/>
        <v>2.3059742041239728E-2</v>
      </c>
      <c r="F134" s="312">
        <f t="shared" si="23"/>
        <v>2.3113248969053091E-2</v>
      </c>
      <c r="G134" s="312">
        <f t="shared" si="23"/>
        <v>2.313637253728329E-2</v>
      </c>
      <c r="H134" s="312">
        <f t="shared" si="23"/>
        <v>2.221974132977711E-2</v>
      </c>
      <c r="I134" s="312">
        <f t="shared" si="23"/>
        <v>2.226605944622051E-2</v>
      </c>
      <c r="J134" s="312">
        <f t="shared" si="23"/>
        <v>3.0000000000000027E-2</v>
      </c>
    </row>
    <row r="135" spans="1:10">
      <c r="A135" s="319" t="str">
        <f>'Data '!A18</f>
        <v>Long-term investments</v>
      </c>
      <c r="B135" s="348">
        <f>'Data '!E18</f>
        <v>15570</v>
      </c>
      <c r="C135" s="349">
        <f>'Data '!F18</f>
        <v>37764</v>
      </c>
      <c r="D135" s="348">
        <f>'Data '!G18</f>
        <v>32361</v>
      </c>
      <c r="E135" s="341">
        <f>D135*(1+E136)</f>
        <v>33008.22</v>
      </c>
      <c r="F135" s="341">
        <f>E135*(1+F136)</f>
        <v>33668.384400000003</v>
      </c>
      <c r="G135" s="341">
        <f>F135*(1+G136)</f>
        <v>34341.752088000001</v>
      </c>
      <c r="H135" s="341">
        <f>G135*(1+H136)</f>
        <v>35028.587129760002</v>
      </c>
      <c r="I135" s="341">
        <f>H135*(1+I136)</f>
        <v>35729.158872355205</v>
      </c>
      <c r="J135" s="125">
        <f>I135*$J$102</f>
        <v>36801.033638525863</v>
      </c>
    </row>
    <row r="136" spans="1:10">
      <c r="A136" s="245" t="s">
        <v>412</v>
      </c>
      <c r="B136" s="312">
        <f>B135/B$159</f>
        <v>9.0507995744903477E-3</v>
      </c>
      <c r="C136" s="312">
        <f>C135/C$159</f>
        <v>2.0048778778576835E-2</v>
      </c>
      <c r="D136" s="312">
        <f>D135/D$159</f>
        <v>1.8546675599667821E-2</v>
      </c>
      <c r="E136" s="342">
        <v>0.02</v>
      </c>
      <c r="F136" s="342">
        <v>0.02</v>
      </c>
      <c r="G136" s="342">
        <v>0.02</v>
      </c>
      <c r="H136" s="342">
        <v>0.02</v>
      </c>
      <c r="I136" s="342">
        <v>0.02</v>
      </c>
      <c r="J136" s="343"/>
    </row>
    <row r="137" spans="1:10">
      <c r="A137" s="245" t="s">
        <v>411</v>
      </c>
      <c r="B137" s="312">
        <f>AVERAGE(B136:D136)</f>
        <v>1.5882084650911666E-2</v>
      </c>
      <c r="C137" s="312">
        <f>IF(ISERROR(C135/B135-1),"",C135/B135-1)</f>
        <v>1.4254335260115605</v>
      </c>
      <c r="D137" s="312">
        <f>IF(ISERROR(D135/C135-1),"",D135/C135-1)</f>
        <v>-0.14307276771528443</v>
      </c>
      <c r="E137" s="315" t="s">
        <v>1368</v>
      </c>
      <c r="F137" s="316"/>
      <c r="G137" s="316"/>
      <c r="H137" s="316"/>
      <c r="I137" s="316"/>
      <c r="J137" s="326"/>
    </row>
    <row r="138" spans="1:10">
      <c r="A138" s="319" t="str">
        <f>'Data '!A19</f>
        <v xml:space="preserve">Equity and cost investments </v>
      </c>
      <c r="B138" s="348">
        <f>'Data '!E19</f>
        <v>27747</v>
      </c>
      <c r="C138" s="349">
        <f>'Data '!F19</f>
        <v>28500</v>
      </c>
      <c r="D138" s="348">
        <f>'Data '!G19</f>
        <v>22489</v>
      </c>
      <c r="E138" s="341">
        <f>D138*(1+E139)</f>
        <v>22938.78</v>
      </c>
      <c r="F138" s="341">
        <f>E138*(1+F139)</f>
        <v>23397.5556</v>
      </c>
      <c r="G138" s="341">
        <f>F138*(1+G139)</f>
        <v>23865.506711999999</v>
      </c>
      <c r="H138" s="341">
        <f>G138*(1+H139)</f>
        <v>24342.816846239999</v>
      </c>
      <c r="I138" s="341">
        <f>H138*(1+I139)</f>
        <v>24829.673183164799</v>
      </c>
      <c r="J138" s="125">
        <f>I138*$J$102</f>
        <v>25574.563378659743</v>
      </c>
    </row>
    <row r="139" spans="1:10">
      <c r="A139" s="245" t="s">
        <v>412</v>
      </c>
      <c r="B139" s="312">
        <f>B138/B$159</f>
        <v>1.6129257276389447E-2</v>
      </c>
      <c r="C139" s="312">
        <f>C138/C$159</f>
        <v>1.5130552780146167E-2</v>
      </c>
      <c r="D139" s="312">
        <f>D138/D$159</f>
        <v>1.2888853482924805E-2</v>
      </c>
      <c r="E139" s="342">
        <v>0.02</v>
      </c>
      <c r="F139" s="342">
        <v>0.02</v>
      </c>
      <c r="G139" s="342">
        <v>0.02</v>
      </c>
      <c r="H139" s="342">
        <v>0.02</v>
      </c>
      <c r="I139" s="342">
        <v>0.02</v>
      </c>
      <c r="J139" s="343"/>
    </row>
    <row r="140" spans="1:10">
      <c r="A140" s="245" t="s">
        <v>411</v>
      </c>
      <c r="B140" s="312">
        <f>AVERAGE(B139:D139)</f>
        <v>1.4716221179820139E-2</v>
      </c>
      <c r="C140" s="312">
        <f>IF(ISERROR(C138/B138-1),"",C138/B138-1)</f>
        <v>2.7138068980430363E-2</v>
      </c>
      <c r="D140" s="312">
        <f>IF(ISERROR(D138/C138-1),"",D138/C138-1)</f>
        <v>-0.21091228070175438</v>
      </c>
      <c r="E140" s="315" t="s">
        <v>1369</v>
      </c>
      <c r="F140" s="316"/>
      <c r="G140" s="316"/>
      <c r="H140" s="316"/>
      <c r="I140" s="316"/>
      <c r="J140" s="350"/>
    </row>
    <row r="141" spans="1:10">
      <c r="A141" s="319" t="str">
        <f>'Data '!A20</f>
        <v>Property, plant, and equipment - at cost</v>
      </c>
      <c r="B141" s="348">
        <f>'Data '!E20</f>
        <v>341750</v>
      </c>
      <c r="C141" s="349">
        <f>'Data '!F20</f>
        <v>400000</v>
      </c>
      <c r="D141" s="348">
        <f>'Data '!G20</f>
        <v>420000</v>
      </c>
      <c r="E141" s="341">
        <f>'Forecast Development '!E60</f>
        <v>460969.55</v>
      </c>
      <c r="F141" s="341">
        <f>'Forecast Development '!F60</f>
        <v>502142.57749999996</v>
      </c>
      <c r="G141" s="341">
        <f>'Forecast Development '!G60</f>
        <v>543520.0313749999</v>
      </c>
      <c r="H141" s="341">
        <f>'Forecast Development '!H60</f>
        <v>585102.86181874992</v>
      </c>
      <c r="I141" s="341">
        <f>'Forecast Development '!I60</f>
        <v>627100.1105796874</v>
      </c>
      <c r="J141" s="125">
        <f>I141*$J$102</f>
        <v>645913.11389707809</v>
      </c>
    </row>
    <row r="142" spans="1:10">
      <c r="A142" s="245" t="s">
        <v>412</v>
      </c>
      <c r="B142" s="312">
        <f>B141/B$159</f>
        <v>0.19865836574066001</v>
      </c>
      <c r="C142" s="312">
        <f>C141/C$159</f>
        <v>0.2123586355108234</v>
      </c>
      <c r="D142" s="312">
        <f>D141/D$159</f>
        <v>0.24070961193598728</v>
      </c>
      <c r="E142" s="321"/>
      <c r="F142" s="321"/>
      <c r="G142" s="321"/>
      <c r="H142" s="321"/>
      <c r="I142" s="321"/>
      <c r="J142" s="343"/>
    </row>
    <row r="143" spans="1:10">
      <c r="A143" s="245" t="s">
        <v>411</v>
      </c>
      <c r="B143" s="312" t="str">
        <f>IF(ISERROR(B141/A141-1),"",B141/A141-1)</f>
        <v/>
      </c>
      <c r="C143" s="312">
        <f>IF(ISERROR(C141/B141-1),"",C141/B141-1)</f>
        <v>0.17044623262618863</v>
      </c>
      <c r="D143" s="312">
        <f>IF(ISERROR(D141/C141-1),"",D141/C141-1)</f>
        <v>5.0000000000000044E-2</v>
      </c>
      <c r="E143" s="315" t="s">
        <v>422</v>
      </c>
      <c r="F143" s="316"/>
      <c r="G143" s="316"/>
      <c r="H143" s="316"/>
      <c r="I143" s="316"/>
      <c r="J143" s="344"/>
    </row>
    <row r="144" spans="1:10">
      <c r="A144" s="319" t="str">
        <f>'Data '!A21</f>
        <v>&lt;Accumulated depreciation&gt;</v>
      </c>
      <c r="B144" s="348">
        <f>'Data '!E21</f>
        <v>-150186</v>
      </c>
      <c r="C144" s="349">
        <f>'Data '!F21</f>
        <v>-176646</v>
      </c>
      <c r="D144" s="348">
        <f>'Data '!G21</f>
        <v>-208000</v>
      </c>
      <c r="E144" s="341">
        <f>'Forecast Development '!E65</f>
        <v>-254096.95500000002</v>
      </c>
      <c r="F144" s="341">
        <f>'Forecast Development '!F65</f>
        <v>-304311.21275000001</v>
      </c>
      <c r="G144" s="341">
        <f>'Forecast Development '!G65</f>
        <v>-358663.21588749997</v>
      </c>
      <c r="H144" s="341">
        <f>'Forecast Development '!H65</f>
        <v>-417173.50206937495</v>
      </c>
      <c r="I144" s="341">
        <f>'Forecast Development '!I65</f>
        <v>-479883.51312734373</v>
      </c>
      <c r="J144" s="125">
        <f>I144*$J$102</f>
        <v>-494280.01852116408</v>
      </c>
    </row>
    <row r="145" spans="1:10">
      <c r="A145" s="245" t="s">
        <v>412</v>
      </c>
      <c r="B145" s="312">
        <f>B144/B$159</f>
        <v>-8.7302722215440415E-2</v>
      </c>
      <c r="C145" s="312">
        <f>C144/C$159</f>
        <v>-9.3780758821112267E-2</v>
      </c>
      <c r="D145" s="312">
        <f>D144/D$159</f>
        <v>-0.11920856972067942</v>
      </c>
      <c r="E145" s="321"/>
      <c r="F145" s="321"/>
      <c r="G145" s="321"/>
      <c r="H145" s="321"/>
      <c r="I145" s="321"/>
      <c r="J145" s="343"/>
    </row>
    <row r="146" spans="1:10">
      <c r="A146" s="245" t="s">
        <v>411</v>
      </c>
      <c r="B146" s="312" t="str">
        <f>IF(ISERROR(B144/A144-1),"",B144/A144-1)</f>
        <v/>
      </c>
      <c r="C146" s="312">
        <f>IF(ISERROR(C144/B144-1),"",C144/B144-1)</f>
        <v>0.17618153489672816</v>
      </c>
      <c r="D146" s="312">
        <f>IF(ISERROR(D144/C144-1),"",D144/C144-1)</f>
        <v>0.17749623540867043</v>
      </c>
      <c r="E146" s="315" t="s">
        <v>421</v>
      </c>
      <c r="F146" s="316"/>
      <c r="G146" s="316"/>
      <c r="H146" s="316"/>
      <c r="I146" s="316"/>
      <c r="J146" s="344"/>
    </row>
    <row r="147" spans="1:10">
      <c r="A147" s="319" t="str">
        <f>'Data '!A22</f>
        <v>Deferred income taxes - noncurrent</v>
      </c>
      <c r="B147" s="348">
        <f>'Data '!E22</f>
        <v>109090</v>
      </c>
      <c r="C147" s="349">
        <f>'Data '!F22</f>
        <v>122349</v>
      </c>
      <c r="D147" s="348">
        <f>'Data '!G22</f>
        <v>145142</v>
      </c>
      <c r="E147" s="341">
        <f>D147*(1+E148)</f>
        <v>148044.84</v>
      </c>
      <c r="F147" s="341">
        <f>E147*(1+F148)</f>
        <v>151005.73680000001</v>
      </c>
      <c r="G147" s="341">
        <f>F147*(1+G148)</f>
        <v>154025.851536</v>
      </c>
      <c r="H147" s="341">
        <f>G147*(1+H148)</f>
        <v>157106.36856672002</v>
      </c>
      <c r="I147" s="341">
        <f>H147*(1+I148)</f>
        <v>160248.49593805443</v>
      </c>
      <c r="J147" s="125">
        <f>I147*$J$102</f>
        <v>165055.95081619607</v>
      </c>
    </row>
    <row r="148" spans="1:10">
      <c r="A148" s="245" t="s">
        <v>412</v>
      </c>
      <c r="B148" s="312">
        <f>B147/B$159</f>
        <v>6.3413726755372643E-2</v>
      </c>
      <c r="C148" s="312">
        <f>C147/C$159</f>
        <v>6.4954666740284328E-2</v>
      </c>
      <c r="D148" s="312">
        <f>D147/D$159</f>
        <v>8.3183510703840641E-2</v>
      </c>
      <c r="E148" s="342">
        <v>0.02</v>
      </c>
      <c r="F148" s="342">
        <v>0.02</v>
      </c>
      <c r="G148" s="342">
        <v>0.02</v>
      </c>
      <c r="H148" s="342">
        <v>0.02</v>
      </c>
      <c r="I148" s="342">
        <v>0.02</v>
      </c>
      <c r="J148" s="343"/>
    </row>
    <row r="149" spans="1:10">
      <c r="A149" s="245" t="s">
        <v>411</v>
      </c>
      <c r="B149" s="312">
        <f>AVERAGE(B148:D148)</f>
        <v>7.0517301399832547E-2</v>
      </c>
      <c r="C149" s="312">
        <f>IF(ISERROR(C147/B147-1),"",C147/B147-1)</f>
        <v>0.12154184618205144</v>
      </c>
      <c r="D149" s="312">
        <f>IF(ISERROR(D147/C147-1),"",D147/C147-1)</f>
        <v>0.18629494315441897</v>
      </c>
      <c r="E149" s="315" t="s">
        <v>1370</v>
      </c>
      <c r="F149" s="316"/>
      <c r="G149" s="316"/>
      <c r="H149" s="316"/>
      <c r="I149" s="316"/>
      <c r="J149" s="344"/>
    </row>
    <row r="150" spans="1:10">
      <c r="A150" s="319" t="str">
        <f>'Data '!A23</f>
        <v>Other assets</v>
      </c>
      <c r="B150" s="348">
        <f>'Data '!E23</f>
        <v>485584</v>
      </c>
      <c r="C150" s="348">
        <f>'Data '!F23</f>
        <v>639278</v>
      </c>
      <c r="D150" s="348">
        <f>'Data '!G23</f>
        <v>535090</v>
      </c>
      <c r="E150" s="341">
        <f>D150*(1+E151)</f>
        <v>545791.80000000005</v>
      </c>
      <c r="F150" s="341">
        <f>E150*(1+F151)</f>
        <v>556707.63600000006</v>
      </c>
      <c r="G150" s="341">
        <f>F150*(1+G151)</f>
        <v>567841.78872000007</v>
      </c>
      <c r="H150" s="341">
        <f>G150*(1+H151)</f>
        <v>579198.62449440011</v>
      </c>
      <c r="I150" s="341">
        <f>H150*(1+I151)</f>
        <v>590782.59698428807</v>
      </c>
      <c r="J150" s="125">
        <f>I150*$J$102</f>
        <v>608506.07489381672</v>
      </c>
    </row>
    <row r="151" spans="1:10">
      <c r="A151" s="245" t="s">
        <v>412</v>
      </c>
      <c r="B151" s="312">
        <f>B150/B$159</f>
        <v>0.28226868725621845</v>
      </c>
      <c r="C151" s="312">
        <f>C150/C$159</f>
        <v>0.33939050948022037</v>
      </c>
      <c r="D151" s="312">
        <f>D150/D$159</f>
        <v>0.30666977678768437</v>
      </c>
      <c r="E151" s="342">
        <v>0.02</v>
      </c>
      <c r="F151" s="342">
        <v>0.02</v>
      </c>
      <c r="G151" s="342">
        <v>0.02</v>
      </c>
      <c r="H151" s="342">
        <v>0.02</v>
      </c>
      <c r="I151" s="342">
        <v>0.02</v>
      </c>
      <c r="J151" s="343"/>
    </row>
    <row r="152" spans="1:10">
      <c r="A152" s="245" t="s">
        <v>411</v>
      </c>
      <c r="B152" s="312">
        <f>AVERAGE(B151:D151)</f>
        <v>0.30944299117470775</v>
      </c>
      <c r="C152" s="312">
        <f>IF(ISERROR(C150/B150-1),"",C150/B150-1)</f>
        <v>0.3165137236811757</v>
      </c>
      <c r="D152" s="312">
        <f>IF(ISERROR(D150/C150-1),"",D150/C150-1)</f>
        <v>-0.16297760911528314</v>
      </c>
      <c r="E152" s="315" t="s">
        <v>1371</v>
      </c>
      <c r="F152" s="316"/>
      <c r="G152" s="316"/>
      <c r="H152" s="316"/>
      <c r="I152" s="316"/>
      <c r="J152" s="344"/>
    </row>
    <row r="153" spans="1:10">
      <c r="A153" s="319" t="str">
        <f>'Data '!A24</f>
        <v>Other intangible assets</v>
      </c>
      <c r="B153" s="348">
        <f>'Data '!E24</f>
        <v>34903</v>
      </c>
      <c r="C153" s="348">
        <f>'Data '!F24</f>
        <v>36872</v>
      </c>
      <c r="D153" s="348">
        <f>'Data '!G24</f>
        <v>31872</v>
      </c>
      <c r="E153" s="341">
        <f>D153*(1+E154)</f>
        <v>32350.079999999998</v>
      </c>
      <c r="F153" s="341">
        <f>E153*(1+F154)</f>
        <v>32835.331199999993</v>
      </c>
      <c r="G153" s="341">
        <f>F153*(1+G154)</f>
        <v>33327.861167999989</v>
      </c>
      <c r="H153" s="341">
        <f>G153*(1+H154)</f>
        <v>33827.779085519986</v>
      </c>
      <c r="I153" s="341">
        <f>H153*(1+I154)</f>
        <v>34335.195771802784</v>
      </c>
      <c r="J153" s="125">
        <f>I153*$J$102</f>
        <v>35365.251644956872</v>
      </c>
    </row>
    <row r="154" spans="1:10">
      <c r="A154" s="245" t="s">
        <v>412</v>
      </c>
      <c r="B154" s="312">
        <f>B153/B$159</f>
        <v>2.0289021037150714E-2</v>
      </c>
      <c r="C154" s="312">
        <f>C153/C$159</f>
        <v>1.9575219021387699E-2</v>
      </c>
      <c r="D154" s="312">
        <f>D153/D$159</f>
        <v>1.8266420837199492E-2</v>
      </c>
      <c r="E154" s="342">
        <v>1.4999999999999999E-2</v>
      </c>
      <c r="F154" s="342">
        <v>1.4999999999999999E-2</v>
      </c>
      <c r="G154" s="342">
        <v>1.4999999999999999E-2</v>
      </c>
      <c r="H154" s="342">
        <v>1.4999999999999999E-2</v>
      </c>
      <c r="I154" s="342">
        <v>1.4999999999999999E-2</v>
      </c>
      <c r="J154" s="343"/>
    </row>
    <row r="155" spans="1:10">
      <c r="A155" s="245" t="s">
        <v>411</v>
      </c>
      <c r="B155" s="312">
        <f>AVERAGE(B154:D154)</f>
        <v>1.9376886965245966E-2</v>
      </c>
      <c r="C155" s="312">
        <f>IF(ISERROR(C153/B153-1),"",C153/B153-1)</f>
        <v>5.6413488811849932E-2</v>
      </c>
      <c r="D155" s="312">
        <f>IF(ISERROR(D153/C153-1),"",D153/C153-1)</f>
        <v>-0.13560425254935993</v>
      </c>
      <c r="E155" s="315" t="s">
        <v>1372</v>
      </c>
      <c r="F155" s="316"/>
      <c r="G155" s="316"/>
      <c r="H155" s="316"/>
      <c r="I155" s="316"/>
      <c r="J155" s="344"/>
    </row>
    <row r="156" spans="1:10">
      <c r="A156" s="319" t="str">
        <f>'Data '!A25</f>
        <v xml:space="preserve">Goodwill </v>
      </c>
      <c r="B156" s="348">
        <f>'Data '!E25</f>
        <v>6679</v>
      </c>
      <c r="C156" s="348">
        <f>'Data '!F25</f>
        <v>6679</v>
      </c>
      <c r="D156" s="348">
        <f>'Data '!G25</f>
        <v>6679</v>
      </c>
      <c r="E156" s="341">
        <f>D156*(1+E157)</f>
        <v>6679</v>
      </c>
      <c r="F156" s="341">
        <f>E156*(1+F157)</f>
        <v>6679</v>
      </c>
      <c r="G156" s="341">
        <f>F156*(1+G157)</f>
        <v>6679</v>
      </c>
      <c r="H156" s="341">
        <f>G156*(1+H157)</f>
        <v>6679</v>
      </c>
      <c r="I156" s="341">
        <f>H156*(1+I157)</f>
        <v>6679</v>
      </c>
      <c r="J156" s="125">
        <f>I156*$J$102</f>
        <v>6879.37</v>
      </c>
    </row>
    <row r="157" spans="1:10">
      <c r="A157" s="245" t="s">
        <v>412</v>
      </c>
      <c r="B157" s="312">
        <f>B156/B$159</f>
        <v>3.8824849298664762E-3</v>
      </c>
      <c r="C157" s="312">
        <f>C156/C$159</f>
        <v>3.5458583164419736E-3</v>
      </c>
      <c r="D157" s="312">
        <f>D156/D$159</f>
        <v>3.8278559479058552E-3</v>
      </c>
      <c r="E157" s="342">
        <v>0</v>
      </c>
      <c r="F157" s="342">
        <v>0</v>
      </c>
      <c r="G157" s="342">
        <v>0</v>
      </c>
      <c r="H157" s="342">
        <v>0</v>
      </c>
      <c r="I157" s="342">
        <v>0</v>
      </c>
      <c r="J157" s="343"/>
    </row>
    <row r="158" spans="1:10">
      <c r="A158" s="245" t="s">
        <v>411</v>
      </c>
      <c r="B158" s="312">
        <f>AVERAGE(B157:D157)</f>
        <v>3.7520663980714353E-3</v>
      </c>
      <c r="C158" s="312">
        <f>IF(ISERROR(C156/B156-1),"",C156/B156-1)</f>
        <v>0</v>
      </c>
      <c r="D158" s="312">
        <f>IF(ISERROR(D156/C156-1),"",D156/C156-1)</f>
        <v>0</v>
      </c>
      <c r="E158" s="315" t="s">
        <v>1373</v>
      </c>
      <c r="F158" s="316"/>
      <c r="G158" s="316"/>
      <c r="H158" s="316"/>
      <c r="I158" s="316"/>
      <c r="J158" s="347"/>
    </row>
    <row r="159" spans="1:10" ht="13.5" thickBot="1">
      <c r="A159" s="319" t="str">
        <f>'Data '!A26</f>
        <v xml:space="preserve">   Total Assets</v>
      </c>
      <c r="B159" s="331">
        <f t="shared" ref="B159:J159" si="24">B132+B135+B138+B141+B144+B147+B150+B153+B156</f>
        <v>1720290</v>
      </c>
      <c r="C159" s="331">
        <f t="shared" si="24"/>
        <v>1883606</v>
      </c>
      <c r="D159" s="331">
        <f t="shared" si="24"/>
        <v>1744841</v>
      </c>
      <c r="E159" s="331">
        <f t="shared" si="24"/>
        <v>1772400.4556356457</v>
      </c>
      <c r="F159" s="331">
        <f t="shared" si="24"/>
        <v>1796792.5598091902</v>
      </c>
      <c r="G159" s="331">
        <f t="shared" si="24"/>
        <v>1817991.8512752859</v>
      </c>
      <c r="H159" s="331">
        <f t="shared" si="24"/>
        <v>1835231.6449061565</v>
      </c>
      <c r="I159" s="331">
        <f t="shared" si="24"/>
        <v>1849445.5747247948</v>
      </c>
      <c r="J159" s="331">
        <f t="shared" si="24"/>
        <v>1904928.9419665388</v>
      </c>
    </row>
    <row r="160" spans="1:10" ht="13.5" thickTop="1">
      <c r="A160" s="245" t="s">
        <v>412</v>
      </c>
      <c r="B160" s="312">
        <f t="shared" ref="B160:J160" si="25">B159/B$159</f>
        <v>1</v>
      </c>
      <c r="C160" s="312">
        <f t="shared" si="25"/>
        <v>1</v>
      </c>
      <c r="D160" s="312">
        <f t="shared" si="25"/>
        <v>1</v>
      </c>
      <c r="E160" s="312">
        <f t="shared" si="25"/>
        <v>1</v>
      </c>
      <c r="F160" s="312">
        <f t="shared" si="25"/>
        <v>1</v>
      </c>
      <c r="G160" s="312">
        <f t="shared" si="25"/>
        <v>1</v>
      </c>
      <c r="H160" s="312">
        <f t="shared" si="25"/>
        <v>1</v>
      </c>
      <c r="I160" s="312">
        <f t="shared" si="25"/>
        <v>1</v>
      </c>
      <c r="J160" s="312">
        <f t="shared" si="25"/>
        <v>1</v>
      </c>
    </row>
    <row r="161" spans="1:10">
      <c r="A161" s="245" t="s">
        <v>411</v>
      </c>
      <c r="B161" s="312"/>
      <c r="C161" s="312">
        <f t="shared" ref="C161:J161" si="26">IF(ISERROR(C159/B159-1),"",C159/B159-1)</f>
        <v>9.4935156281789723E-2</v>
      </c>
      <c r="D161" s="312">
        <f t="shared" si="26"/>
        <v>-7.3669865141648527E-2</v>
      </c>
      <c r="E161" s="312">
        <f t="shared" si="26"/>
        <v>1.5794823502912614E-2</v>
      </c>
      <c r="F161" s="312">
        <f t="shared" si="26"/>
        <v>1.3762185682127281E-2</v>
      </c>
      <c r="G161" s="312">
        <f t="shared" si="26"/>
        <v>1.1798407863146343E-2</v>
      </c>
      <c r="H161" s="312">
        <f t="shared" si="26"/>
        <v>9.4828772850532594E-3</v>
      </c>
      <c r="I161" s="312">
        <f t="shared" si="26"/>
        <v>7.7450330905586284E-3</v>
      </c>
      <c r="J161" s="312">
        <f t="shared" si="26"/>
        <v>3.0000000000000027E-2</v>
      </c>
    </row>
    <row r="162" spans="1:10">
      <c r="A162" s="258"/>
      <c r="J162" s="344"/>
    </row>
    <row r="163" spans="1:10">
      <c r="A163" s="258" t="s">
        <v>420</v>
      </c>
      <c r="J163" s="344"/>
    </row>
    <row r="164" spans="1:10">
      <c r="A164" s="319" t="str">
        <f>'Data '!A29</f>
        <v>Provisions for risks and charges</v>
      </c>
      <c r="B164" s="125">
        <f>'Data '!E29</f>
        <v>174016</v>
      </c>
      <c r="C164" s="125">
        <f>'Data '!F29</f>
        <v>23928</v>
      </c>
      <c r="D164" s="125">
        <f>'Data '!G29</f>
        <v>22514</v>
      </c>
      <c r="E164" s="341">
        <f>D164*(1+E165)</f>
        <v>22964.28</v>
      </c>
      <c r="F164" s="341">
        <f>E164*(1+F165)</f>
        <v>23423.565599999998</v>
      </c>
      <c r="G164" s="341">
        <f>F164*(1+G165)</f>
        <v>23892.036912</v>
      </c>
      <c r="H164" s="341">
        <f>G164*(1+H165)</f>
        <v>24369.87765024</v>
      </c>
      <c r="I164" s="341">
        <f>H164*(1+I165)</f>
        <v>24857.275203244801</v>
      </c>
      <c r="J164" s="125">
        <f>I164*$J$102</f>
        <v>25602.993459342146</v>
      </c>
    </row>
    <row r="165" spans="1:10">
      <c r="A165" s="245" t="s">
        <v>412</v>
      </c>
      <c r="B165" s="312">
        <f>B164/B$159</f>
        <v>0.10115503781339193</v>
      </c>
      <c r="C165" s="312">
        <f>C164/C$159</f>
        <v>1.2703293576257456E-2</v>
      </c>
      <c r="D165" s="312">
        <f>D164/D$159</f>
        <v>1.2903181436016233E-2</v>
      </c>
      <c r="E165" s="342">
        <v>0.02</v>
      </c>
      <c r="F165" s="342">
        <v>0.02</v>
      </c>
      <c r="G165" s="342">
        <v>0.02</v>
      </c>
      <c r="H165" s="342">
        <v>0.02</v>
      </c>
      <c r="I165" s="342">
        <v>0.02</v>
      </c>
      <c r="J165" s="343"/>
    </row>
    <row r="166" spans="1:10">
      <c r="A166" s="245" t="s">
        <v>411</v>
      </c>
      <c r="B166" s="312">
        <f>AVERAGE(B165:D165)</f>
        <v>4.2253837608555202E-2</v>
      </c>
      <c r="C166" s="312">
        <f>IF(ISERROR(C164/B164-1),"",C164/B164-1)</f>
        <v>-0.86249540272158876</v>
      </c>
      <c r="D166" s="312">
        <f>IF(ISERROR(D164/C164-1),"",D164/C164-1)</f>
        <v>-5.9093948512203287E-2</v>
      </c>
      <c r="E166" s="315" t="s">
        <v>1374</v>
      </c>
      <c r="F166" s="316"/>
      <c r="G166" s="316"/>
      <c r="H166" s="316"/>
      <c r="I166" s="316"/>
      <c r="J166" s="344"/>
    </row>
    <row r="167" spans="1:10">
      <c r="A167" s="319" t="str">
        <f>'Data '!A30</f>
        <v>Employee benefit liabilities</v>
      </c>
      <c r="B167" s="125">
        <f>'Data '!E30</f>
        <v>10100</v>
      </c>
      <c r="C167" s="125">
        <f>'Data '!F30</f>
        <v>6954</v>
      </c>
      <c r="D167" s="125">
        <f>'Data '!G30</f>
        <v>6026</v>
      </c>
      <c r="E167" s="341">
        <f>D167*(1+E168)</f>
        <v>6146.52</v>
      </c>
      <c r="F167" s="341">
        <f>E167*(1+F168)</f>
        <v>6269.4504000000006</v>
      </c>
      <c r="G167" s="341">
        <f>F167*(1+G168)</f>
        <v>6394.8394080000007</v>
      </c>
      <c r="H167" s="341">
        <f>G167*(1+H168)</f>
        <v>6522.7361961600009</v>
      </c>
      <c r="I167" s="341">
        <f>H167*(1+I168)</f>
        <v>6653.1909200832006</v>
      </c>
      <c r="J167" s="125">
        <f>I167*$J$102</f>
        <v>6852.7866476856971</v>
      </c>
    </row>
    <row r="168" spans="1:10">
      <c r="A168" s="245" t="s">
        <v>412</v>
      </c>
      <c r="B168" s="312">
        <f>B167/B$159</f>
        <v>5.8711031279609837E-3</v>
      </c>
      <c r="C168" s="312">
        <f>C167/C$159</f>
        <v>3.6918548783556647E-3</v>
      </c>
      <c r="D168" s="312">
        <f>D167/D$159</f>
        <v>3.4536098131577606E-3</v>
      </c>
      <c r="E168" s="342">
        <v>0.02</v>
      </c>
      <c r="F168" s="342">
        <v>0.02</v>
      </c>
      <c r="G168" s="342">
        <v>0.02</v>
      </c>
      <c r="H168" s="342">
        <v>0.02</v>
      </c>
      <c r="I168" s="342">
        <v>0.02</v>
      </c>
      <c r="J168" s="343"/>
    </row>
    <row r="169" spans="1:10">
      <c r="A169" s="245" t="s">
        <v>411</v>
      </c>
      <c r="B169" s="312">
        <f>AVERAGE(B168:D168)</f>
        <v>4.338855939824803E-3</v>
      </c>
      <c r="C169" s="312">
        <f>IF(ISERROR(C167/B167-1),"",C167/B167-1)</f>
        <v>-0.31148514851485154</v>
      </c>
      <c r="D169" s="312">
        <f>IF(ISERROR(D167/C167-1),"",D167/C167-1)</f>
        <v>-0.13344837503595053</v>
      </c>
      <c r="E169" s="315" t="s">
        <v>1375</v>
      </c>
      <c r="F169" s="316"/>
      <c r="G169" s="316"/>
      <c r="H169" s="316"/>
      <c r="I169" s="316"/>
      <c r="J169" s="344"/>
    </row>
    <row r="170" spans="1:10">
      <c r="A170" s="319" t="str">
        <f>'Data '!A31</f>
        <v>Other non-current liabilities</v>
      </c>
      <c r="B170" s="125">
        <f>'Data '!E31</f>
        <v>29264</v>
      </c>
      <c r="C170" s="125">
        <f>'Data '!F31</f>
        <v>16223</v>
      </c>
      <c r="D170" s="125">
        <f>'Data '!G31</f>
        <v>14723</v>
      </c>
      <c r="E170" s="341">
        <f>D170*(1+E171)</f>
        <v>15017.460000000001</v>
      </c>
      <c r="F170" s="341">
        <f>E170*(1+F171)</f>
        <v>15317.809200000002</v>
      </c>
      <c r="G170" s="341">
        <f>F170*(1+G171)</f>
        <v>15624.165384000002</v>
      </c>
      <c r="H170" s="341">
        <f>G170*(1+H171)</f>
        <v>15936.648691680002</v>
      </c>
      <c r="I170" s="341">
        <f>H170*(1+I171)</f>
        <v>16255.381665513603</v>
      </c>
      <c r="J170" s="125">
        <f>I170*$J$102</f>
        <v>16743.043115479013</v>
      </c>
    </row>
    <row r="171" spans="1:10">
      <c r="A171" s="245" t="s">
        <v>412</v>
      </c>
      <c r="B171" s="312">
        <f>B170/B$159</f>
        <v>1.7011085340262397E-2</v>
      </c>
      <c r="C171" s="312">
        <f>C170/C$159</f>
        <v>8.6127353597302194E-3</v>
      </c>
      <c r="D171" s="312">
        <f>D170/D$159</f>
        <v>8.4380181346036687E-3</v>
      </c>
      <c r="E171" s="342">
        <v>0.02</v>
      </c>
      <c r="F171" s="342">
        <v>0.02</v>
      </c>
      <c r="G171" s="342">
        <v>0.02</v>
      </c>
      <c r="H171" s="342">
        <v>0.02</v>
      </c>
      <c r="I171" s="342">
        <v>0.02</v>
      </c>
      <c r="J171" s="343"/>
    </row>
    <row r="172" spans="1:10">
      <c r="A172" s="245" t="s">
        <v>411</v>
      </c>
      <c r="B172" s="312">
        <v>8.0000000000000002E-3</v>
      </c>
      <c r="C172" s="312">
        <f>IF(ISERROR(C170/B170-1),"",C170/B170-1)</f>
        <v>-0.44563285948605791</v>
      </c>
      <c r="D172" s="312">
        <f>IF(ISERROR(D170/C170-1),"",D170/C170-1)</f>
        <v>-9.246132034765453E-2</v>
      </c>
      <c r="E172" s="315" t="s">
        <v>1376</v>
      </c>
      <c r="F172" s="316"/>
      <c r="G172" s="316"/>
      <c r="H172" s="316"/>
      <c r="I172" s="316"/>
      <c r="J172" s="326"/>
    </row>
    <row r="173" spans="1:10">
      <c r="A173" s="258" t="str">
        <f>'Data '!A32</f>
        <v>Non-current lease liabilities</v>
      </c>
      <c r="B173" s="125">
        <f>'Data '!E32</f>
        <v>106586</v>
      </c>
      <c r="C173" s="125">
        <f>'Data '!F32</f>
        <v>596603</v>
      </c>
      <c r="D173" s="125">
        <f>'Data '!G32</f>
        <v>552344</v>
      </c>
      <c r="E173" s="341">
        <f>D173*(1+E174)</f>
        <v>563390.88</v>
      </c>
      <c r="F173" s="341">
        <f>E173*(1+F174)</f>
        <v>574658.69760000007</v>
      </c>
      <c r="G173" s="341">
        <f>F173*(1+G174)</f>
        <v>586151.87155200006</v>
      </c>
      <c r="H173" s="341">
        <f>G173*(1+H174)</f>
        <v>597874.90898304002</v>
      </c>
      <c r="I173" s="341">
        <f>H173*(1+I174)</f>
        <v>609832.40716270078</v>
      </c>
      <c r="J173" s="125">
        <f>I173*$J$102</f>
        <v>628127.37937758176</v>
      </c>
    </row>
    <row r="174" spans="1:10">
      <c r="A174" s="245" t="s">
        <v>412</v>
      </c>
      <c r="B174" s="312">
        <f>B173/B$159</f>
        <v>6.1958158217509836E-2</v>
      </c>
      <c r="C174" s="312">
        <f>C173/C$159</f>
        <v>0.31673449755415939</v>
      </c>
      <c r="D174" s="312">
        <f>D173/D$159</f>
        <v>0.31655835689326423</v>
      </c>
      <c r="E174" s="351">
        <v>0.02</v>
      </c>
      <c r="F174" s="351">
        <v>0.02</v>
      </c>
      <c r="G174" s="351">
        <v>0.02</v>
      </c>
      <c r="H174" s="351">
        <v>0.02</v>
      </c>
      <c r="I174" s="351">
        <v>0.02</v>
      </c>
      <c r="J174" s="343"/>
    </row>
    <row r="175" spans="1:10">
      <c r="A175" s="245" t="s">
        <v>411</v>
      </c>
      <c r="B175" s="312">
        <f>AVERAGE(B174:D174)</f>
        <v>0.23175033755497779</v>
      </c>
      <c r="C175" s="312">
        <f>IF(ISERROR(C173/B173-1),"",C173/B173-1)</f>
        <v>4.5973861482746328</v>
      </c>
      <c r="D175" s="312">
        <f>IF(ISERROR(D173/C173-1),"",D173/C173-1)</f>
        <v>-7.4185010802828688E-2</v>
      </c>
      <c r="E175" s="315" t="s">
        <v>419</v>
      </c>
      <c r="F175" s="316"/>
      <c r="G175" s="316"/>
      <c r="H175" s="316"/>
      <c r="I175" s="316"/>
      <c r="J175" s="139"/>
    </row>
    <row r="176" spans="1:10">
      <c r="A176" s="319" t="str">
        <f>'Data '!A33</f>
        <v>Deferred tax liabilities</v>
      </c>
      <c r="B176" s="125">
        <f>'Data '!E33</f>
        <v>0</v>
      </c>
      <c r="C176" s="125">
        <f>'Data '!F33</f>
        <v>0</v>
      </c>
      <c r="D176" s="125">
        <f>'Data '!G33</f>
        <v>0</v>
      </c>
      <c r="E176" s="341">
        <f>D176*(1+E177)</f>
        <v>0</v>
      </c>
      <c r="F176" s="341">
        <f>E176*(1+F177)</f>
        <v>0</v>
      </c>
      <c r="G176" s="341">
        <f>F176*(1+G177)</f>
        <v>0</v>
      </c>
      <c r="H176" s="341">
        <f>G176*(1+H177)</f>
        <v>0</v>
      </c>
      <c r="I176" s="341">
        <f>H176*(1+I177)</f>
        <v>0</v>
      </c>
      <c r="J176" s="125">
        <f>I176*$J$102</f>
        <v>0</v>
      </c>
    </row>
    <row r="177" spans="1:10">
      <c r="A177" s="245" t="s">
        <v>412</v>
      </c>
      <c r="B177" s="312">
        <f>B176/B$159</f>
        <v>0</v>
      </c>
      <c r="C177" s="312">
        <f>C176/C$159</f>
        <v>0</v>
      </c>
      <c r="D177" s="312">
        <f>D176/D$159</f>
        <v>0</v>
      </c>
      <c r="E177" s="342">
        <v>0.02</v>
      </c>
      <c r="F177" s="342">
        <v>0.02</v>
      </c>
      <c r="G177" s="342">
        <v>0.02</v>
      </c>
      <c r="H177" s="342">
        <v>0.02</v>
      </c>
      <c r="I177" s="342">
        <v>0.02</v>
      </c>
      <c r="J177" s="343"/>
    </row>
    <row r="178" spans="1:10">
      <c r="A178" s="245" t="s">
        <v>411</v>
      </c>
      <c r="B178" s="312"/>
      <c r="C178" s="312" t="str">
        <f>IF(ISERROR(C176/B176-1),"",C176/B176-1)</f>
        <v/>
      </c>
      <c r="D178" s="312" t="str">
        <f>IF(ISERROR(D176/C176-1),"",D176/C176-1)</f>
        <v/>
      </c>
      <c r="E178" s="315" t="s">
        <v>1377</v>
      </c>
      <c r="F178" s="316"/>
      <c r="G178" s="316"/>
      <c r="H178" s="316"/>
      <c r="I178" s="316"/>
      <c r="J178" s="326"/>
    </row>
    <row r="179" spans="1:10">
      <c r="A179" s="319" t="str">
        <f>'Data '!A34</f>
        <v>Other current liabilities (1)</v>
      </c>
      <c r="B179" s="125">
        <f>'Data '!E34</f>
        <v>25216</v>
      </c>
      <c r="C179" s="125">
        <f>'Data '!F34</f>
        <v>114439</v>
      </c>
      <c r="D179" s="125">
        <f>'Data '!G34</f>
        <v>124002</v>
      </c>
      <c r="E179" s="341">
        <f>D179*(1+E180)</f>
        <v>126482.04000000001</v>
      </c>
      <c r="F179" s="341">
        <f>E179*(1+F180)</f>
        <v>129011.68080000002</v>
      </c>
      <c r="G179" s="341">
        <f>F179*(1+G180)</f>
        <v>131591.91441600001</v>
      </c>
      <c r="H179" s="341">
        <f>G179*(1+H180)</f>
        <v>134223.75270432001</v>
      </c>
      <c r="I179" s="341">
        <f>H179*(1+I180)</f>
        <v>136908.2277584064</v>
      </c>
      <c r="J179" s="125">
        <f>I179*$J$102</f>
        <v>141015.47459115859</v>
      </c>
    </row>
    <row r="180" spans="1:10">
      <c r="A180" s="245" t="s">
        <v>412</v>
      </c>
      <c r="B180" s="312">
        <f>B179/B$159</f>
        <v>1.4657993710362787E-2</v>
      </c>
      <c r="C180" s="312">
        <f>C179/C$159</f>
        <v>6.0755274723057792E-2</v>
      </c>
      <c r="D180" s="312">
        <f>D179/D$159</f>
        <v>7.1067793569729282E-2</v>
      </c>
      <c r="E180" s="342">
        <v>0.02</v>
      </c>
      <c r="F180" s="342">
        <v>0.02</v>
      </c>
      <c r="G180" s="342">
        <v>0.02</v>
      </c>
      <c r="H180" s="342">
        <v>0.02</v>
      </c>
      <c r="I180" s="342">
        <v>0.02</v>
      </c>
      <c r="J180" s="343"/>
    </row>
    <row r="181" spans="1:10">
      <c r="A181" s="245" t="s">
        <v>411</v>
      </c>
      <c r="B181" s="312">
        <f>AVERAGE(B180:D180)</f>
        <v>4.8827020667716624E-2</v>
      </c>
      <c r="C181" s="312">
        <f>IF(ISERROR(C179/B179-1),"",C179/B179-1)</f>
        <v>3.5383486675126905</v>
      </c>
      <c r="D181" s="312">
        <f>IF(ISERROR(D179/C179-1),"",D179/C179-1)</f>
        <v>8.3564169557580836E-2</v>
      </c>
      <c r="E181" s="315" t="s">
        <v>1378</v>
      </c>
      <c r="F181" s="316"/>
      <c r="G181" s="316"/>
      <c r="H181" s="316"/>
      <c r="I181" s="316"/>
      <c r="J181" s="347"/>
    </row>
    <row r="182" spans="1:10">
      <c r="A182" s="319" t="str">
        <f>'Data '!A35</f>
        <v>Other current liabilities (2)</v>
      </c>
      <c r="B182" s="125">
        <f>'Data '!E35</f>
        <v>77835</v>
      </c>
      <c r="C182" s="125">
        <f>'Data '!F35</f>
        <v>48806</v>
      </c>
      <c r="D182" s="125">
        <f>'Data '!G35</f>
        <v>44151</v>
      </c>
      <c r="E182" s="341">
        <f>D182*(1+E183)</f>
        <v>45034.020000000004</v>
      </c>
      <c r="F182" s="341">
        <f>E182*(1+F183)</f>
        <v>45934.700400000002</v>
      </c>
      <c r="G182" s="341">
        <f>F182*(1+G183)</f>
        <v>46853.394408</v>
      </c>
      <c r="H182" s="341">
        <f>G182*(1+H183)</f>
        <v>47790.462296160003</v>
      </c>
      <c r="I182" s="341">
        <f>H182*(1+I183)</f>
        <v>48746.271542083203</v>
      </c>
      <c r="J182" s="125">
        <f>I182*$J$102</f>
        <v>50208.659688345702</v>
      </c>
    </row>
    <row r="183" spans="1:10">
      <c r="A183" s="245" t="s">
        <v>412</v>
      </c>
      <c r="B183" s="312">
        <f>B182/B$159</f>
        <v>4.5245278412360708E-2</v>
      </c>
      <c r="C183" s="312">
        <f>C182/C$159</f>
        <v>2.5910938911853115E-2</v>
      </c>
      <c r="D183" s="312">
        <f>D182/D$159</f>
        <v>2.530373827758518E-2</v>
      </c>
      <c r="E183" s="342">
        <v>0.02</v>
      </c>
      <c r="F183" s="342">
        <v>0.02</v>
      </c>
      <c r="G183" s="342">
        <v>0.02</v>
      </c>
      <c r="H183" s="342">
        <v>0.02</v>
      </c>
      <c r="I183" s="342">
        <v>0.02</v>
      </c>
      <c r="J183" s="343"/>
    </row>
    <row r="184" spans="1:10">
      <c r="A184" s="245" t="s">
        <v>411</v>
      </c>
      <c r="B184" s="312">
        <f>AVERAGE(B183:D183)</f>
        <v>3.2153318533933002E-2</v>
      </c>
      <c r="C184" s="312">
        <f>IF(ISERROR(C182/B182-1),"",C182/B182-1)</f>
        <v>-0.37295561122888166</v>
      </c>
      <c r="D184" s="312">
        <f>IF(ISERROR(D182/C182-1),"",D182/C182-1)</f>
        <v>-9.5377617506044343E-2</v>
      </c>
      <c r="E184" s="315" t="s">
        <v>1379</v>
      </c>
      <c r="F184" s="316"/>
      <c r="G184" s="316"/>
      <c r="H184" s="316"/>
      <c r="I184" s="316"/>
      <c r="J184" s="347"/>
    </row>
    <row r="185" spans="1:10">
      <c r="A185" s="319" t="str">
        <f>'Data '!A36</f>
        <v>Other current liabilities (3)</v>
      </c>
      <c r="B185" s="125">
        <f>'Data '!E36</f>
        <v>1096</v>
      </c>
      <c r="C185" s="125">
        <f>'Data '!F36</f>
        <v>296984</v>
      </c>
      <c r="D185" s="125">
        <f>'Data '!G36</f>
        <v>311318</v>
      </c>
      <c r="E185" s="341">
        <f>D185*(1+E186)</f>
        <v>317544.36</v>
      </c>
      <c r="F185" s="341">
        <f>E185*(1+F186)</f>
        <v>323895.24719999998</v>
      </c>
      <c r="G185" s="341">
        <f>F185*(1+G186)</f>
        <v>330373.15214399999</v>
      </c>
      <c r="H185" s="341">
        <f>G185*(1+H186)</f>
        <v>336980.61518687999</v>
      </c>
      <c r="I185" s="341">
        <f>H185*(1+I186)</f>
        <v>343720.2274906176</v>
      </c>
      <c r="J185" s="125">
        <f>I185*$J$102</f>
        <v>354031.83431533613</v>
      </c>
    </row>
    <row r="186" spans="1:10">
      <c r="A186" s="245" t="s">
        <v>412</v>
      </c>
      <c r="B186" s="312">
        <f>B185/B$159</f>
        <v>6.3710188398467696E-4</v>
      </c>
      <c r="C186" s="312">
        <f>C185/C$159</f>
        <v>0.15766779252136592</v>
      </c>
      <c r="D186" s="312">
        <f>D185/D$159</f>
        <v>0.17842198802068499</v>
      </c>
      <c r="E186" s="342">
        <v>0.02</v>
      </c>
      <c r="F186" s="342">
        <v>0.02</v>
      </c>
      <c r="G186" s="342">
        <v>0.02</v>
      </c>
      <c r="H186" s="342">
        <v>0.02</v>
      </c>
      <c r="I186" s="342">
        <v>0.02</v>
      </c>
      <c r="J186" s="343"/>
    </row>
    <row r="187" spans="1:10">
      <c r="A187" s="245" t="s">
        <v>411</v>
      </c>
      <c r="B187" s="312">
        <f>AVERAGE((C186:D186))</f>
        <v>0.16804489027102545</v>
      </c>
      <c r="C187" s="312">
        <f>IF(ISERROR(C185/B185-1),"",C185/B185-1)</f>
        <v>269.97080291970804</v>
      </c>
      <c r="D187" s="312">
        <f>IF(ISERROR(D185/C185-1),"",D185/C185-1)</f>
        <v>4.8265226409503592E-2</v>
      </c>
      <c r="E187" s="315" t="s">
        <v>1380</v>
      </c>
      <c r="F187" s="316"/>
      <c r="G187" s="316"/>
      <c r="H187" s="316"/>
      <c r="I187" s="316"/>
      <c r="J187" s="347"/>
    </row>
    <row r="188" spans="1:10">
      <c r="A188" s="319" t="str">
        <f>'Data '!A37</f>
        <v xml:space="preserve">  Current Liabilities</v>
      </c>
      <c r="B188" s="317">
        <f t="shared" ref="B188:J188" si="27">B164+B167+B170+B173+B176+B179+B182+B185</f>
        <v>424113</v>
      </c>
      <c r="C188" s="317">
        <f t="shared" si="27"/>
        <v>1103937</v>
      </c>
      <c r="D188" s="317">
        <f t="shared" si="27"/>
        <v>1075078</v>
      </c>
      <c r="E188" s="317">
        <f t="shared" si="27"/>
        <v>1096579.56</v>
      </c>
      <c r="F188" s="317">
        <f t="shared" si="27"/>
        <v>1118511.1512</v>
      </c>
      <c r="G188" s="317">
        <f t="shared" si="27"/>
        <v>1140881.3742240001</v>
      </c>
      <c r="H188" s="317">
        <f t="shared" si="27"/>
        <v>1163699.0017084801</v>
      </c>
      <c r="I188" s="317">
        <f t="shared" si="27"/>
        <v>1186972.9817426496</v>
      </c>
      <c r="J188" s="317">
        <f t="shared" si="27"/>
        <v>1222582.1711949292</v>
      </c>
    </row>
    <row r="189" spans="1:10">
      <c r="A189" s="245" t="s">
        <v>412</v>
      </c>
      <c r="B189" s="312">
        <f t="shared" ref="B189:J189" si="28">B188/B$159</f>
        <v>0.24653575850583331</v>
      </c>
      <c r="C189" s="312">
        <f t="shared" si="28"/>
        <v>0.58607638752477964</v>
      </c>
      <c r="D189" s="312">
        <f t="shared" si="28"/>
        <v>0.61614668614504131</v>
      </c>
      <c r="E189" s="312">
        <f t="shared" si="28"/>
        <v>0.6186974035767373</v>
      </c>
      <c r="F189" s="312">
        <f t="shared" si="28"/>
        <v>0.62250433145091599</v>
      </c>
      <c r="G189" s="312">
        <f t="shared" si="28"/>
        <v>0.62755032340969741</v>
      </c>
      <c r="H189" s="312">
        <f t="shared" si="28"/>
        <v>0.63408834788699664</v>
      </c>
      <c r="I189" s="312">
        <f t="shared" si="28"/>
        <v>0.64179935758275886</v>
      </c>
      <c r="J189" s="312">
        <f t="shared" si="28"/>
        <v>0.64179935758275886</v>
      </c>
    </row>
    <row r="190" spans="1:10">
      <c r="A190" s="245" t="s">
        <v>411</v>
      </c>
      <c r="B190" s="312"/>
      <c r="C190" s="312">
        <f t="shared" ref="C190:I190" si="29">IF(ISERROR(C188/B188-1),"",C188/B188-1)</f>
        <v>1.6029312942541258</v>
      </c>
      <c r="D190" s="312">
        <f t="shared" si="29"/>
        <v>-2.6141890343380103E-2</v>
      </c>
      <c r="E190" s="312">
        <f t="shared" si="29"/>
        <v>2.0000000000000018E-2</v>
      </c>
      <c r="F190" s="312">
        <f t="shared" si="29"/>
        <v>2.0000000000000018E-2</v>
      </c>
      <c r="G190" s="312">
        <f t="shared" si="29"/>
        <v>2.000000000000024E-2</v>
      </c>
      <c r="H190" s="312">
        <f t="shared" si="29"/>
        <v>2.0000000000000018E-2</v>
      </c>
      <c r="I190" s="312">
        <f t="shared" si="29"/>
        <v>2.0000000000000018E-2</v>
      </c>
      <c r="J190" s="312"/>
    </row>
    <row r="191" spans="1:10">
      <c r="A191" s="258" t="str">
        <f>'Data '!A38</f>
        <v xml:space="preserve">Long-term debt </v>
      </c>
      <c r="B191" s="125">
        <f>'Data '!E38</f>
        <v>0</v>
      </c>
      <c r="C191" s="125">
        <f>'Data '!F38</f>
        <v>0</v>
      </c>
      <c r="D191" s="125">
        <f>'Data '!G38</f>
        <v>0</v>
      </c>
      <c r="E191" s="341">
        <f>D191*(1+E192)</f>
        <v>0</v>
      </c>
      <c r="F191" s="341">
        <f>E191*(1+F192)</f>
        <v>0</v>
      </c>
      <c r="G191" s="341">
        <f>F191*(1+G192)</f>
        <v>0</v>
      </c>
      <c r="H191" s="341">
        <f>G191*(1+H192)</f>
        <v>0</v>
      </c>
      <c r="I191" s="341">
        <f>H191*(1+I192)</f>
        <v>0</v>
      </c>
      <c r="J191" s="125">
        <f>I191*$J$102</f>
        <v>0</v>
      </c>
    </row>
    <row r="192" spans="1:10">
      <c r="A192" s="245" t="s">
        <v>412</v>
      </c>
      <c r="B192" s="312">
        <f>B191/B$159</f>
        <v>0</v>
      </c>
      <c r="C192" s="312">
        <f>C191/C$159</f>
        <v>0</v>
      </c>
      <c r="D192" s="312">
        <f>D191/D$159</f>
        <v>0</v>
      </c>
      <c r="E192" s="342">
        <v>0</v>
      </c>
      <c r="F192" s="342">
        <v>0</v>
      </c>
      <c r="G192" s="342">
        <v>0</v>
      </c>
      <c r="H192" s="342">
        <v>0</v>
      </c>
      <c r="I192" s="342">
        <v>0</v>
      </c>
      <c r="J192" s="343"/>
    </row>
    <row r="193" spans="1:10">
      <c r="A193" s="245" t="s">
        <v>411</v>
      </c>
      <c r="B193" s="312"/>
      <c r="C193" s="312" t="str">
        <f>IF(ISERROR(C191/B191-1),"",C191/B191-1)</f>
        <v/>
      </c>
      <c r="D193" s="312" t="str">
        <f>IF(ISERROR(D191/C191-1),"",D191/C191-1)</f>
        <v/>
      </c>
      <c r="E193" s="315" t="s">
        <v>418</v>
      </c>
      <c r="F193" s="316"/>
      <c r="G193" s="316"/>
      <c r="H193" s="316"/>
      <c r="I193" s="316"/>
      <c r="J193" s="344"/>
    </row>
    <row r="194" spans="1:10">
      <c r="A194" s="319" t="str">
        <f>'Data '!A39</f>
        <v>Long-term accrued liabilities</v>
      </c>
      <c r="B194" s="125">
        <f>'Data '!E39</f>
        <v>468737</v>
      </c>
      <c r="C194" s="125">
        <f>'Data '!F39</f>
        <v>6589</v>
      </c>
      <c r="D194" s="125">
        <f>'Data '!G39</f>
        <v>3404</v>
      </c>
      <c r="E194" s="341">
        <f>D194*(1+E195)</f>
        <v>3472.08</v>
      </c>
      <c r="F194" s="341">
        <f>E194*(1+F195)</f>
        <v>3541.5216</v>
      </c>
      <c r="G194" s="341">
        <f>F194*(1+G195)</f>
        <v>3612.3520320000002</v>
      </c>
      <c r="H194" s="341">
        <f>G194*(1+H195)</f>
        <v>3684.5990726400005</v>
      </c>
      <c r="I194" s="341">
        <f>H194*(1+I195)</f>
        <v>3758.2910540928006</v>
      </c>
      <c r="J194" s="125">
        <f>I194*$J$102</f>
        <v>3871.0397857155845</v>
      </c>
    </row>
    <row r="195" spans="1:10">
      <c r="A195" s="245" t="s">
        <v>412</v>
      </c>
      <c r="B195" s="312">
        <f>B194/B$159</f>
        <v>0.27247557097931163</v>
      </c>
      <c r="C195" s="312">
        <f>C194/C$159</f>
        <v>3.4980776234520383E-3</v>
      </c>
      <c r="D195" s="312">
        <f>D194/D$159</f>
        <v>1.9508940929288112E-3</v>
      </c>
      <c r="E195" s="342">
        <v>0.02</v>
      </c>
      <c r="F195" s="342">
        <v>0.02</v>
      </c>
      <c r="G195" s="342">
        <v>0.02</v>
      </c>
      <c r="H195" s="342">
        <v>0.02</v>
      </c>
      <c r="I195" s="342">
        <v>0.02</v>
      </c>
      <c r="J195" s="343"/>
    </row>
    <row r="196" spans="1:10">
      <c r="A196" s="245" t="s">
        <v>411</v>
      </c>
      <c r="B196" s="312"/>
      <c r="C196" s="312">
        <f>IF(ISERROR(C194/B194-1),"",C194/B194-1)</f>
        <v>-0.98594307682133053</v>
      </c>
      <c r="D196" s="312">
        <f>IF(ISERROR(D194/C194-1),"",D194/C194-1)</f>
        <v>-0.48338139323114282</v>
      </c>
      <c r="E196" s="315" t="s">
        <v>1381</v>
      </c>
      <c r="F196" s="316"/>
      <c r="G196" s="316"/>
      <c r="H196" s="316"/>
      <c r="I196" s="316"/>
      <c r="J196" s="344"/>
    </row>
    <row r="197" spans="1:10">
      <c r="A197" s="258" t="str">
        <f>'Data '!A40</f>
        <v>Deferred tax liabilities- noncurrent</v>
      </c>
      <c r="B197" s="125">
        <f>'Data '!E40</f>
        <v>6071</v>
      </c>
      <c r="C197" s="125">
        <f>'Data '!F40</f>
        <v>6832</v>
      </c>
      <c r="D197" s="125">
        <f>'Data '!G40</f>
        <v>5682</v>
      </c>
      <c r="E197" s="341">
        <f>D197*(1+E198)</f>
        <v>5795.64</v>
      </c>
      <c r="F197" s="341">
        <f>E197*(1+F198)</f>
        <v>5911.5528000000004</v>
      </c>
      <c r="G197" s="341">
        <f>F197*(1+G198)</f>
        <v>6029.7838560000009</v>
      </c>
      <c r="H197" s="341">
        <f>G197*(1+H198)</f>
        <v>6150.3795331200008</v>
      </c>
      <c r="I197" s="341">
        <f>H197*(1+I198)</f>
        <v>6273.3871237824005</v>
      </c>
      <c r="J197" s="125">
        <f>I197*$J$102</f>
        <v>6461.5887374958729</v>
      </c>
    </row>
    <row r="198" spans="1:10">
      <c r="A198" s="245" t="s">
        <v>412</v>
      </c>
      <c r="B198" s="312">
        <f>B197/B$159</f>
        <v>3.5290561475100129E-3</v>
      </c>
      <c r="C198" s="312">
        <f>C197/C$159</f>
        <v>3.6270854945248633E-3</v>
      </c>
      <c r="D198" s="312">
        <f>D197/D$159</f>
        <v>3.2564571786197136E-3</v>
      </c>
      <c r="E198" s="342">
        <v>0.02</v>
      </c>
      <c r="F198" s="342">
        <v>0.02</v>
      </c>
      <c r="G198" s="342">
        <v>0.02</v>
      </c>
      <c r="H198" s="342">
        <v>0.02</v>
      </c>
      <c r="I198" s="342">
        <v>0.02</v>
      </c>
      <c r="J198" s="343"/>
    </row>
    <row r="199" spans="1:10">
      <c r="A199" s="245" t="s">
        <v>411</v>
      </c>
      <c r="B199" s="312"/>
      <c r="C199" s="312">
        <f>IF(ISERROR(C197/B197-1),"",C197/B197-1)</f>
        <v>0.12535002470762646</v>
      </c>
      <c r="D199" s="312">
        <f>IF(ISERROR(D197/C197-1),"",D197/C197-1)</f>
        <v>-0.16832552693208436</v>
      </c>
      <c r="E199" s="315" t="s">
        <v>1382</v>
      </c>
      <c r="F199" s="316"/>
      <c r="G199" s="316"/>
      <c r="H199" s="316"/>
      <c r="I199" s="316"/>
      <c r="J199" s="344"/>
    </row>
    <row r="200" spans="1:10">
      <c r="A200" s="258" t="str">
        <f>'Data '!A41</f>
        <v>Other noncurrent liabilities (1)</v>
      </c>
      <c r="B200" s="125">
        <f>'Data '!E41</f>
        <v>38379</v>
      </c>
      <c r="C200" s="125">
        <f>'Data '!F41</f>
        <v>16223</v>
      </c>
      <c r="D200" s="125">
        <f>'Data '!G41</f>
        <v>14723</v>
      </c>
      <c r="E200" s="341">
        <f>D200*(1+E201)</f>
        <v>15017.460000000001</v>
      </c>
      <c r="F200" s="341">
        <f>E200*(1+F201)</f>
        <v>15317.809200000002</v>
      </c>
      <c r="G200" s="341">
        <f>F200*(1+G201)</f>
        <v>15624.165384000002</v>
      </c>
      <c r="H200" s="341">
        <f>G200*(1+H201)</f>
        <v>15936.648691680002</v>
      </c>
      <c r="I200" s="341">
        <f>H200*(1+I201)</f>
        <v>16255.381665513603</v>
      </c>
      <c r="J200" s="125">
        <f>I200*$J$102</f>
        <v>16743.043115479013</v>
      </c>
    </row>
    <row r="201" spans="1:10">
      <c r="A201" s="245" t="s">
        <v>412</v>
      </c>
      <c r="B201" s="312">
        <f>B200/B$159</f>
        <v>2.2309610588912336E-2</v>
      </c>
      <c r="C201" s="312">
        <f>C200/C$159</f>
        <v>8.6127353597302194E-3</v>
      </c>
      <c r="D201" s="312">
        <f>D200/D$159</f>
        <v>8.4380181346036687E-3</v>
      </c>
      <c r="E201" s="342">
        <v>0.02</v>
      </c>
      <c r="F201" s="342">
        <v>0.02</v>
      </c>
      <c r="G201" s="342">
        <v>0.02</v>
      </c>
      <c r="H201" s="342">
        <v>0.02</v>
      </c>
      <c r="I201" s="342">
        <v>0.02</v>
      </c>
      <c r="J201" s="352"/>
    </row>
    <row r="202" spans="1:10">
      <c r="A202" s="245" t="s">
        <v>411</v>
      </c>
      <c r="B202" s="312"/>
      <c r="C202" s="312">
        <f>IF(ISERROR(C200/B200-1),"",C200/B200-1)</f>
        <v>-0.57729487480132358</v>
      </c>
      <c r="D202" s="312">
        <f>IF(ISERROR(D200/C200-1),"",D200/C200-1)</f>
        <v>-9.246132034765453E-2</v>
      </c>
      <c r="E202" s="315" t="s">
        <v>1383</v>
      </c>
      <c r="F202" s="316"/>
      <c r="G202" s="316"/>
      <c r="H202" s="316"/>
      <c r="I202" s="316"/>
      <c r="J202" s="326"/>
    </row>
    <row r="203" spans="1:10">
      <c r="A203" s="258" t="str">
        <f>'Data '!A42</f>
        <v>Other noncurrent liabilities (2)</v>
      </c>
      <c r="B203" s="125">
        <f>'Data '!E42</f>
        <v>7581</v>
      </c>
      <c r="C203" s="125">
        <f>'Data '!F42</f>
        <v>23928</v>
      </c>
      <c r="D203" s="125">
        <f>'Data '!G42</f>
        <v>22514</v>
      </c>
      <c r="E203" s="341">
        <f>D203*(1+E204)</f>
        <v>22964.28</v>
      </c>
      <c r="F203" s="341">
        <f>E203*(1+F204)</f>
        <v>23423.565599999998</v>
      </c>
      <c r="G203" s="341">
        <f>F203*(1+G204)</f>
        <v>23892.036912</v>
      </c>
      <c r="H203" s="341">
        <f>G203*(1+H204)</f>
        <v>24369.87765024</v>
      </c>
      <c r="I203" s="341">
        <f>H203*(1+I204)</f>
        <v>24857.275203244801</v>
      </c>
      <c r="J203" s="125">
        <f>I203*$J$102</f>
        <v>25602.993459342146</v>
      </c>
    </row>
    <row r="204" spans="1:10">
      <c r="A204" s="245" t="s">
        <v>412</v>
      </c>
      <c r="B204" s="312">
        <f>B203/B$159</f>
        <v>4.4068151300071497E-3</v>
      </c>
      <c r="C204" s="312">
        <f>C203/C$159</f>
        <v>1.2703293576257456E-2</v>
      </c>
      <c r="D204" s="312">
        <f>D203/D$159</f>
        <v>1.2903181436016233E-2</v>
      </c>
      <c r="E204" s="342">
        <v>0.02</v>
      </c>
      <c r="F204" s="342">
        <v>0.02</v>
      </c>
      <c r="G204" s="342">
        <v>0.02</v>
      </c>
      <c r="H204" s="342">
        <v>0.02</v>
      </c>
      <c r="I204" s="342">
        <v>0.02</v>
      </c>
      <c r="J204" s="353"/>
    </row>
    <row r="205" spans="1:10">
      <c r="A205" s="245" t="s">
        <v>411</v>
      </c>
      <c r="B205" s="312"/>
      <c r="C205" s="312">
        <f>IF(ISERROR(C203/B203-1),"",C203/B203-1)</f>
        <v>2.1563118322121091</v>
      </c>
      <c r="D205" s="312">
        <f>IF(ISERROR(D203/C203-1),"",D203/C203-1)</f>
        <v>-5.9093948512203287E-2</v>
      </c>
      <c r="E205" s="315" t="s">
        <v>1384</v>
      </c>
      <c r="F205" s="316"/>
      <c r="G205" s="316"/>
      <c r="H205" s="316"/>
      <c r="I205" s="316"/>
      <c r="J205" s="347"/>
    </row>
    <row r="206" spans="1:10">
      <c r="A206" s="319" t="str">
        <f>'Data '!A43</f>
        <v xml:space="preserve">  Total Liabilities</v>
      </c>
      <c r="B206" s="317">
        <f t="shared" ref="B206:J206" si="30">B188+B191+B194+B197+B200+B203</f>
        <v>944881</v>
      </c>
      <c r="C206" s="317">
        <f t="shared" si="30"/>
        <v>1157509</v>
      </c>
      <c r="D206" s="317">
        <f t="shared" si="30"/>
        <v>1121401</v>
      </c>
      <c r="E206" s="317">
        <f t="shared" si="30"/>
        <v>1143829.02</v>
      </c>
      <c r="F206" s="317">
        <f t="shared" si="30"/>
        <v>1166705.6004000001</v>
      </c>
      <c r="G206" s="317">
        <f t="shared" si="30"/>
        <v>1190039.7124080001</v>
      </c>
      <c r="H206" s="317">
        <f t="shared" si="30"/>
        <v>1213840.5066561601</v>
      </c>
      <c r="I206" s="317">
        <f t="shared" si="30"/>
        <v>1238117.3167892832</v>
      </c>
      <c r="J206" s="317">
        <f t="shared" si="30"/>
        <v>1275260.8362929616</v>
      </c>
    </row>
    <row r="207" spans="1:10">
      <c r="A207" s="245" t="s">
        <v>412</v>
      </c>
      <c r="B207" s="312">
        <f t="shared" ref="B207:J207" si="31">B206/B$159</f>
        <v>0.54925681135157445</v>
      </c>
      <c r="C207" s="312">
        <f t="shared" si="31"/>
        <v>0.6145175795787442</v>
      </c>
      <c r="D207" s="312">
        <f t="shared" si="31"/>
        <v>0.64269523698720976</v>
      </c>
      <c r="E207" s="312">
        <f t="shared" si="31"/>
        <v>0.6453558598244562</v>
      </c>
      <c r="F207" s="312">
        <f t="shared" si="31"/>
        <v>0.649326820745461</v>
      </c>
      <c r="G207" s="312">
        <f t="shared" si="31"/>
        <v>0.6545902345894512</v>
      </c>
      <c r="H207" s="312">
        <f t="shared" si="31"/>
        <v>0.66140996970343169</v>
      </c>
      <c r="I207" s="312">
        <f t="shared" si="31"/>
        <v>0.66945323166566828</v>
      </c>
      <c r="J207" s="312">
        <f t="shared" si="31"/>
        <v>0.66945323166566828</v>
      </c>
    </row>
    <row r="208" spans="1:10">
      <c r="A208" s="245" t="s">
        <v>411</v>
      </c>
      <c r="B208" s="312"/>
      <c r="C208" s="312">
        <f t="shared" ref="C208:I208" si="32">IF(ISERROR(C206/B206-1),"",C206/B206-1)</f>
        <v>0.22503151190467374</v>
      </c>
      <c r="D208" s="312">
        <f t="shared" si="32"/>
        <v>-3.1194573865084396E-2</v>
      </c>
      <c r="E208" s="312">
        <f t="shared" si="32"/>
        <v>2.0000000000000018E-2</v>
      </c>
      <c r="F208" s="312">
        <f t="shared" si="32"/>
        <v>2.0000000000000018E-2</v>
      </c>
      <c r="G208" s="312">
        <f t="shared" si="32"/>
        <v>2.0000000000000018E-2</v>
      </c>
      <c r="H208" s="312">
        <f t="shared" si="32"/>
        <v>2.0000000000000018E-2</v>
      </c>
      <c r="I208" s="312">
        <f t="shared" si="32"/>
        <v>1.9999999999999796E-2</v>
      </c>
      <c r="J208" s="312"/>
    </row>
    <row r="209" spans="1:10">
      <c r="A209" s="245"/>
      <c r="B209" s="312"/>
      <c r="C209" s="312"/>
      <c r="D209" s="312"/>
      <c r="E209" s="131"/>
      <c r="F209" s="131"/>
      <c r="G209" s="131"/>
      <c r="H209" s="131"/>
      <c r="I209" s="131"/>
      <c r="J209" s="131"/>
    </row>
    <row r="210" spans="1:10">
      <c r="A210" s="258" t="s">
        <v>417</v>
      </c>
      <c r="B210" s="354"/>
      <c r="C210" s="354"/>
      <c r="D210" s="354"/>
      <c r="E210" s="354"/>
      <c r="F210" s="354"/>
      <c r="G210" s="354"/>
      <c r="H210" s="354"/>
      <c r="I210" s="354"/>
      <c r="J210" s="355"/>
    </row>
    <row r="211" spans="1:10">
      <c r="A211" s="258" t="str">
        <f>'Data '!A45</f>
        <v>Preferred stock</v>
      </c>
      <c r="B211" s="125">
        <f>'Data '!E45</f>
        <v>0</v>
      </c>
      <c r="C211" s="125">
        <f>'Data '!F45</f>
        <v>0</v>
      </c>
      <c r="D211" s="125">
        <f>'Data '!G45</f>
        <v>0</v>
      </c>
      <c r="E211" s="341">
        <f>D211*(1+E212)</f>
        <v>0</v>
      </c>
      <c r="F211" s="341">
        <f>E211*(1+F212)</f>
        <v>0</v>
      </c>
      <c r="G211" s="341">
        <f>F211*(1+G212)</f>
        <v>0</v>
      </c>
      <c r="H211" s="341">
        <f>G211*(1+H212)</f>
        <v>0</v>
      </c>
      <c r="I211" s="341">
        <f>H211*(1+I212)</f>
        <v>0</v>
      </c>
      <c r="J211" s="125">
        <f>I211*$J$102</f>
        <v>0</v>
      </c>
    </row>
    <row r="212" spans="1:10">
      <c r="A212" s="245" t="s">
        <v>412</v>
      </c>
      <c r="B212" s="312">
        <f>B211/B$159</f>
        <v>0</v>
      </c>
      <c r="C212" s="312">
        <f>C211/C$159</f>
        <v>0</v>
      </c>
      <c r="D212" s="312">
        <f>D211/D$159</f>
        <v>0</v>
      </c>
      <c r="E212" s="342">
        <v>0</v>
      </c>
      <c r="F212" s="342">
        <v>0</v>
      </c>
      <c r="G212" s="342">
        <v>0</v>
      </c>
      <c r="H212" s="342">
        <v>0</v>
      </c>
      <c r="I212" s="342">
        <v>0</v>
      </c>
      <c r="J212" s="352"/>
    </row>
    <row r="213" spans="1:10">
      <c r="A213" s="245" t="s">
        <v>411</v>
      </c>
      <c r="B213" s="312"/>
      <c r="C213" s="312" t="str">
        <f>IF(ISERROR(C211/B211-1),"",C211/B211-1)</f>
        <v/>
      </c>
      <c r="D213" s="312" t="str">
        <f>IF(ISERROR(D211/C211-1),"",D211/C211-1)</f>
        <v/>
      </c>
      <c r="E213" s="315" t="s">
        <v>1385</v>
      </c>
      <c r="F213" s="316"/>
      <c r="G213" s="316"/>
      <c r="H213" s="316"/>
      <c r="I213" s="316"/>
      <c r="J213" s="344"/>
    </row>
    <row r="214" spans="1:10">
      <c r="A214" s="245"/>
      <c r="B214" s="312"/>
      <c r="C214" s="312"/>
      <c r="D214" s="312"/>
      <c r="E214" s="315"/>
      <c r="F214" s="316"/>
      <c r="G214" s="316"/>
      <c r="H214" s="316"/>
      <c r="I214" s="316"/>
      <c r="J214" s="344"/>
    </row>
    <row r="215" spans="1:10">
      <c r="A215" s="258" t="str">
        <f>'Data '!A46</f>
        <v>Common stock + Additional paid in capital</v>
      </c>
      <c r="B215" s="125">
        <f>'Data '!E46</f>
        <v>16879</v>
      </c>
      <c r="C215" s="125">
        <f>'Data '!F46</f>
        <v>16879</v>
      </c>
      <c r="D215" s="125">
        <f>'Data '!G46</f>
        <v>16879</v>
      </c>
      <c r="E215" s="341">
        <f>D215*(1+E216)</f>
        <v>16879</v>
      </c>
      <c r="F215" s="341">
        <f>E215*(1+F216)</f>
        <v>16879</v>
      </c>
      <c r="G215" s="341">
        <f>F215*(1+G216)</f>
        <v>16879</v>
      </c>
      <c r="H215" s="341">
        <f>G215*(1+H216)</f>
        <v>16879</v>
      </c>
      <c r="I215" s="341">
        <f>H215*(1+I216)</f>
        <v>16879</v>
      </c>
      <c r="J215" s="125">
        <f>I215*$J$102</f>
        <v>17385.37</v>
      </c>
    </row>
    <row r="216" spans="1:10">
      <c r="A216" s="245" t="s">
        <v>412</v>
      </c>
      <c r="B216" s="312">
        <f>B215/B$159</f>
        <v>9.8117177917676664E-3</v>
      </c>
      <c r="C216" s="312">
        <f>C215/C$159</f>
        <v>8.9610035219679692E-3</v>
      </c>
      <c r="D216" s="356">
        <f>D215/D$159</f>
        <v>9.673660809208404E-3</v>
      </c>
      <c r="E216" s="342">
        <v>0</v>
      </c>
      <c r="F216" s="342">
        <v>0</v>
      </c>
      <c r="G216" s="342">
        <v>0</v>
      </c>
      <c r="H216" s="342">
        <v>0</v>
      </c>
      <c r="I216" s="342">
        <v>0</v>
      </c>
      <c r="J216" s="342"/>
    </row>
    <row r="217" spans="1:10">
      <c r="A217" s="245" t="s">
        <v>411</v>
      </c>
      <c r="B217" s="312">
        <f>AVERAGE(B216:D216)</f>
        <v>9.4821273743146781E-3</v>
      </c>
      <c r="C217" s="312">
        <f>IF(ISERROR(C215/B215-1),"",C215/B215-1)</f>
        <v>0</v>
      </c>
      <c r="D217" s="312">
        <f>IF(ISERROR(D215/C215-1),"",D215/C215-1)</f>
        <v>0</v>
      </c>
      <c r="E217" s="315" t="s">
        <v>1386</v>
      </c>
      <c r="F217" s="316"/>
      <c r="G217" s="316"/>
      <c r="H217" s="316"/>
      <c r="I217" s="316"/>
      <c r="J217" s="344"/>
    </row>
    <row r="218" spans="1:10">
      <c r="A218" s="258" t="str">
        <f>'Data '!A47</f>
        <v>Retained earnings &lt;deficit&gt;</v>
      </c>
      <c r="B218" s="125">
        <f>'Data '!E47</f>
        <v>665322</v>
      </c>
      <c r="C218" s="125">
        <f>'Data '!F47</f>
        <v>704287</v>
      </c>
      <c r="D218" s="125">
        <f>'Data '!G47</f>
        <v>602212</v>
      </c>
      <c r="E218" s="341">
        <f>D218+E83+E251+E241</f>
        <v>607342.44063564553</v>
      </c>
      <c r="F218" s="341">
        <f t="shared" ref="F218:I218" si="33">E218+F83+F251+F241</f>
        <v>608856.96841419034</v>
      </c>
      <c r="G218" s="341">
        <f t="shared" si="33"/>
        <v>606721.1508812909</v>
      </c>
      <c r="H218" s="341">
        <f t="shared" si="33"/>
        <v>600159.15227601526</v>
      </c>
      <c r="I218" s="341">
        <f t="shared" si="33"/>
        <v>590095.27297555667</v>
      </c>
      <c r="J218" s="357">
        <f>I218+J83+J251+J261</f>
        <v>607927.72175806877</v>
      </c>
    </row>
    <row r="219" spans="1:10">
      <c r="A219" s="245" t="s">
        <v>412</v>
      </c>
      <c r="B219" s="312">
        <f>B218/B$159</f>
        <v>0.38674990844566903</v>
      </c>
      <c r="C219" s="312">
        <f>C218/C$159</f>
        <v>0.37390356582002821</v>
      </c>
      <c r="D219" s="312">
        <f>D218/D$159</f>
        <v>0.3451386114837971</v>
      </c>
      <c r="E219" s="325"/>
      <c r="F219" s="325"/>
      <c r="G219" s="325"/>
      <c r="H219" s="325"/>
      <c r="I219" s="325"/>
      <c r="J219" s="358"/>
    </row>
    <row r="220" spans="1:10">
      <c r="A220" s="245" t="s">
        <v>411</v>
      </c>
      <c r="B220" s="312"/>
      <c r="C220" s="312">
        <f>IF(ISERROR(C218/B218-1),"",C218/B218-1)</f>
        <v>5.8565626869395482E-2</v>
      </c>
      <c r="D220" s="312">
        <f>IF(ISERROR(D218/C218-1),"",D218/C218-1)</f>
        <v>-0.14493381249405424</v>
      </c>
      <c r="E220" s="315" t="s">
        <v>416</v>
      </c>
      <c r="F220" s="316"/>
      <c r="G220" s="316"/>
      <c r="H220" s="316"/>
      <c r="I220" s="316"/>
      <c r="J220" s="359"/>
    </row>
    <row r="221" spans="1:10">
      <c r="A221" s="258" t="str">
        <f>'Data '!A48</f>
        <v>Accum. other comprehensive income &lt;loss&gt;</v>
      </c>
      <c r="B221" s="125">
        <f>'Data '!E48</f>
        <v>69609</v>
      </c>
      <c r="C221" s="125">
        <f>'Data '!F48</f>
        <v>3934</v>
      </c>
      <c r="D221" s="125">
        <f>'Data '!G48</f>
        <v>3354</v>
      </c>
      <c r="E221" s="341">
        <f>D221</f>
        <v>3354</v>
      </c>
      <c r="F221" s="341">
        <f>E221</f>
        <v>3354</v>
      </c>
      <c r="G221" s="341">
        <f>F221</f>
        <v>3354</v>
      </c>
      <c r="H221" s="341">
        <f>G221</f>
        <v>3354</v>
      </c>
      <c r="I221" s="341">
        <f>H221</f>
        <v>3354</v>
      </c>
      <c r="J221" s="125">
        <f>I221+J87</f>
        <v>3354</v>
      </c>
    </row>
    <row r="222" spans="1:10">
      <c r="A222" s="245" t="s">
        <v>412</v>
      </c>
      <c r="B222" s="312">
        <f>B221/B$159</f>
        <v>4.046352649843922E-2</v>
      </c>
      <c r="C222" s="312">
        <f>C221/C$159</f>
        <v>2.0885471802489482E-3</v>
      </c>
      <c r="D222" s="312">
        <f>D221/D$159</f>
        <v>1.9222381867459557E-3</v>
      </c>
      <c r="E222" s="321">
        <v>0.2</v>
      </c>
      <c r="F222" s="321">
        <f>E222</f>
        <v>0.2</v>
      </c>
      <c r="G222" s="321">
        <f>F222</f>
        <v>0.2</v>
      </c>
      <c r="H222" s="321">
        <f>G222</f>
        <v>0.2</v>
      </c>
      <c r="I222" s="321">
        <f>H222</f>
        <v>0.2</v>
      </c>
      <c r="J222" s="343"/>
    </row>
    <row r="223" spans="1:10">
      <c r="A223" s="245" t="s">
        <v>411</v>
      </c>
      <c r="B223" s="312">
        <f>AVERAGE(B222:D222)</f>
        <v>1.4824770621811376E-2</v>
      </c>
      <c r="C223" s="312">
        <f>IF(ISERROR(C221/B221-1),"",C221/B221-1)</f>
        <v>-0.94348431955637924</v>
      </c>
      <c r="D223" s="312">
        <f>IF(ISERROR(D221/C221-1),"",D221/C221-1)</f>
        <v>-0.14743263853584143</v>
      </c>
      <c r="E223" s="315" t="s">
        <v>415</v>
      </c>
      <c r="F223" s="316"/>
      <c r="G223" s="316"/>
      <c r="H223" s="316"/>
      <c r="I223" s="316"/>
      <c r="J223" s="326"/>
    </row>
    <row r="224" spans="1:10">
      <c r="A224" s="258" t="str">
        <f>'Data '!A49</f>
        <v>&lt;Treasury stock&gt; and other equity adjustments</v>
      </c>
      <c r="B224" s="125">
        <f>'Data '!E49</f>
        <v>0</v>
      </c>
      <c r="C224" s="125">
        <f>'Data '!F49</f>
        <v>0</v>
      </c>
      <c r="D224" s="125">
        <f>'Data '!G49</f>
        <v>0</v>
      </c>
      <c r="E224" s="341">
        <f>D224+E225</f>
        <v>0</v>
      </c>
      <c r="F224" s="341">
        <f>E224+F225</f>
        <v>0</v>
      </c>
      <c r="G224" s="341">
        <f>F224+G225</f>
        <v>0</v>
      </c>
      <c r="H224" s="341">
        <f>G224+H225</f>
        <v>0</v>
      </c>
      <c r="I224" s="341">
        <f>H224+I225</f>
        <v>0</v>
      </c>
      <c r="J224" s="125">
        <f>I224*$J$102</f>
        <v>0</v>
      </c>
    </row>
    <row r="225" spans="1:10">
      <c r="A225" s="245" t="s">
        <v>412</v>
      </c>
      <c r="B225" s="312">
        <f>B224/B$159</f>
        <v>0</v>
      </c>
      <c r="C225" s="312">
        <f>C224/C$159</f>
        <v>0</v>
      </c>
      <c r="D225" s="312">
        <f>D224/D$159</f>
        <v>0</v>
      </c>
      <c r="E225" s="360">
        <v>0</v>
      </c>
      <c r="F225" s="360">
        <v>0</v>
      </c>
      <c r="G225" s="360">
        <v>0</v>
      </c>
      <c r="H225" s="360">
        <v>0</v>
      </c>
      <c r="I225" s="360">
        <v>0</v>
      </c>
      <c r="J225" s="343"/>
    </row>
    <row r="226" spans="1:10">
      <c r="A226" s="245" t="s">
        <v>411</v>
      </c>
      <c r="B226" s="312"/>
      <c r="C226" s="312" t="str">
        <f>IF(ISERROR(C224/B224-1),"",C224/B224-1)</f>
        <v/>
      </c>
      <c r="D226" s="312" t="str">
        <f>IF(ISERROR(D224/C224-1),"",D224/C224-1)</f>
        <v/>
      </c>
      <c r="E226" s="315" t="s">
        <v>414</v>
      </c>
      <c r="F226" s="316"/>
      <c r="G226" s="316"/>
      <c r="H226" s="316"/>
      <c r="I226" s="316"/>
      <c r="J226" s="347"/>
    </row>
    <row r="227" spans="1:10">
      <c r="A227" s="319" t="str">
        <f>'Data '!A50</f>
        <v xml:space="preserve"> Total Common Shareholders' Equity</v>
      </c>
      <c r="B227" s="317">
        <f t="shared" ref="B227:J227" si="34">B215+B218+B221+B224</f>
        <v>751810</v>
      </c>
      <c r="C227" s="317">
        <f t="shared" si="34"/>
        <v>725100</v>
      </c>
      <c r="D227" s="317">
        <f t="shared" si="34"/>
        <v>622445</v>
      </c>
      <c r="E227" s="317">
        <f t="shared" si="34"/>
        <v>627575.44063564553</v>
      </c>
      <c r="F227" s="317">
        <f t="shared" si="34"/>
        <v>629089.96841419034</v>
      </c>
      <c r="G227" s="317">
        <f t="shared" si="34"/>
        <v>626954.1508812909</v>
      </c>
      <c r="H227" s="317">
        <f t="shared" si="34"/>
        <v>620392.15227601526</v>
      </c>
      <c r="I227" s="317">
        <f t="shared" si="34"/>
        <v>610328.27297555667</v>
      </c>
      <c r="J227" s="317">
        <f t="shared" si="34"/>
        <v>628667.09175806877</v>
      </c>
    </row>
    <row r="228" spans="1:10" s="362" customFormat="1" ht="11.25">
      <c r="A228" s="245" t="s">
        <v>412</v>
      </c>
      <c r="B228" s="361">
        <f t="shared" ref="B228:I228" si="35">B227/B$159</f>
        <v>0.43702515273587594</v>
      </c>
      <c r="C228" s="361">
        <f t="shared" si="35"/>
        <v>0.38495311652224512</v>
      </c>
      <c r="D228" s="361">
        <f t="shared" si="35"/>
        <v>0.35673451047975147</v>
      </c>
      <c r="E228" s="361">
        <f t="shared" si="35"/>
        <v>0.35408219324259582</v>
      </c>
      <c r="F228" s="361">
        <f t="shared" si="35"/>
        <v>0.35011830663468263</v>
      </c>
      <c r="G228" s="361">
        <f t="shared" si="35"/>
        <v>0.34486081466289015</v>
      </c>
      <c r="H228" s="361">
        <f t="shared" si="35"/>
        <v>0.33804569248681338</v>
      </c>
      <c r="I228" s="361">
        <f t="shared" si="35"/>
        <v>0.33000607388318309</v>
      </c>
      <c r="J228" s="361"/>
    </row>
    <row r="229" spans="1:10" s="362" customFormat="1" ht="11.25">
      <c r="A229" s="245" t="s">
        <v>411</v>
      </c>
      <c r="B229" s="361"/>
      <c r="C229" s="361">
        <f t="shared" ref="C229:J229" si="36">IF(ISERROR(C227/B227-1),"",C227/B227-1)</f>
        <v>-3.5527593407908897E-2</v>
      </c>
      <c r="D229" s="361">
        <f t="shared" si="36"/>
        <v>-0.14157357605847465</v>
      </c>
      <c r="E229" s="361">
        <f t="shared" si="36"/>
        <v>8.2423999480203403E-3</v>
      </c>
      <c r="F229" s="361">
        <f t="shared" si="36"/>
        <v>2.4132999484665074E-3</v>
      </c>
      <c r="G229" s="361">
        <f t="shared" si="36"/>
        <v>-3.3950907503474959E-3</v>
      </c>
      <c r="H229" s="361">
        <f t="shared" si="36"/>
        <v>-1.0466472860976572E-2</v>
      </c>
      <c r="I229" s="361">
        <f t="shared" si="36"/>
        <v>-1.6221803037864913E-2</v>
      </c>
      <c r="J229" s="361">
        <f t="shared" si="36"/>
        <v>3.004746723120677E-2</v>
      </c>
    </row>
    <row r="230" spans="1:10">
      <c r="A230" s="319" t="str">
        <f>'Data '!A51</f>
        <v>Noncontrolling interests</v>
      </c>
      <c r="B230" s="348">
        <f>'Data '!E51</f>
        <v>23599</v>
      </c>
      <c r="C230" s="348">
        <f>'Data '!F51</f>
        <v>997</v>
      </c>
      <c r="D230" s="348">
        <f>'Data '!G51</f>
        <v>995</v>
      </c>
      <c r="E230" s="341">
        <f t="shared" ref="E230:J230" si="37">D230-E80</f>
        <v>995.995</v>
      </c>
      <c r="F230" s="341">
        <f t="shared" si="37"/>
        <v>996.990995</v>
      </c>
      <c r="G230" s="341">
        <f t="shared" si="37"/>
        <v>997.98798599500003</v>
      </c>
      <c r="H230" s="341">
        <f t="shared" si="37"/>
        <v>998.98597398099503</v>
      </c>
      <c r="I230" s="341">
        <f t="shared" si="37"/>
        <v>999.98495995497603</v>
      </c>
      <c r="J230" s="357">
        <f t="shared" si="37"/>
        <v>1001.0139155081764</v>
      </c>
    </row>
    <row r="231" spans="1:10">
      <c r="A231" s="245" t="s">
        <v>412</v>
      </c>
      <c r="B231" s="361">
        <f>B230/B$159</f>
        <v>1.3718035912549628E-2</v>
      </c>
      <c r="C231" s="361">
        <f>C230/C$159</f>
        <v>5.2930389901072726E-4</v>
      </c>
      <c r="D231" s="361">
        <f>D230/D$159</f>
        <v>5.7025253303882699E-4</v>
      </c>
      <c r="E231" s="363">
        <f>$B232</f>
        <v>1E-3</v>
      </c>
      <c r="F231" s="363">
        <f>$B232</f>
        <v>1E-3</v>
      </c>
      <c r="G231" s="363">
        <f>$B232</f>
        <v>1E-3</v>
      </c>
      <c r="H231" s="363">
        <f>$B232</f>
        <v>1E-3</v>
      </c>
      <c r="I231" s="363">
        <f>$B232</f>
        <v>1E-3</v>
      </c>
      <c r="J231" s="343"/>
    </row>
    <row r="232" spans="1:10">
      <c r="A232" s="245" t="s">
        <v>411</v>
      </c>
      <c r="B232" s="361">
        <v>1E-3</v>
      </c>
      <c r="C232" s="312">
        <f>IF(ISERROR(C230/B230-1),"",C230/B230-1)</f>
        <v>-0.95775244713759056</v>
      </c>
      <c r="D232" s="312">
        <f>IF(ISERROR(D230/C230-1),"",D230/C230-1)</f>
        <v>-2.0060180541624506E-3</v>
      </c>
      <c r="E232" s="315" t="s">
        <v>413</v>
      </c>
      <c r="F232" s="316"/>
      <c r="G232" s="316"/>
      <c r="H232" s="316"/>
      <c r="I232" s="316"/>
      <c r="J232" s="347"/>
    </row>
    <row r="233" spans="1:10">
      <c r="A233" s="319" t="str">
        <f>'Data '!A52</f>
        <v xml:space="preserve">  Total Equity</v>
      </c>
      <c r="B233" s="364">
        <f t="shared" ref="B233:J233" si="38">B227+B230</f>
        <v>775409</v>
      </c>
      <c r="C233" s="364">
        <f t="shared" si="38"/>
        <v>726097</v>
      </c>
      <c r="D233" s="364">
        <f t="shared" si="38"/>
        <v>623440</v>
      </c>
      <c r="E233" s="364">
        <f t="shared" si="38"/>
        <v>628571.43563564552</v>
      </c>
      <c r="F233" s="364">
        <f t="shared" si="38"/>
        <v>630086.95940919034</v>
      </c>
      <c r="G233" s="364">
        <f t="shared" si="38"/>
        <v>627952.13886728592</v>
      </c>
      <c r="H233" s="364">
        <f t="shared" si="38"/>
        <v>621391.13824999623</v>
      </c>
      <c r="I233" s="364">
        <f t="shared" si="38"/>
        <v>611328.25793551165</v>
      </c>
      <c r="J233" s="364">
        <f t="shared" si="38"/>
        <v>629668.10567357694</v>
      </c>
    </row>
    <row r="234" spans="1:10" s="362" customFormat="1" ht="11.25">
      <c r="A234" s="245" t="s">
        <v>412</v>
      </c>
      <c r="B234" s="361">
        <f t="shared" ref="B234:I234" si="39">B233/B$159</f>
        <v>0.45074318864842555</v>
      </c>
      <c r="C234" s="361">
        <f t="shared" si="39"/>
        <v>0.3854824204212558</v>
      </c>
      <c r="D234" s="361">
        <f t="shared" si="39"/>
        <v>0.35730476301279029</v>
      </c>
      <c r="E234" s="361">
        <f t="shared" si="39"/>
        <v>0.35464414017554374</v>
      </c>
      <c r="F234" s="361">
        <f t="shared" si="39"/>
        <v>0.35067317925453911</v>
      </c>
      <c r="G234" s="361">
        <f t="shared" si="39"/>
        <v>0.34540976541054885</v>
      </c>
      <c r="H234" s="361">
        <f t="shared" si="39"/>
        <v>0.3385900302965682</v>
      </c>
      <c r="I234" s="361">
        <f t="shared" si="39"/>
        <v>0.33054676833433166</v>
      </c>
      <c r="J234" s="361"/>
    </row>
    <row r="235" spans="1:10" s="362" customFormat="1" ht="11.25">
      <c r="A235" s="245" t="s">
        <v>411</v>
      </c>
      <c r="B235" s="361"/>
      <c r="C235" s="361">
        <f t="shared" ref="C235:I235" si="40">IF(ISERROR(C233/B233-1),"",C233/B233-1)</f>
        <v>-6.3594825440509428E-2</v>
      </c>
      <c r="D235" s="361">
        <f t="shared" si="40"/>
        <v>-0.14138193657321263</v>
      </c>
      <c r="E235" s="361">
        <f t="shared" si="40"/>
        <v>8.2308411966596218E-3</v>
      </c>
      <c r="F235" s="361">
        <f t="shared" si="40"/>
        <v>2.4110605217244618E-3</v>
      </c>
      <c r="G235" s="361">
        <f t="shared" si="40"/>
        <v>-3.3881363675677401E-3</v>
      </c>
      <c r="H235" s="361">
        <f t="shared" si="40"/>
        <v>-1.044824949418055E-2</v>
      </c>
      <c r="I235" s="361">
        <f t="shared" si="40"/>
        <v>-1.6194116225771049E-2</v>
      </c>
      <c r="J235" s="361"/>
    </row>
    <row r="236" spans="1:10" ht="13.5" thickBot="1">
      <c r="A236" s="319" t="str">
        <f>'Data '!A53</f>
        <v xml:space="preserve">  Total Liabilities and Equities</v>
      </c>
      <c r="B236" s="331">
        <f t="shared" ref="B236:J236" si="41">B206+B211+B233</f>
        <v>1720290</v>
      </c>
      <c r="C236" s="331">
        <f t="shared" si="41"/>
        <v>1883606</v>
      </c>
      <c r="D236" s="331">
        <f t="shared" si="41"/>
        <v>1744841</v>
      </c>
      <c r="E236" s="331">
        <f t="shared" si="41"/>
        <v>1772400.4556356454</v>
      </c>
      <c r="F236" s="331">
        <f t="shared" si="41"/>
        <v>1796792.5598091905</v>
      </c>
      <c r="G236" s="331">
        <f t="shared" si="41"/>
        <v>1817991.8512752862</v>
      </c>
      <c r="H236" s="331">
        <f t="shared" si="41"/>
        <v>1835231.6449061562</v>
      </c>
      <c r="I236" s="331">
        <f t="shared" si="41"/>
        <v>1849445.5747247948</v>
      </c>
      <c r="J236" s="331">
        <f t="shared" si="41"/>
        <v>1904928.9419665386</v>
      </c>
    </row>
    <row r="237" spans="1:10" s="362" customFormat="1" ht="12" thickTop="1">
      <c r="A237" s="245" t="s">
        <v>412</v>
      </c>
      <c r="B237" s="361">
        <f>B236/B$159</f>
        <v>1</v>
      </c>
      <c r="C237" s="361">
        <f>C236/C$159</f>
        <v>1</v>
      </c>
      <c r="D237" s="361">
        <f>D236/D$159</f>
        <v>1</v>
      </c>
      <c r="E237" s="365">
        <f t="shared" ref="E237:J237" si="42">E236/E236</f>
        <v>1</v>
      </c>
      <c r="F237" s="365">
        <f t="shared" si="42"/>
        <v>1</v>
      </c>
      <c r="G237" s="365">
        <f t="shared" si="42"/>
        <v>1</v>
      </c>
      <c r="H237" s="365">
        <f t="shared" si="42"/>
        <v>1</v>
      </c>
      <c r="I237" s="365">
        <f t="shared" si="42"/>
        <v>1</v>
      </c>
      <c r="J237" s="365">
        <f t="shared" si="42"/>
        <v>1</v>
      </c>
    </row>
    <row r="238" spans="1:10" s="362" customFormat="1" ht="11.25">
      <c r="A238" s="245" t="s">
        <v>411</v>
      </c>
      <c r="B238" s="361"/>
      <c r="C238" s="361">
        <f t="shared" ref="C238:J238" si="43">IF(ISERROR(C236/B236-1),"",C236/B236-1)</f>
        <v>9.4935156281789723E-2</v>
      </c>
      <c r="D238" s="361">
        <f t="shared" si="43"/>
        <v>-7.3669865141648527E-2</v>
      </c>
      <c r="E238" s="361">
        <f t="shared" si="43"/>
        <v>1.5794823502912614E-2</v>
      </c>
      <c r="F238" s="361">
        <f t="shared" si="43"/>
        <v>1.3762185682127503E-2</v>
      </c>
      <c r="G238" s="361">
        <f t="shared" si="43"/>
        <v>1.1798407863146343E-2</v>
      </c>
      <c r="H238" s="361">
        <f t="shared" si="43"/>
        <v>9.4828772850530374E-3</v>
      </c>
      <c r="I238" s="361">
        <f t="shared" si="43"/>
        <v>7.7450330905586284E-3</v>
      </c>
      <c r="J238" s="361">
        <f t="shared" si="43"/>
        <v>3.0000000000000027E-2</v>
      </c>
    </row>
    <row r="239" spans="1:10" s="362" customFormat="1" ht="11.25">
      <c r="A239" s="999" t="s">
        <v>410</v>
      </c>
      <c r="B239" s="668">
        <f t="shared" ref="B239:J239" si="44">B159-B236</f>
        <v>0</v>
      </c>
      <c r="C239" s="668">
        <f t="shared" si="44"/>
        <v>0</v>
      </c>
      <c r="D239" s="669">
        <f t="shared" si="44"/>
        <v>0</v>
      </c>
      <c r="E239" s="669">
        <f t="shared" si="44"/>
        <v>0</v>
      </c>
      <c r="F239" s="669">
        <f t="shared" si="44"/>
        <v>0</v>
      </c>
      <c r="G239" s="669">
        <f t="shared" si="44"/>
        <v>0</v>
      </c>
      <c r="H239" s="669">
        <f t="shared" si="44"/>
        <v>0</v>
      </c>
      <c r="I239" s="669">
        <f t="shared" si="44"/>
        <v>0</v>
      </c>
      <c r="J239" s="669">
        <f t="shared" si="44"/>
        <v>0</v>
      </c>
    </row>
    <row r="240" spans="1:10">
      <c r="A240" s="179"/>
      <c r="B240" s="312"/>
      <c r="C240" s="312"/>
      <c r="D240" s="366"/>
      <c r="E240" s="113" t="s">
        <v>409</v>
      </c>
      <c r="J240" s="344"/>
    </row>
    <row r="241" spans="1:12">
      <c r="A241" s="170"/>
      <c r="E241" s="367">
        <f>E159-(E206+E211+E215+D218+E83+E251+E221+D224+E230+E256)</f>
        <v>57330.637095387559</v>
      </c>
      <c r="F241" s="367">
        <f t="shared" ref="F241:I241" si="45">F159-(F206+F211+F215+E218+F83+F251+F221+E224+F230+F256)</f>
        <v>32739.425139448838</v>
      </c>
      <c r="G241" s="367">
        <f t="shared" si="45"/>
        <v>19990.433271084679</v>
      </c>
      <c r="H241" s="367">
        <f t="shared" si="45"/>
        <v>7844.8098610474262</v>
      </c>
      <c r="I241" s="367">
        <f t="shared" si="45"/>
        <v>-8793.3219844619744</v>
      </c>
      <c r="J241" s="367">
        <f>J159-(J206+J211+J215+I218+J83+J251+J221+I224+J230+J256)</f>
        <v>19141.122817988507</v>
      </c>
      <c r="L241" s="113"/>
    </row>
    <row r="242" spans="1:12">
      <c r="A242" s="170"/>
      <c r="E242" s="281"/>
      <c r="F242" s="281"/>
      <c r="G242" s="281"/>
      <c r="H242" s="281"/>
      <c r="I242" s="281"/>
      <c r="J242" s="281"/>
    </row>
    <row r="243" spans="1:12" ht="13.5" thickBot="1">
      <c r="A243" s="170"/>
      <c r="D243" s="225"/>
      <c r="E243" s="368"/>
      <c r="F243" s="368"/>
      <c r="G243" s="368"/>
      <c r="H243" s="369"/>
      <c r="I243" s="369"/>
      <c r="J243" s="369"/>
    </row>
    <row r="244" spans="1:12">
      <c r="A244" s="170"/>
      <c r="B244" s="370"/>
      <c r="C244" s="158"/>
      <c r="E244" s="281" t="s">
        <v>408</v>
      </c>
      <c r="F244" s="281"/>
      <c r="G244" s="281"/>
      <c r="H244" s="344"/>
      <c r="I244" s="344"/>
      <c r="J244" s="371"/>
    </row>
    <row r="245" spans="1:12">
      <c r="A245" s="170"/>
      <c r="B245" s="255"/>
      <c r="D245" s="117" t="s">
        <v>407</v>
      </c>
      <c r="E245" s="341">
        <f>E83*E246</f>
        <v>-13241.96669329207</v>
      </c>
      <c r="F245" s="341">
        <f>F83*F246</f>
        <v>0</v>
      </c>
      <c r="G245" s="341">
        <f>G83*G246</f>
        <v>-762.09252330109553</v>
      </c>
      <c r="H245" s="341">
        <f>H83*H246</f>
        <v>-3624.204470142322</v>
      </c>
      <c r="I245" s="341">
        <f>I83*I246</f>
        <v>-273.73027608273753</v>
      </c>
      <c r="J245" s="372">
        <f>I245*$J$102</f>
        <v>-281.94218436521965</v>
      </c>
    </row>
    <row r="246" spans="1:12">
      <c r="A246" s="170"/>
      <c r="B246" s="255"/>
      <c r="D246" s="373"/>
      <c r="E246" s="373">
        <f>'Data '!B142</f>
        <v>0.33990165294152497</v>
      </c>
      <c r="F246" s="373">
        <f>'Data '!C142</f>
        <v>0</v>
      </c>
      <c r="G246" s="373">
        <f>'Data '!D142</f>
        <v>3.5671544522779784E-2</v>
      </c>
      <c r="H246" s="373">
        <f>'Data '!E142</f>
        <v>0.33611588364239586</v>
      </c>
      <c r="I246" s="373">
        <f>'Data '!F142</f>
        <v>0.27460157592274426</v>
      </c>
      <c r="J246" s="374"/>
    </row>
    <row r="247" spans="1:12">
      <c r="A247" s="170"/>
      <c r="B247" s="255"/>
      <c r="D247" s="117"/>
      <c r="E247" s="375" t="s">
        <v>406</v>
      </c>
      <c r="J247" s="374"/>
    </row>
    <row r="248" spans="1:12">
      <c r="A248" s="170"/>
      <c r="B248" s="255"/>
      <c r="D248" s="117" t="s">
        <v>405</v>
      </c>
      <c r="E248" s="341">
        <f>E249</f>
        <v>0</v>
      </c>
      <c r="F248" s="341">
        <f>F249</f>
        <v>0</v>
      </c>
      <c r="G248" s="341">
        <f>G249</f>
        <v>0</v>
      </c>
      <c r="H248" s="341">
        <f>H249</f>
        <v>0</v>
      </c>
      <c r="I248" s="341">
        <f>I249</f>
        <v>0</v>
      </c>
      <c r="J248" s="372">
        <f>I248*$J$102</f>
        <v>0</v>
      </c>
    </row>
    <row r="249" spans="1:12">
      <c r="A249" s="170"/>
      <c r="B249" s="255"/>
      <c r="D249" s="117"/>
      <c r="E249" s="376">
        <v>0</v>
      </c>
      <c r="F249" s="376">
        <v>0</v>
      </c>
      <c r="G249" s="376">
        <f>F249</f>
        <v>0</v>
      </c>
      <c r="H249" s="376">
        <f>G249</f>
        <v>0</v>
      </c>
      <c r="I249" s="376">
        <f>H249</f>
        <v>0</v>
      </c>
      <c r="J249" s="374"/>
    </row>
    <row r="250" spans="1:12">
      <c r="A250" s="170"/>
      <c r="B250" s="255"/>
      <c r="D250" s="117"/>
      <c r="E250" s="375" t="s">
        <v>404</v>
      </c>
      <c r="J250" s="374"/>
    </row>
    <row r="251" spans="1:12" ht="13.5" thickBot="1">
      <c r="A251" s="170"/>
      <c r="B251" s="255"/>
      <c r="D251" s="117" t="s">
        <v>403</v>
      </c>
      <c r="E251" s="377">
        <f t="shared" ref="E251:J251" si="46">E245+E248</f>
        <v>-13241.96669329207</v>
      </c>
      <c r="F251" s="377">
        <f t="shared" si="46"/>
        <v>0</v>
      </c>
      <c r="G251" s="377">
        <f t="shared" si="46"/>
        <v>-762.09252330109553</v>
      </c>
      <c r="H251" s="377">
        <f t="shared" si="46"/>
        <v>-3624.204470142322</v>
      </c>
      <c r="I251" s="377">
        <f t="shared" si="46"/>
        <v>-273.73027608273753</v>
      </c>
      <c r="J251" s="378">
        <f t="shared" si="46"/>
        <v>-281.94218436521965</v>
      </c>
    </row>
    <row r="252" spans="1:12" ht="14.25" thickTop="1" thickBot="1">
      <c r="A252" s="170"/>
      <c r="B252" s="379"/>
      <c r="C252" s="225"/>
      <c r="D252" s="225"/>
      <c r="E252" s="368" t="s">
        <v>402</v>
      </c>
      <c r="F252" s="368"/>
      <c r="G252" s="368"/>
      <c r="H252" s="368"/>
      <c r="I252" s="368"/>
      <c r="J252" s="380"/>
    </row>
    <row r="253" spans="1:12" ht="13.5" thickBot="1">
      <c r="A253" s="170"/>
      <c r="E253" s="281"/>
      <c r="F253" s="281"/>
      <c r="G253" s="281"/>
      <c r="H253" s="281"/>
      <c r="I253" s="281"/>
      <c r="J253" s="281"/>
    </row>
    <row r="254" spans="1:12">
      <c r="A254" s="170"/>
      <c r="B254" s="370"/>
      <c r="C254" s="158"/>
      <c r="D254" s="381" t="s">
        <v>401</v>
      </c>
      <c r="E254" s="382" t="s">
        <v>400</v>
      </c>
      <c r="F254" s="382"/>
      <c r="G254" s="382"/>
      <c r="H254" s="382"/>
      <c r="I254" s="158"/>
      <c r="J254" s="383"/>
    </row>
    <row r="255" spans="1:12">
      <c r="A255" s="170"/>
      <c r="B255" s="255"/>
      <c r="D255" s="117" t="s">
        <v>399</v>
      </c>
      <c r="E255" s="281"/>
      <c r="F255" s="281"/>
      <c r="G255" s="281"/>
      <c r="H255" s="281"/>
      <c r="I255" s="281"/>
      <c r="J255" s="374"/>
    </row>
    <row r="256" spans="1:12">
      <c r="A256" s="170"/>
      <c r="B256" s="255"/>
      <c r="D256" s="384" t="str">
        <f>E254</f>
        <v>Treasury Stock Purchases:</v>
      </c>
      <c r="E256" s="341">
        <f>E257</f>
        <v>0</v>
      </c>
      <c r="F256" s="341">
        <f>F257</f>
        <v>0</v>
      </c>
      <c r="G256" s="341">
        <f>G257</f>
        <v>0</v>
      </c>
      <c r="H256" s="341">
        <f>H257</f>
        <v>0</v>
      </c>
      <c r="I256" s="341">
        <f>I257</f>
        <v>0</v>
      </c>
      <c r="J256" s="374"/>
    </row>
    <row r="257" spans="1:12">
      <c r="A257" s="170"/>
      <c r="B257" s="255"/>
      <c r="E257" s="376">
        <v>0</v>
      </c>
      <c r="F257" s="376">
        <v>0</v>
      </c>
      <c r="G257" s="376">
        <f>F257</f>
        <v>0</v>
      </c>
      <c r="H257" s="376">
        <f>G257</f>
        <v>0</v>
      </c>
      <c r="I257" s="376">
        <f>H257</f>
        <v>0</v>
      </c>
      <c r="J257" s="374"/>
    </row>
    <row r="258" spans="1:12">
      <c r="A258" s="170"/>
      <c r="B258" s="255"/>
      <c r="E258" s="375" t="s">
        <v>398</v>
      </c>
      <c r="J258" s="374"/>
    </row>
    <row r="259" spans="1:12">
      <c r="A259" s="170"/>
      <c r="B259" s="255"/>
      <c r="D259" s="117" t="s">
        <v>397</v>
      </c>
      <c r="E259" s="385">
        <f t="shared" ref="E259:J259" si="47">E241</f>
        <v>57330.637095387559</v>
      </c>
      <c r="F259" s="385">
        <f t="shared" si="47"/>
        <v>32739.425139448838</v>
      </c>
      <c r="G259" s="385">
        <f t="shared" si="47"/>
        <v>19990.433271084679</v>
      </c>
      <c r="H259" s="385">
        <f t="shared" si="47"/>
        <v>7844.8098610474262</v>
      </c>
      <c r="I259" s="385">
        <f t="shared" si="47"/>
        <v>-8793.3219844619744</v>
      </c>
      <c r="J259" s="386">
        <f t="shared" si="47"/>
        <v>19141.122817988507</v>
      </c>
    </row>
    <row r="260" spans="1:12">
      <c r="A260" s="170"/>
      <c r="B260" s="255"/>
      <c r="E260" s="387" t="s">
        <v>396</v>
      </c>
      <c r="F260" s="388"/>
      <c r="G260" s="388"/>
      <c r="H260" s="388"/>
      <c r="I260" s="388"/>
      <c r="J260" s="389"/>
    </row>
    <row r="261" spans="1:12" ht="13.5" thickBot="1">
      <c r="A261" s="170"/>
      <c r="B261" s="255"/>
      <c r="D261" s="117" t="s">
        <v>395</v>
      </c>
      <c r="E261" s="390">
        <f t="shared" ref="E261:I261" si="48">E256+E259</f>
        <v>57330.637095387559</v>
      </c>
      <c r="F261" s="390">
        <f t="shared" si="48"/>
        <v>32739.425139448838</v>
      </c>
      <c r="G261" s="390">
        <f t="shared" si="48"/>
        <v>19990.433271084679</v>
      </c>
      <c r="H261" s="390">
        <f t="shared" si="48"/>
        <v>7844.8098610474262</v>
      </c>
      <c r="I261" s="390">
        <f t="shared" si="48"/>
        <v>-8793.3219844619744</v>
      </c>
      <c r="J261" s="391">
        <f>J256+J259</f>
        <v>19141.122817988507</v>
      </c>
    </row>
    <row r="262" spans="1:12" ht="14.25" thickTop="1" thickBot="1">
      <c r="A262" s="170"/>
      <c r="B262" s="379"/>
      <c r="C262" s="225"/>
      <c r="D262" s="225"/>
      <c r="E262" s="368" t="s">
        <v>394</v>
      </c>
      <c r="F262" s="368"/>
      <c r="G262" s="368"/>
      <c r="H262" s="368"/>
      <c r="I262" s="368"/>
      <c r="J262" s="380"/>
    </row>
    <row r="263" spans="1:12">
      <c r="A263" s="170"/>
      <c r="E263" s="281"/>
      <c r="F263" s="281"/>
      <c r="G263" s="281"/>
      <c r="H263" s="281"/>
      <c r="I263" s="281"/>
      <c r="J263" s="281"/>
    </row>
    <row r="264" spans="1:12">
      <c r="A264" s="170"/>
      <c r="E264" s="281"/>
      <c r="F264" s="281"/>
      <c r="G264" s="281"/>
      <c r="H264" s="281"/>
      <c r="I264" s="281"/>
      <c r="J264" s="281"/>
    </row>
    <row r="265" spans="1:12">
      <c r="A265" s="170"/>
      <c r="E265" s="281"/>
      <c r="F265" s="281"/>
      <c r="G265" s="281"/>
      <c r="H265" s="281"/>
      <c r="I265" s="281"/>
      <c r="J265" s="281"/>
    </row>
    <row r="266" spans="1:12">
      <c r="A266" s="288" t="s">
        <v>358</v>
      </c>
      <c r="B266" s="289" t="s">
        <v>357</v>
      </c>
      <c r="C266" s="290"/>
      <c r="D266" s="290"/>
      <c r="E266" s="289"/>
      <c r="F266" s="290"/>
      <c r="G266" s="290"/>
      <c r="H266" s="290"/>
      <c r="I266" s="290"/>
      <c r="J266" s="291"/>
    </row>
    <row r="267" spans="1:12">
      <c r="A267" s="292" t="str">
        <f>'Data '!A2</f>
        <v>Analyst Name:</v>
      </c>
      <c r="B267" s="392" t="str">
        <f>'Data '!B2</f>
        <v>ARYAN Shrenick kothari</v>
      </c>
      <c r="C267" s="290"/>
      <c r="D267" s="290"/>
      <c r="E267" s="289"/>
      <c r="F267" s="290"/>
      <c r="G267" s="290"/>
      <c r="H267" s="290"/>
      <c r="I267" s="290"/>
      <c r="J267" s="291"/>
    </row>
    <row r="268" spans="1:12">
      <c r="A268" s="292" t="str">
        <f>'Data '!A3</f>
        <v>Company Name:</v>
      </c>
      <c r="B268" s="393" t="str">
        <f>'Data '!B3</f>
        <v>Salvatore Ferragamo Group</v>
      </c>
      <c r="C268" s="287"/>
      <c r="D268" s="287"/>
      <c r="E268" s="394"/>
      <c r="F268" s="287"/>
      <c r="G268" s="287"/>
      <c r="H268" s="287"/>
      <c r="I268" s="287"/>
      <c r="J268" s="334"/>
    </row>
    <row r="269" spans="1:12" ht="13.5" thickBot="1">
      <c r="A269" s="170"/>
      <c r="B269" s="178"/>
      <c r="C269" s="395"/>
      <c r="D269" s="395"/>
      <c r="E269" s="395"/>
      <c r="F269" s="395"/>
      <c r="G269" s="395"/>
      <c r="H269" s="395"/>
      <c r="I269" s="395"/>
      <c r="J269" s="395"/>
    </row>
    <row r="270" spans="1:12" ht="13.5" thickTop="1">
      <c r="A270" s="179"/>
      <c r="C270" s="306" t="s">
        <v>208</v>
      </c>
      <c r="D270" s="307"/>
      <c r="E270" s="308" t="s">
        <v>207</v>
      </c>
      <c r="F270" s="309"/>
      <c r="G270" s="309"/>
      <c r="H270" s="309"/>
      <c r="I270" s="309"/>
      <c r="J270" s="308"/>
      <c r="L270" s="113"/>
    </row>
    <row r="271" spans="1:12">
      <c r="A271" s="179" t="s">
        <v>393</v>
      </c>
      <c r="B271" s="117"/>
      <c r="C271" s="117">
        <f>C12</f>
        <v>2023</v>
      </c>
      <c r="D271" s="117">
        <f>D12</f>
        <v>2024</v>
      </c>
      <c r="E271" s="117" t="str">
        <f t="shared" ref="E271:J271" si="49">E$12</f>
        <v>Year +1</v>
      </c>
      <c r="F271" s="117" t="str">
        <f t="shared" si="49"/>
        <v>Year +2</v>
      </c>
      <c r="G271" s="117" t="str">
        <f t="shared" si="49"/>
        <v>Year +3</v>
      </c>
      <c r="H271" s="117" t="str">
        <f t="shared" si="49"/>
        <v>Year +4</v>
      </c>
      <c r="I271" s="117" t="str">
        <f t="shared" si="49"/>
        <v>Year +5</v>
      </c>
      <c r="J271" s="117" t="str">
        <f t="shared" si="49"/>
        <v>Year +6</v>
      </c>
    </row>
    <row r="272" spans="1:12">
      <c r="A272" s="179"/>
      <c r="E272" s="113"/>
      <c r="J272" s="344"/>
    </row>
    <row r="273" spans="1:12">
      <c r="A273" s="179" t="s">
        <v>53</v>
      </c>
      <c r="B273" s="113"/>
      <c r="C273" s="125">
        <f t="shared" ref="C273:J273" si="50">C77</f>
        <v>26235</v>
      </c>
      <c r="D273" s="125">
        <f t="shared" si="50"/>
        <v>-68069</v>
      </c>
      <c r="E273" s="125">
        <f t="shared" si="50"/>
        <v>-38957.234766449983</v>
      </c>
      <c r="F273" s="125">
        <f t="shared" si="50"/>
        <v>-31223.901365904039</v>
      </c>
      <c r="G273" s="125">
        <f t="shared" si="50"/>
        <v>-21363.161289687927</v>
      </c>
      <c r="H273" s="125">
        <f t="shared" si="50"/>
        <v>-10781.606008194756</v>
      </c>
      <c r="I273" s="125">
        <f t="shared" si="50"/>
        <v>-995.82805393983267</v>
      </c>
      <c r="J273" s="125">
        <f t="shared" si="50"/>
        <v>-1025.7028955580074</v>
      </c>
    </row>
    <row r="274" spans="1:12">
      <c r="A274" s="170" t="s">
        <v>392</v>
      </c>
      <c r="B274" s="113"/>
      <c r="C274" s="125">
        <f t="shared" ref="C274:J274" si="51">B144-C144</f>
        <v>26460</v>
      </c>
      <c r="D274" s="125">
        <f t="shared" si="51"/>
        <v>31354</v>
      </c>
      <c r="E274" s="125">
        <f t="shared" si="51"/>
        <v>46096.955000000016</v>
      </c>
      <c r="F274" s="125">
        <f t="shared" si="51"/>
        <v>50214.25774999999</v>
      </c>
      <c r="G274" s="125">
        <f t="shared" si="51"/>
        <v>54352.003137499967</v>
      </c>
      <c r="H274" s="125">
        <f t="shared" si="51"/>
        <v>58510.286181874981</v>
      </c>
      <c r="I274" s="125">
        <f t="shared" si="51"/>
        <v>62710.011057968775</v>
      </c>
      <c r="J274" s="125">
        <f t="shared" si="51"/>
        <v>14396.505393820349</v>
      </c>
    </row>
    <row r="275" spans="1:12">
      <c r="A275" s="170" t="s">
        <v>391</v>
      </c>
      <c r="B275" s="113"/>
      <c r="C275" s="125">
        <v>0</v>
      </c>
      <c r="D275" s="125">
        <v>0</v>
      </c>
      <c r="E275" s="125">
        <v>0</v>
      </c>
      <c r="F275" s="125">
        <v>0</v>
      </c>
      <c r="G275" s="125">
        <v>0</v>
      </c>
      <c r="H275" s="125">
        <v>0</v>
      </c>
      <c r="I275" s="125">
        <v>0</v>
      </c>
      <c r="J275" s="125">
        <v>0</v>
      </c>
    </row>
    <row r="276" spans="1:12">
      <c r="A276" s="170" t="s">
        <v>390</v>
      </c>
      <c r="B276" s="113"/>
      <c r="C276" s="125">
        <f t="shared" ref="C276:J276" si="52">B114-C114</f>
        <v>-12331</v>
      </c>
      <c r="D276" s="125">
        <f t="shared" si="52"/>
        <v>22241</v>
      </c>
      <c r="E276" s="125">
        <f t="shared" si="52"/>
        <v>-1691.6000000000058</v>
      </c>
      <c r="F276" s="125">
        <f t="shared" si="52"/>
        <v>-1725.4320000000007</v>
      </c>
      <c r="G276" s="125">
        <f t="shared" si="52"/>
        <v>-1759.9406400000007</v>
      </c>
      <c r="H276" s="125">
        <f t="shared" si="52"/>
        <v>-1795.1394527999946</v>
      </c>
      <c r="I276" s="125">
        <f t="shared" si="52"/>
        <v>-1831.0422418560047</v>
      </c>
      <c r="J276" s="125">
        <f t="shared" si="52"/>
        <v>-2801.4946300396841</v>
      </c>
    </row>
    <row r="277" spans="1:12">
      <c r="A277" s="170" t="s">
        <v>47</v>
      </c>
      <c r="B277" s="113"/>
      <c r="C277" s="125">
        <f t="shared" ref="C277:J277" si="53">B117-C117</f>
        <v>-23022</v>
      </c>
      <c r="D277" s="125">
        <f t="shared" si="53"/>
        <v>-9543</v>
      </c>
      <c r="E277" s="125">
        <f t="shared" si="53"/>
        <v>-6157.7600000000093</v>
      </c>
      <c r="F277" s="125">
        <f t="shared" si="53"/>
        <v>-6280.9151999999885</v>
      </c>
      <c r="G277" s="125">
        <f t="shared" si="53"/>
        <v>-6406.5335039999918</v>
      </c>
      <c r="H277" s="125">
        <f t="shared" si="53"/>
        <v>-6534.6641740800114</v>
      </c>
      <c r="I277" s="125">
        <f t="shared" si="53"/>
        <v>-6665.357457561593</v>
      </c>
      <c r="J277" s="125">
        <f t="shared" si="53"/>
        <v>-10197.996910069254</v>
      </c>
    </row>
    <row r="278" spans="1:12">
      <c r="A278" s="170" t="s">
        <v>46</v>
      </c>
      <c r="B278" s="113"/>
      <c r="C278" s="125">
        <f t="shared" ref="C278:J278" si="54">B120-C120</f>
        <v>3735</v>
      </c>
      <c r="D278" s="125">
        <f t="shared" si="54"/>
        <v>-8313</v>
      </c>
      <c r="E278" s="125">
        <f t="shared" si="54"/>
        <v>-1081.4642239318418</v>
      </c>
      <c r="F278" s="125">
        <f t="shared" si="54"/>
        <v>-1130.5551413743669</v>
      </c>
      <c r="G278" s="125">
        <f t="shared" si="54"/>
        <v>-1157.6884647673505</v>
      </c>
      <c r="H278" s="125">
        <f t="shared" si="54"/>
        <v>-1185.472987921763</v>
      </c>
      <c r="I278" s="125">
        <f t="shared" si="54"/>
        <v>-1213.9243396318852</v>
      </c>
      <c r="J278" s="125">
        <f t="shared" si="54"/>
        <v>-1553.823154728816</v>
      </c>
    </row>
    <row r="279" spans="1:12">
      <c r="A279" s="170" t="s">
        <v>389</v>
      </c>
      <c r="B279" s="113"/>
      <c r="C279" s="125">
        <f t="shared" ref="C279:J279" si="55">B126-C126</f>
        <v>-3444</v>
      </c>
      <c r="D279" s="125">
        <f t="shared" si="55"/>
        <v>8203</v>
      </c>
      <c r="E279" s="125">
        <f t="shared" si="55"/>
        <v>-438.97399999999834</v>
      </c>
      <c r="F279" s="125">
        <f t="shared" si="55"/>
        <v>-446.4365579999976</v>
      </c>
      <c r="G279" s="125">
        <f t="shared" si="55"/>
        <v>-454.02597948599578</v>
      </c>
      <c r="H279" s="125">
        <f t="shared" si="55"/>
        <v>-461.74442113726036</v>
      </c>
      <c r="I279" s="125">
        <f t="shared" si="55"/>
        <v>-469.59407629659108</v>
      </c>
      <c r="J279" s="125">
        <f t="shared" si="55"/>
        <v>-842.78325104759642</v>
      </c>
      <c r="L279" s="281"/>
    </row>
    <row r="280" spans="1:12">
      <c r="A280" s="170" t="s">
        <v>388</v>
      </c>
      <c r="B280" s="113"/>
      <c r="C280" s="125">
        <f t="shared" ref="C280:J280" si="56">B129-C129</f>
        <v>4148</v>
      </c>
      <c r="D280" s="125">
        <f t="shared" si="56"/>
        <v>129</v>
      </c>
      <c r="E280" s="125">
        <f t="shared" si="56"/>
        <v>-113.58199999999943</v>
      </c>
      <c r="F280" s="125">
        <f t="shared" si="56"/>
        <v>-115.74005799999941</v>
      </c>
      <c r="G280" s="125">
        <f t="shared" si="56"/>
        <v>-117.93911910199949</v>
      </c>
      <c r="H280" s="125">
        <f t="shared" si="56"/>
        <v>-120.17996236493764</v>
      </c>
      <c r="I280" s="125">
        <f t="shared" si="56"/>
        <v>-122.46338164987083</v>
      </c>
      <c r="J280" s="125">
        <f t="shared" si="56"/>
        <v>-197.03713563350448</v>
      </c>
      <c r="L280" s="281"/>
    </row>
    <row r="281" spans="1:12">
      <c r="A281" s="170" t="s">
        <v>387</v>
      </c>
      <c r="B281" s="113"/>
      <c r="C281" s="125">
        <f t="shared" ref="C281:J281" si="57">C164-B164</f>
        <v>-150088</v>
      </c>
      <c r="D281" s="125">
        <f t="shared" si="57"/>
        <v>-1414</v>
      </c>
      <c r="E281" s="125">
        <f t="shared" si="57"/>
        <v>450.27999999999884</v>
      </c>
      <c r="F281" s="125">
        <f t="shared" si="57"/>
        <v>459.28559999999925</v>
      </c>
      <c r="G281" s="125">
        <f t="shared" si="57"/>
        <v>468.47131200000149</v>
      </c>
      <c r="H281" s="125">
        <f t="shared" si="57"/>
        <v>477.84073824000006</v>
      </c>
      <c r="I281" s="125">
        <f t="shared" si="57"/>
        <v>487.39755300480101</v>
      </c>
      <c r="J281" s="125">
        <f t="shared" si="57"/>
        <v>745.71825609734515</v>
      </c>
      <c r="L281" s="281"/>
    </row>
    <row r="282" spans="1:12">
      <c r="A282" s="170" t="s">
        <v>386</v>
      </c>
      <c r="B282" s="113"/>
      <c r="C282" s="125">
        <f t="shared" ref="C282:J282" si="58">C167-B167</f>
        <v>-3146</v>
      </c>
      <c r="D282" s="125">
        <f t="shared" si="58"/>
        <v>-928</v>
      </c>
      <c r="E282" s="125">
        <f t="shared" si="58"/>
        <v>120.52000000000044</v>
      </c>
      <c r="F282" s="125">
        <f t="shared" si="58"/>
        <v>122.93040000000019</v>
      </c>
      <c r="G282" s="125">
        <f t="shared" si="58"/>
        <v>125.3890080000001</v>
      </c>
      <c r="H282" s="125">
        <f t="shared" si="58"/>
        <v>127.89678816000014</v>
      </c>
      <c r="I282" s="125">
        <f t="shared" si="58"/>
        <v>130.45472392319971</v>
      </c>
      <c r="J282" s="125">
        <f t="shared" si="58"/>
        <v>199.59572760249648</v>
      </c>
      <c r="L282" s="281"/>
    </row>
    <row r="283" spans="1:12">
      <c r="A283" s="170" t="s">
        <v>385</v>
      </c>
      <c r="B283" s="113"/>
      <c r="C283" s="125">
        <f t="shared" ref="C283:J283" si="59">C179-B179</f>
        <v>89223</v>
      </c>
      <c r="D283" s="125">
        <f t="shared" si="59"/>
        <v>9563</v>
      </c>
      <c r="E283" s="125">
        <f t="shared" si="59"/>
        <v>2480.0400000000081</v>
      </c>
      <c r="F283" s="125">
        <f t="shared" si="59"/>
        <v>2529.6408000000083</v>
      </c>
      <c r="G283" s="125">
        <f t="shared" si="59"/>
        <v>2580.2336159999977</v>
      </c>
      <c r="H283" s="125">
        <f t="shared" si="59"/>
        <v>2631.8382883199956</v>
      </c>
      <c r="I283" s="125">
        <f t="shared" si="59"/>
        <v>2684.4750540863897</v>
      </c>
      <c r="J283" s="125">
        <f t="shared" si="59"/>
        <v>4107.2468327521929</v>
      </c>
      <c r="L283" s="281"/>
    </row>
    <row r="284" spans="1:12">
      <c r="A284" s="170" t="s">
        <v>384</v>
      </c>
      <c r="B284" s="113"/>
      <c r="C284" s="125">
        <f t="shared" ref="C284:J284" si="60">C182-B182</f>
        <v>-29029</v>
      </c>
      <c r="D284" s="125">
        <f t="shared" si="60"/>
        <v>-4655</v>
      </c>
      <c r="E284" s="125">
        <f t="shared" si="60"/>
        <v>883.02000000000407</v>
      </c>
      <c r="F284" s="125">
        <f t="shared" si="60"/>
        <v>900.68039999999746</v>
      </c>
      <c r="G284" s="125">
        <f t="shared" si="60"/>
        <v>918.69400799999858</v>
      </c>
      <c r="H284" s="125">
        <f t="shared" si="60"/>
        <v>937.06788816000335</v>
      </c>
      <c r="I284" s="125">
        <f t="shared" si="60"/>
        <v>955.80924592319934</v>
      </c>
      <c r="J284" s="125">
        <f t="shared" si="60"/>
        <v>1462.3881462624995</v>
      </c>
      <c r="L284" s="281"/>
    </row>
    <row r="285" spans="1:12">
      <c r="A285" s="170" t="s">
        <v>383</v>
      </c>
      <c r="B285" s="113"/>
      <c r="C285" s="125">
        <f t="shared" ref="C285:J285" si="61">C185-B185</f>
        <v>295888</v>
      </c>
      <c r="D285" s="125">
        <f t="shared" si="61"/>
        <v>14334</v>
      </c>
      <c r="E285" s="125">
        <f t="shared" si="61"/>
        <v>6226.359999999986</v>
      </c>
      <c r="F285" s="125">
        <f t="shared" si="61"/>
        <v>6350.8871999999974</v>
      </c>
      <c r="G285" s="125">
        <f t="shared" si="61"/>
        <v>6477.904944000009</v>
      </c>
      <c r="H285" s="125">
        <f t="shared" si="61"/>
        <v>6607.463042880001</v>
      </c>
      <c r="I285" s="125">
        <f t="shared" si="61"/>
        <v>6739.6123037376092</v>
      </c>
      <c r="J285" s="125">
        <f t="shared" si="61"/>
        <v>10311.606824718532</v>
      </c>
      <c r="L285" s="281"/>
    </row>
    <row r="286" spans="1:12">
      <c r="A286" s="170" t="s">
        <v>382</v>
      </c>
      <c r="B286" s="113"/>
      <c r="C286" s="125">
        <f t="shared" ref="C286:J286" si="62">(B123-C123)+(B147-C147)+(C176-B176)+(C197-B197)</f>
        <v>-43607</v>
      </c>
      <c r="D286" s="125">
        <f t="shared" si="62"/>
        <v>-37852</v>
      </c>
      <c r="E286" s="125">
        <f t="shared" si="62"/>
        <v>-3667.1404117134653</v>
      </c>
      <c r="F286" s="125">
        <f t="shared" si="62"/>
        <v>-3738.1208661706023</v>
      </c>
      <c r="G286" s="125">
        <f t="shared" si="62"/>
        <v>-3810.4800392405486</v>
      </c>
      <c r="H286" s="125">
        <f t="shared" si="62"/>
        <v>-3120.1233745113859</v>
      </c>
      <c r="I286" s="125">
        <f t="shared" si="62"/>
        <v>-3179.8024076461124</v>
      </c>
      <c r="J286" s="125">
        <f t="shared" si="62"/>
        <v>-6230.9000129784672</v>
      </c>
      <c r="L286" s="281"/>
    </row>
    <row r="287" spans="1:12">
      <c r="A287" s="170" t="s">
        <v>381</v>
      </c>
      <c r="B287" s="113"/>
      <c r="C287" s="125">
        <f t="shared" ref="C287:J287" si="63">C194-B194</f>
        <v>-462148</v>
      </c>
      <c r="D287" s="125">
        <f t="shared" si="63"/>
        <v>-3185</v>
      </c>
      <c r="E287" s="125">
        <f t="shared" si="63"/>
        <v>68.079999999999927</v>
      </c>
      <c r="F287" s="125">
        <f t="shared" si="63"/>
        <v>69.441600000000108</v>
      </c>
      <c r="G287" s="125">
        <f t="shared" si="63"/>
        <v>70.830432000000201</v>
      </c>
      <c r="H287" s="125">
        <f t="shared" si="63"/>
        <v>72.24704064000025</v>
      </c>
      <c r="I287" s="125">
        <f t="shared" si="63"/>
        <v>73.691981452800064</v>
      </c>
      <c r="J287" s="125">
        <f t="shared" si="63"/>
        <v>112.74873162278391</v>
      </c>
      <c r="L287" s="281"/>
    </row>
    <row r="288" spans="1:12">
      <c r="A288" s="170" t="s">
        <v>380</v>
      </c>
      <c r="B288" s="113"/>
      <c r="C288" s="125">
        <f t="shared" ref="C288:J288" si="64">C200-B200</f>
        <v>-22156</v>
      </c>
      <c r="D288" s="125">
        <f t="shared" si="64"/>
        <v>-1500</v>
      </c>
      <c r="E288" s="125">
        <f t="shared" si="64"/>
        <v>294.46000000000095</v>
      </c>
      <c r="F288" s="125">
        <f t="shared" si="64"/>
        <v>300.34920000000056</v>
      </c>
      <c r="G288" s="125">
        <f t="shared" si="64"/>
        <v>306.35618400000021</v>
      </c>
      <c r="H288" s="125">
        <f t="shared" si="64"/>
        <v>312.48330768000051</v>
      </c>
      <c r="I288" s="125">
        <f t="shared" si="64"/>
        <v>318.73297383360114</v>
      </c>
      <c r="J288" s="125">
        <f t="shared" si="64"/>
        <v>487.6614499654097</v>
      </c>
      <c r="L288" s="281"/>
    </row>
    <row r="289" spans="1:12">
      <c r="A289" s="170" t="s">
        <v>379</v>
      </c>
      <c r="B289" s="113"/>
      <c r="C289" s="125">
        <f t="shared" ref="C289:J289" si="65">C203-B203</f>
        <v>16347</v>
      </c>
      <c r="D289" s="125">
        <f t="shared" si="65"/>
        <v>-1414</v>
      </c>
      <c r="E289" s="125">
        <f t="shared" si="65"/>
        <v>450.27999999999884</v>
      </c>
      <c r="F289" s="125">
        <f t="shared" si="65"/>
        <v>459.28559999999925</v>
      </c>
      <c r="G289" s="125">
        <f t="shared" si="65"/>
        <v>468.47131200000149</v>
      </c>
      <c r="H289" s="125">
        <f t="shared" si="65"/>
        <v>477.84073824000006</v>
      </c>
      <c r="I289" s="125">
        <f t="shared" si="65"/>
        <v>487.39755300480101</v>
      </c>
      <c r="J289" s="125">
        <f t="shared" si="65"/>
        <v>745.71825609734515</v>
      </c>
      <c r="L289" s="281"/>
    </row>
    <row r="290" spans="1:12">
      <c r="A290" s="179" t="s">
        <v>378</v>
      </c>
      <c r="B290" s="113"/>
      <c r="C290" s="317">
        <f t="shared" ref="C290:J290" si="66">SUM(C273:C289)</f>
        <v>-286935</v>
      </c>
      <c r="D290" s="317">
        <f t="shared" si="66"/>
        <v>-51049</v>
      </c>
      <c r="E290" s="317">
        <f t="shared" si="66"/>
        <v>4962.2395979047105</v>
      </c>
      <c r="F290" s="317">
        <f t="shared" si="66"/>
        <v>16745.657360550998</v>
      </c>
      <c r="G290" s="317">
        <f t="shared" si="66"/>
        <v>30698.584917216165</v>
      </c>
      <c r="H290" s="317">
        <f t="shared" si="66"/>
        <v>46156.033633184867</v>
      </c>
      <c r="I290" s="317">
        <f t="shared" si="66"/>
        <v>60109.570488353289</v>
      </c>
      <c r="J290" s="317">
        <f t="shared" si="66"/>
        <v>9719.4516288836239</v>
      </c>
      <c r="L290" s="281"/>
    </row>
    <row r="291" spans="1:12">
      <c r="A291" s="170" t="s">
        <v>377</v>
      </c>
      <c r="B291" s="113"/>
      <c r="C291" s="125">
        <f t="shared" ref="C291:J291" si="67">B141-C141</f>
        <v>-58250</v>
      </c>
      <c r="D291" s="125">
        <f t="shared" si="67"/>
        <v>-20000</v>
      </c>
      <c r="E291" s="125">
        <f t="shared" si="67"/>
        <v>-40969.549999999988</v>
      </c>
      <c r="F291" s="125">
        <f t="shared" si="67"/>
        <v>-41173.027499999967</v>
      </c>
      <c r="G291" s="125">
        <f t="shared" si="67"/>
        <v>-41377.453874999948</v>
      </c>
      <c r="H291" s="125">
        <f t="shared" si="67"/>
        <v>-41582.830443750019</v>
      </c>
      <c r="I291" s="125">
        <f t="shared" si="67"/>
        <v>-41997.24876093748</v>
      </c>
      <c r="J291" s="125">
        <f t="shared" si="67"/>
        <v>-18813.003317390685</v>
      </c>
      <c r="L291" s="281"/>
    </row>
    <row r="292" spans="1:12">
      <c r="A292" s="170" t="s">
        <v>376</v>
      </c>
      <c r="B292" s="113"/>
      <c r="C292" s="125">
        <f t="shared" ref="C292:J292" si="68">B111-C111</f>
        <v>0</v>
      </c>
      <c r="D292" s="125">
        <f t="shared" si="68"/>
        <v>0</v>
      </c>
      <c r="E292" s="125">
        <f t="shared" si="68"/>
        <v>0</v>
      </c>
      <c r="F292" s="125">
        <f t="shared" si="68"/>
        <v>0</v>
      </c>
      <c r="G292" s="125">
        <f t="shared" si="68"/>
        <v>0</v>
      </c>
      <c r="H292" s="125">
        <f t="shared" si="68"/>
        <v>0</v>
      </c>
      <c r="I292" s="125">
        <f t="shared" si="68"/>
        <v>0</v>
      </c>
      <c r="J292" s="125">
        <f t="shared" si="68"/>
        <v>0</v>
      </c>
      <c r="L292" s="281"/>
    </row>
    <row r="293" spans="1:12">
      <c r="A293" s="170" t="s">
        <v>375</v>
      </c>
      <c r="B293" s="113"/>
      <c r="C293" s="125">
        <f t="shared" ref="C293:J293" si="69">(B135-C135)+(B138-C138)</f>
        <v>-22947</v>
      </c>
      <c r="D293" s="125">
        <f t="shared" si="69"/>
        <v>11414</v>
      </c>
      <c r="E293" s="125">
        <f t="shared" si="69"/>
        <v>-1097</v>
      </c>
      <c r="F293" s="125">
        <f t="shared" si="69"/>
        <v>-1118.9400000000023</v>
      </c>
      <c r="G293" s="125">
        <f t="shared" si="69"/>
        <v>-1141.3187999999973</v>
      </c>
      <c r="H293" s="125">
        <f t="shared" si="69"/>
        <v>-1164.1451760000018</v>
      </c>
      <c r="I293" s="125">
        <f t="shared" si="69"/>
        <v>-1187.4280795200029</v>
      </c>
      <c r="J293" s="125">
        <f t="shared" si="69"/>
        <v>-1816.7649616656017</v>
      </c>
      <c r="L293" s="281"/>
    </row>
    <row r="294" spans="1:12">
      <c r="A294" s="170" t="s">
        <v>374</v>
      </c>
      <c r="B294" s="113"/>
      <c r="C294" s="125">
        <f t="shared" ref="C294:J294" si="70">B153-C153-C275</f>
        <v>-1969</v>
      </c>
      <c r="D294" s="125">
        <f t="shared" si="70"/>
        <v>5000</v>
      </c>
      <c r="E294" s="125">
        <f t="shared" si="70"/>
        <v>-478.07999999999811</v>
      </c>
      <c r="F294" s="125">
        <f t="shared" si="70"/>
        <v>-485.25119999999515</v>
      </c>
      <c r="G294" s="125">
        <f t="shared" si="70"/>
        <v>-492.52996799999528</v>
      </c>
      <c r="H294" s="125">
        <f t="shared" si="70"/>
        <v>-499.91791751999699</v>
      </c>
      <c r="I294" s="125">
        <f t="shared" si="70"/>
        <v>-507.41668628279876</v>
      </c>
      <c r="J294" s="125">
        <f t="shared" si="70"/>
        <v>-1030.0558731540877</v>
      </c>
      <c r="L294" s="281"/>
    </row>
    <row r="295" spans="1:12">
      <c r="A295" s="170" t="s">
        <v>373</v>
      </c>
      <c r="B295" s="113"/>
      <c r="C295" s="125">
        <f t="shared" ref="C295:J295" si="71">B156-C156</f>
        <v>0</v>
      </c>
      <c r="D295" s="125">
        <f t="shared" si="71"/>
        <v>0</v>
      </c>
      <c r="E295" s="125">
        <f t="shared" si="71"/>
        <v>0</v>
      </c>
      <c r="F295" s="125">
        <f t="shared" si="71"/>
        <v>0</v>
      </c>
      <c r="G295" s="125">
        <f t="shared" si="71"/>
        <v>0</v>
      </c>
      <c r="H295" s="125">
        <f t="shared" si="71"/>
        <v>0</v>
      </c>
      <c r="I295" s="125">
        <f t="shared" si="71"/>
        <v>0</v>
      </c>
      <c r="J295" s="125">
        <f t="shared" si="71"/>
        <v>-200.36999999999989</v>
      </c>
      <c r="L295" s="281"/>
    </row>
    <row r="296" spans="1:12">
      <c r="A296" s="170" t="s">
        <v>372</v>
      </c>
      <c r="B296" s="113"/>
      <c r="C296" s="125">
        <f t="shared" ref="C296:J296" si="72">B150-C150</f>
        <v>-153694</v>
      </c>
      <c r="D296" s="125">
        <f t="shared" si="72"/>
        <v>104188</v>
      </c>
      <c r="E296" s="125">
        <f t="shared" si="72"/>
        <v>-10701.800000000047</v>
      </c>
      <c r="F296" s="125">
        <f t="shared" si="72"/>
        <v>-10915.83600000001</v>
      </c>
      <c r="G296" s="125">
        <f t="shared" si="72"/>
        <v>-11134.152720000013</v>
      </c>
      <c r="H296" s="125">
        <f t="shared" si="72"/>
        <v>-11356.835774400039</v>
      </c>
      <c r="I296" s="125">
        <f t="shared" si="72"/>
        <v>-11583.972489887965</v>
      </c>
      <c r="J296" s="125">
        <f t="shared" si="72"/>
        <v>-17723.47790952865</v>
      </c>
      <c r="L296" s="281"/>
    </row>
    <row r="297" spans="1:12">
      <c r="A297" s="170" t="s">
        <v>371</v>
      </c>
      <c r="B297" s="113"/>
      <c r="C297" s="125">
        <v>0</v>
      </c>
      <c r="D297" s="125">
        <v>0</v>
      </c>
      <c r="E297" s="125">
        <v>0</v>
      </c>
      <c r="F297" s="125">
        <v>0</v>
      </c>
      <c r="G297" s="125">
        <v>0</v>
      </c>
      <c r="H297" s="125">
        <v>0</v>
      </c>
      <c r="I297" s="125">
        <v>0</v>
      </c>
      <c r="J297" s="125">
        <v>0</v>
      </c>
      <c r="L297" s="281"/>
    </row>
    <row r="298" spans="1:12">
      <c r="A298" s="179" t="s">
        <v>370</v>
      </c>
      <c r="B298" s="113"/>
      <c r="C298" s="317">
        <f t="shared" ref="C298:J298" si="73">SUM(C291:C297)</f>
        <v>-236860</v>
      </c>
      <c r="D298" s="317">
        <f t="shared" si="73"/>
        <v>100602</v>
      </c>
      <c r="E298" s="317">
        <f t="shared" si="73"/>
        <v>-53246.430000000037</v>
      </c>
      <c r="F298" s="317">
        <f t="shared" si="73"/>
        <v>-53693.054699999979</v>
      </c>
      <c r="G298" s="317">
        <f t="shared" si="73"/>
        <v>-54145.45536299995</v>
      </c>
      <c r="H298" s="317">
        <f t="shared" si="73"/>
        <v>-54603.72931167006</v>
      </c>
      <c r="I298" s="317">
        <f t="shared" si="73"/>
        <v>-55276.066016628247</v>
      </c>
      <c r="J298" s="317">
        <f t="shared" si="73"/>
        <v>-39583.672061739024</v>
      </c>
      <c r="L298" s="281"/>
    </row>
    <row r="299" spans="1:12">
      <c r="A299" s="170" t="s">
        <v>369</v>
      </c>
      <c r="B299" s="113"/>
      <c r="C299" s="125">
        <f t="shared" ref="C299:J299" si="74">C170+C173-B170-B173</f>
        <v>476976</v>
      </c>
      <c r="D299" s="125">
        <f t="shared" si="74"/>
        <v>-45759</v>
      </c>
      <c r="E299" s="125">
        <f t="shared" si="74"/>
        <v>11341.339999999967</v>
      </c>
      <c r="F299" s="125">
        <f t="shared" si="74"/>
        <v>11568.166800000123</v>
      </c>
      <c r="G299" s="125">
        <f t="shared" si="74"/>
        <v>11799.530136000016</v>
      </c>
      <c r="H299" s="125">
        <f t="shared" si="74"/>
        <v>12035.520738719963</v>
      </c>
      <c r="I299" s="125">
        <f t="shared" si="74"/>
        <v>12276.231153494329</v>
      </c>
      <c r="J299" s="125">
        <f t="shared" si="74"/>
        <v>18782.63366484642</v>
      </c>
      <c r="L299" s="281"/>
    </row>
    <row r="300" spans="1:12">
      <c r="A300" s="170" t="s">
        <v>368</v>
      </c>
      <c r="B300" s="113"/>
      <c r="C300" s="125">
        <f t="shared" ref="C300:J300" si="75">C191-B191</f>
        <v>0</v>
      </c>
      <c r="D300" s="125">
        <f t="shared" si="75"/>
        <v>0</v>
      </c>
      <c r="E300" s="125">
        <f t="shared" si="75"/>
        <v>0</v>
      </c>
      <c r="F300" s="125">
        <f t="shared" si="75"/>
        <v>0</v>
      </c>
      <c r="G300" s="125">
        <f t="shared" si="75"/>
        <v>0</v>
      </c>
      <c r="H300" s="125">
        <f t="shared" si="75"/>
        <v>0</v>
      </c>
      <c r="I300" s="125">
        <f t="shared" si="75"/>
        <v>0</v>
      </c>
      <c r="J300" s="125">
        <f t="shared" si="75"/>
        <v>0</v>
      </c>
      <c r="L300" s="281"/>
    </row>
    <row r="301" spans="1:12">
      <c r="A301" s="170" t="s">
        <v>367</v>
      </c>
      <c r="B301" s="113"/>
      <c r="C301" s="125">
        <f t="shared" ref="C301:J301" si="76">C211-B211</f>
        <v>0</v>
      </c>
      <c r="D301" s="125">
        <f t="shared" si="76"/>
        <v>0</v>
      </c>
      <c r="E301" s="125">
        <f t="shared" si="76"/>
        <v>0</v>
      </c>
      <c r="F301" s="125">
        <f t="shared" si="76"/>
        <v>0</v>
      </c>
      <c r="G301" s="125">
        <f t="shared" si="76"/>
        <v>0</v>
      </c>
      <c r="H301" s="125">
        <f t="shared" si="76"/>
        <v>0</v>
      </c>
      <c r="I301" s="125">
        <f t="shared" si="76"/>
        <v>0</v>
      </c>
      <c r="J301" s="125">
        <f t="shared" si="76"/>
        <v>0</v>
      </c>
      <c r="L301" s="281"/>
    </row>
    <row r="302" spans="1:12">
      <c r="A302" s="170" t="s">
        <v>366</v>
      </c>
      <c r="B302" s="113"/>
      <c r="C302" s="125">
        <f t="shared" ref="C302:J302" si="77">C215-B215</f>
        <v>0</v>
      </c>
      <c r="D302" s="125">
        <f t="shared" si="77"/>
        <v>0</v>
      </c>
      <c r="E302" s="125">
        <f t="shared" si="77"/>
        <v>0</v>
      </c>
      <c r="F302" s="125">
        <f t="shared" si="77"/>
        <v>0</v>
      </c>
      <c r="G302" s="125">
        <f t="shared" si="77"/>
        <v>0</v>
      </c>
      <c r="H302" s="125">
        <f t="shared" si="77"/>
        <v>0</v>
      </c>
      <c r="I302" s="125">
        <f t="shared" si="77"/>
        <v>0</v>
      </c>
      <c r="J302" s="125">
        <f t="shared" si="77"/>
        <v>506.36999999999898</v>
      </c>
      <c r="L302" s="281"/>
    </row>
    <row r="303" spans="1:12">
      <c r="A303" s="170" t="s">
        <v>365</v>
      </c>
      <c r="B303" s="113"/>
      <c r="C303" s="125">
        <f t="shared" ref="C303:J303" si="78">C221-B221</f>
        <v>-65675</v>
      </c>
      <c r="D303" s="125">
        <f t="shared" si="78"/>
        <v>-580</v>
      </c>
      <c r="E303" s="125">
        <f t="shared" si="78"/>
        <v>0</v>
      </c>
      <c r="F303" s="125">
        <f t="shared" si="78"/>
        <v>0</v>
      </c>
      <c r="G303" s="125">
        <f t="shared" si="78"/>
        <v>0</v>
      </c>
      <c r="H303" s="125">
        <f t="shared" si="78"/>
        <v>0</v>
      </c>
      <c r="I303" s="125">
        <f t="shared" si="78"/>
        <v>0</v>
      </c>
      <c r="J303" s="125">
        <f t="shared" si="78"/>
        <v>0</v>
      </c>
      <c r="L303" s="281"/>
    </row>
    <row r="304" spans="1:12">
      <c r="A304" s="170" t="s">
        <v>364</v>
      </c>
      <c r="B304" s="113"/>
      <c r="C304" s="125">
        <f t="shared" ref="C304:J304" si="79">C224-B224</f>
        <v>0</v>
      </c>
      <c r="D304" s="125">
        <f t="shared" si="79"/>
        <v>0</v>
      </c>
      <c r="E304" s="125">
        <f t="shared" si="79"/>
        <v>0</v>
      </c>
      <c r="F304" s="125">
        <f t="shared" si="79"/>
        <v>0</v>
      </c>
      <c r="G304" s="125">
        <f t="shared" si="79"/>
        <v>0</v>
      </c>
      <c r="H304" s="125">
        <f t="shared" si="79"/>
        <v>0</v>
      </c>
      <c r="I304" s="125">
        <f t="shared" si="79"/>
        <v>0</v>
      </c>
      <c r="J304" s="125">
        <f t="shared" si="79"/>
        <v>0</v>
      </c>
      <c r="L304" s="281"/>
    </row>
    <row r="305" spans="1:12">
      <c r="A305" s="170" t="s">
        <v>363</v>
      </c>
      <c r="B305" s="113"/>
      <c r="C305" s="125">
        <f t="shared" ref="C305:J305" si="80">C218-B218-C83</f>
        <v>12555</v>
      </c>
      <c r="D305" s="125">
        <f t="shared" si="80"/>
        <v>-34024</v>
      </c>
      <c r="E305" s="125">
        <f t="shared" si="80"/>
        <v>44088.670402095515</v>
      </c>
      <c r="F305" s="125">
        <f t="shared" si="80"/>
        <v>32739.425139448853</v>
      </c>
      <c r="G305" s="125">
        <f t="shared" si="80"/>
        <v>19228.340747783488</v>
      </c>
      <c r="H305" s="125">
        <f t="shared" si="80"/>
        <v>4220.6053909051079</v>
      </c>
      <c r="I305" s="125">
        <f t="shared" si="80"/>
        <v>-9067.0522605447768</v>
      </c>
      <c r="J305" s="125">
        <f t="shared" si="80"/>
        <v>18859.180633623309</v>
      </c>
      <c r="L305" s="281"/>
    </row>
    <row r="306" spans="1:12">
      <c r="A306" s="170" t="s">
        <v>362</v>
      </c>
      <c r="B306" s="113"/>
      <c r="C306" s="125">
        <f t="shared" ref="C306:J306" si="81">C230-B230+C80</f>
        <v>-22427</v>
      </c>
      <c r="D306" s="125">
        <f t="shared" si="81"/>
        <v>16</v>
      </c>
      <c r="E306" s="125">
        <f t="shared" si="81"/>
        <v>4.5519144009631418E-15</v>
      </c>
      <c r="F306" s="125">
        <f t="shared" si="81"/>
        <v>-6.5503158452884236E-15</v>
      </c>
      <c r="G306" s="125">
        <f t="shared" si="81"/>
        <v>3.2862601528904634E-14</v>
      </c>
      <c r="H306" s="125">
        <f t="shared" si="81"/>
        <v>-3.9968028886505635E-15</v>
      </c>
      <c r="I306" s="125">
        <f t="shared" si="81"/>
        <v>1.2101430968414206E-14</v>
      </c>
      <c r="J306" s="125">
        <f t="shared" si="81"/>
        <v>-4.8849813083506888E-14</v>
      </c>
      <c r="L306" s="281"/>
    </row>
    <row r="307" spans="1:12">
      <c r="A307" s="179" t="s">
        <v>361</v>
      </c>
      <c r="B307" s="113"/>
      <c r="C307" s="317">
        <f t="shared" ref="C307:J307" si="82">SUM(C299:C306)</f>
        <v>401429</v>
      </c>
      <c r="D307" s="317">
        <f t="shared" si="82"/>
        <v>-80347</v>
      </c>
      <c r="E307" s="317">
        <f t="shared" si="82"/>
        <v>55430.010402095482</v>
      </c>
      <c r="F307" s="317">
        <f t="shared" si="82"/>
        <v>44307.591939448976</v>
      </c>
      <c r="G307" s="317">
        <f t="shared" si="82"/>
        <v>31027.870883783504</v>
      </c>
      <c r="H307" s="317">
        <f t="shared" si="82"/>
        <v>16256.12612962507</v>
      </c>
      <c r="I307" s="317">
        <f t="shared" si="82"/>
        <v>3209.1788929495524</v>
      </c>
      <c r="J307" s="317">
        <f t="shared" si="82"/>
        <v>38148.184298469729</v>
      </c>
      <c r="L307" s="281"/>
    </row>
    <row r="308" spans="1:12" ht="13.5" thickBot="1">
      <c r="A308" s="179" t="s">
        <v>16</v>
      </c>
      <c r="B308" s="113"/>
      <c r="C308" s="331">
        <f t="shared" ref="C308:J308" si="83">C290+C298+C307</f>
        <v>-122366</v>
      </c>
      <c r="D308" s="331">
        <f t="shared" si="83"/>
        <v>-30794</v>
      </c>
      <c r="E308" s="331">
        <f t="shared" si="83"/>
        <v>7145.8200000001598</v>
      </c>
      <c r="F308" s="331">
        <f t="shared" si="83"/>
        <v>7360.1945999999953</v>
      </c>
      <c r="G308" s="331">
        <f t="shared" si="83"/>
        <v>7581.000437999719</v>
      </c>
      <c r="H308" s="331">
        <f t="shared" si="83"/>
        <v>7808.4304511398768</v>
      </c>
      <c r="I308" s="331">
        <f t="shared" si="83"/>
        <v>8042.6833646745945</v>
      </c>
      <c r="J308" s="331">
        <f t="shared" si="83"/>
        <v>8283.9638656143288</v>
      </c>
      <c r="L308" s="281"/>
    </row>
    <row r="309" spans="1:12" ht="13.5" thickTop="1">
      <c r="A309" s="974" t="s">
        <v>360</v>
      </c>
      <c r="C309" s="345"/>
      <c r="D309" s="345"/>
      <c r="E309" s="344"/>
      <c r="F309" s="344"/>
      <c r="G309" s="344"/>
      <c r="H309" s="344"/>
      <c r="I309" s="344"/>
      <c r="J309" s="344"/>
      <c r="K309" s="344"/>
      <c r="L309" s="344"/>
    </row>
    <row r="310" spans="1:12">
      <c r="A310" s="974" t="s">
        <v>359</v>
      </c>
      <c r="B310" s="975"/>
      <c r="C310" s="667">
        <f t="shared" ref="C310:J310" si="84">C308-(C108-B108)</f>
        <v>0</v>
      </c>
      <c r="D310" s="667">
        <f t="shared" si="84"/>
        <v>0</v>
      </c>
      <c r="E310" s="667">
        <f t="shared" si="84"/>
        <v>1.5279510989785194E-10</v>
      </c>
      <c r="F310" s="667">
        <f t="shared" si="84"/>
        <v>-2.1827872842550278E-11</v>
      </c>
      <c r="G310" s="667">
        <f t="shared" si="84"/>
        <v>-2.9831426218152046E-10</v>
      </c>
      <c r="H310" s="667">
        <f t="shared" si="84"/>
        <v>-1.3460521586239338E-10</v>
      </c>
      <c r="I310" s="667">
        <f t="shared" si="84"/>
        <v>3.7834979593753815E-10</v>
      </c>
      <c r="J310" s="667">
        <f t="shared" si="84"/>
        <v>-1.0913936421275139E-10</v>
      </c>
      <c r="K310" s="396"/>
      <c r="L310" s="345"/>
    </row>
    <row r="311" spans="1:12">
      <c r="A311" s="974"/>
      <c r="B311" s="281"/>
      <c r="C311" s="281"/>
      <c r="D311" s="281"/>
      <c r="E311" s="281"/>
      <c r="F311" s="281"/>
      <c r="G311" s="281"/>
      <c r="H311" s="281"/>
      <c r="I311" s="281"/>
      <c r="J311" s="281"/>
      <c r="K311" s="396"/>
      <c r="L311" s="396"/>
    </row>
    <row r="312" spans="1:12">
      <c r="A312" s="170"/>
      <c r="B312" s="281"/>
      <c r="C312" s="281"/>
      <c r="D312" s="281"/>
      <c r="E312" s="281"/>
      <c r="F312" s="281"/>
      <c r="G312" s="281"/>
      <c r="H312" s="281"/>
      <c r="I312" s="281"/>
      <c r="J312" s="281"/>
      <c r="K312" s="281"/>
      <c r="L312" s="281"/>
    </row>
    <row r="313" spans="1:12">
      <c r="A313" s="288" t="s">
        <v>358</v>
      </c>
      <c r="B313" s="289" t="s">
        <v>357</v>
      </c>
      <c r="C313" s="290"/>
      <c r="D313" s="290"/>
      <c r="E313" s="289"/>
      <c r="F313" s="290"/>
      <c r="G313" s="290"/>
      <c r="H313" s="290"/>
      <c r="I313" s="290"/>
      <c r="J313" s="291"/>
      <c r="K313" s="281"/>
      <c r="L313" s="281"/>
    </row>
    <row r="314" spans="1:12">
      <c r="A314" s="292" t="str">
        <f>'Data '!A2</f>
        <v>Analyst Name:</v>
      </c>
      <c r="B314" s="392" t="str">
        <f>'Data '!B2</f>
        <v>ARYAN Shrenick kothari</v>
      </c>
      <c r="C314" s="290"/>
      <c r="D314" s="290"/>
      <c r="E314" s="289"/>
      <c r="F314" s="290"/>
      <c r="G314" s="290"/>
      <c r="H314" s="290"/>
      <c r="I314" s="290"/>
      <c r="J314" s="291"/>
      <c r="K314" s="281"/>
      <c r="L314" s="281"/>
    </row>
    <row r="315" spans="1:12">
      <c r="A315" s="292" t="str">
        <f>'Data '!A3</f>
        <v>Company Name:</v>
      </c>
      <c r="B315" s="393" t="str">
        <f>'Data '!B3</f>
        <v>Salvatore Ferragamo Group</v>
      </c>
      <c r="C315" s="287"/>
      <c r="D315" s="287"/>
      <c r="E315" s="394"/>
      <c r="F315" s="287"/>
      <c r="G315" s="287"/>
      <c r="H315" s="287"/>
      <c r="I315" s="287"/>
      <c r="J315" s="334"/>
      <c r="K315" s="281"/>
      <c r="L315" s="281"/>
    </row>
    <row r="316" spans="1:12" ht="13.5" thickBot="1">
      <c r="A316" s="170"/>
      <c r="B316" s="395"/>
      <c r="C316" s="395"/>
      <c r="D316" s="395"/>
      <c r="E316" s="397"/>
      <c r="F316" s="397"/>
      <c r="G316" s="397"/>
      <c r="H316" s="397"/>
      <c r="I316" s="397"/>
      <c r="J316" s="397"/>
      <c r="K316" s="281"/>
      <c r="L316" s="281"/>
    </row>
    <row r="317" spans="1:12" ht="13.5" thickTop="1">
      <c r="A317" s="170"/>
      <c r="B317" s="306" t="s">
        <v>208</v>
      </c>
      <c r="C317" s="307"/>
      <c r="D317" s="307"/>
      <c r="E317" s="339" t="s">
        <v>207</v>
      </c>
      <c r="F317" s="340"/>
      <c r="G317" s="340"/>
      <c r="H317" s="340"/>
      <c r="I317" s="340"/>
      <c r="J317" s="339"/>
      <c r="K317" s="281"/>
      <c r="L317" s="281"/>
    </row>
    <row r="318" spans="1:12">
      <c r="A318" s="170"/>
      <c r="B318" s="117">
        <f>'Data '!E4</f>
        <v>2022</v>
      </c>
      <c r="C318" s="117">
        <f>'Data '!F4</f>
        <v>2023</v>
      </c>
      <c r="D318" s="117">
        <f>'Data '!G4</f>
        <v>2024</v>
      </c>
      <c r="E318" s="117" t="str">
        <f t="shared" ref="E318:J318" si="85">E$12</f>
        <v>Year +1</v>
      </c>
      <c r="F318" s="117" t="str">
        <f t="shared" si="85"/>
        <v>Year +2</v>
      </c>
      <c r="G318" s="117" t="str">
        <f t="shared" si="85"/>
        <v>Year +3</v>
      </c>
      <c r="H318" s="117" t="str">
        <f t="shared" si="85"/>
        <v>Year +4</v>
      </c>
      <c r="I318" s="117" t="str">
        <f t="shared" si="85"/>
        <v>Year +5</v>
      </c>
      <c r="J318" s="117" t="str">
        <f t="shared" si="85"/>
        <v>Year +6</v>
      </c>
      <c r="K318" s="117"/>
      <c r="L318" s="117"/>
    </row>
    <row r="319" spans="1:12">
      <c r="A319" s="398" t="s">
        <v>356</v>
      </c>
      <c r="L319" s="113"/>
    </row>
    <row r="320" spans="1:12">
      <c r="A320" s="258" t="s">
        <v>263</v>
      </c>
    </row>
    <row r="321" spans="1:12">
      <c r="A321" s="244" t="s">
        <v>355</v>
      </c>
      <c r="B321" s="399">
        <f>'Analysis '!D159</f>
        <v>0.10240946878962953</v>
      </c>
      <c r="C321" s="399">
        <f>'Analysis '!E159</f>
        <v>-7.6319211891919481E-2</v>
      </c>
      <c r="D321" s="399">
        <f>'Analysis '!F159</f>
        <v>-0.10478944814840119</v>
      </c>
      <c r="E321" s="400">
        <f t="shared" ref="E321:J321" si="86">E14/D14-1</f>
        <v>1.0769370479931428E-2</v>
      </c>
      <c r="F321" s="400">
        <f t="shared" si="86"/>
        <v>3.5590248668620816E-2</v>
      </c>
      <c r="G321" s="400">
        <f t="shared" si="86"/>
        <v>4.4576239695074182E-2</v>
      </c>
      <c r="H321" s="400">
        <f t="shared" si="86"/>
        <v>4.6261271846559371E-2</v>
      </c>
      <c r="I321" s="400">
        <f t="shared" si="86"/>
        <v>4.1340155187071348E-2</v>
      </c>
      <c r="J321" s="400">
        <f t="shared" si="86"/>
        <v>3.0000000000000027E-2</v>
      </c>
      <c r="K321" s="142"/>
      <c r="L321" s="142"/>
    </row>
    <row r="322" spans="1:12">
      <c r="A322" s="244" t="s">
        <v>354</v>
      </c>
      <c r="B322" s="399">
        <f>'Analysis '!D180</f>
        <v>-0.19454749374514713</v>
      </c>
      <c r="C322" s="399">
        <f>'Analysis '!E180</f>
        <v>-0.59855857510099153</v>
      </c>
      <c r="D322" s="399">
        <f>'Analysis '!F180</f>
        <v>-3.5945873832666284</v>
      </c>
      <c r="E322" s="400">
        <f t="shared" ref="E322:J322" si="87">E77/D77-1</f>
        <v>-0.42768022497098557</v>
      </c>
      <c r="F322" s="400">
        <f t="shared" si="87"/>
        <v>-0.19850827315921049</v>
      </c>
      <c r="G322" s="400">
        <f t="shared" si="87"/>
        <v>-0.31580743100168351</v>
      </c>
      <c r="H322" s="400">
        <f t="shared" si="87"/>
        <v>-0.49531785759633451</v>
      </c>
      <c r="I322" s="400">
        <f t="shared" si="87"/>
        <v>-0.90763638986780493</v>
      </c>
      <c r="J322" s="400">
        <f t="shared" si="87"/>
        <v>2.9999999999979599E-2</v>
      </c>
      <c r="K322" s="142"/>
      <c r="L322" s="142"/>
    </row>
    <row r="323" spans="1:12">
      <c r="A323" s="244" t="s">
        <v>353</v>
      </c>
      <c r="B323" s="399">
        <f>'Analysis '!D262</f>
        <v>-6.9638274686258606E-2</v>
      </c>
      <c r="C323" s="399">
        <f>'Analysis '!E262</f>
        <v>9.4935156281789723E-2</v>
      </c>
      <c r="D323" s="399">
        <f>'Analysis '!F262</f>
        <v>-7.3669865141648527E-2</v>
      </c>
      <c r="E323" s="400">
        <f t="shared" ref="E323:J323" si="88">E159/D159-1</f>
        <v>1.5794823502912614E-2</v>
      </c>
      <c r="F323" s="400">
        <f t="shared" si="88"/>
        <v>1.3762185682127281E-2</v>
      </c>
      <c r="G323" s="400">
        <f t="shared" si="88"/>
        <v>1.1798407863146343E-2</v>
      </c>
      <c r="H323" s="400">
        <f t="shared" si="88"/>
        <v>9.4828772850532594E-3</v>
      </c>
      <c r="I323" s="400">
        <f t="shared" si="88"/>
        <v>7.7450330905586284E-3</v>
      </c>
      <c r="J323" s="400">
        <f t="shared" si="88"/>
        <v>3.0000000000000027E-2</v>
      </c>
      <c r="K323" s="142"/>
      <c r="L323" s="142"/>
    </row>
    <row r="324" spans="1:12">
      <c r="A324" s="244"/>
      <c r="E324" s="281"/>
      <c r="F324" s="281"/>
      <c r="G324" s="281"/>
      <c r="H324" s="281"/>
      <c r="I324" s="281"/>
      <c r="J324" s="281"/>
      <c r="K324" s="281"/>
      <c r="L324" s="281"/>
    </row>
    <row r="325" spans="1:12">
      <c r="A325" s="401" t="s">
        <v>344</v>
      </c>
      <c r="E325" s="113"/>
      <c r="F325" s="113"/>
      <c r="G325" s="113"/>
      <c r="H325" s="113"/>
      <c r="I325" s="113"/>
      <c r="J325" s="113"/>
      <c r="K325" s="113"/>
      <c r="L325" s="113"/>
    </row>
    <row r="326" spans="1:12">
      <c r="A326" s="244" t="s">
        <v>342</v>
      </c>
      <c r="B326" s="399">
        <f>'Analysis '!D18</f>
        <v>0.10187454465860579</v>
      </c>
      <c r="C326" s="399">
        <f>'Analysis '!E18</f>
        <v>7.0096655541823677E-2</v>
      </c>
      <c r="D326" s="399">
        <f>'Analysis '!F18</f>
        <v>-1.6348113140103523E-2</v>
      </c>
      <c r="E326" s="400">
        <f t="shared" ref="E326:J326" si="89">(E77+(1+(E68/E64))*-E55)/E14</f>
        <v>-9.4809101869715133E-3</v>
      </c>
      <c r="F326" s="400">
        <f t="shared" si="89"/>
        <v>-1.4816433070964582E-3</v>
      </c>
      <c r="G326" s="400">
        <f t="shared" si="89"/>
        <v>7.8175131212119969E-3</v>
      </c>
      <c r="H326" s="400">
        <f t="shared" si="89"/>
        <v>1.6918137207934093E-2</v>
      </c>
      <c r="I326" s="400">
        <f t="shared" si="89"/>
        <v>2.4682230219295723E-2</v>
      </c>
      <c r="J326" s="400">
        <f t="shared" si="89"/>
        <v>2.4682230219295661E-2</v>
      </c>
      <c r="K326" s="142"/>
      <c r="L326" s="142"/>
    </row>
    <row r="327" spans="1:12">
      <c r="A327" s="244" t="s">
        <v>337</v>
      </c>
      <c r="B327" s="402">
        <f>'Analysis '!D19</f>
        <v>0.70142168941360394</v>
      </c>
      <c r="C327" s="402">
        <f>'Analysis '!E19</f>
        <v>0.64167833921955575</v>
      </c>
      <c r="D327" s="402">
        <f>'Analysis '!F19</f>
        <v>0.5705504310797429</v>
      </c>
      <c r="E327" s="206">
        <f t="shared" ref="E327:J327" si="90">E14/((E159+D159)/2)</f>
        <v>0.59492841375652339</v>
      </c>
      <c r="F327" s="206">
        <f t="shared" si="90"/>
        <v>0.60713436085493544</v>
      </c>
      <c r="G327" s="206">
        <f t="shared" si="90"/>
        <v>0.62619931652933669</v>
      </c>
      <c r="H327" s="206">
        <f t="shared" si="90"/>
        <v>0.64827443843115906</v>
      </c>
      <c r="I327" s="206">
        <f t="shared" si="90"/>
        <v>0.66931152931050553</v>
      </c>
      <c r="J327" s="206">
        <f t="shared" si="90"/>
        <v>0.67659282310279378</v>
      </c>
      <c r="K327" s="206"/>
      <c r="L327" s="206"/>
    </row>
    <row r="328" spans="1:12">
      <c r="A328" s="403" t="s">
        <v>341</v>
      </c>
      <c r="B328" s="399">
        <f>'Analysis '!D20</f>
        <v>7.1457015222680914E-2</v>
      </c>
      <c r="C328" s="399">
        <f>'Analysis '!E20</f>
        <v>4.4979505512922686E-2</v>
      </c>
      <c r="D328" s="399">
        <f>'Analysis '!F20</f>
        <v>-9.3274229994264757E-3</v>
      </c>
      <c r="E328" s="400">
        <f t="shared" ref="E328:J328" si="91">(E77+(1+(E68/E64))*-E55)/((E159+D159)/2)</f>
        <v>-5.6404628585030262E-3</v>
      </c>
      <c r="F328" s="400">
        <f t="shared" si="91"/>
        <v>-8.9955656226900092E-4</v>
      </c>
      <c r="G328" s="400">
        <f t="shared" si="91"/>
        <v>4.895321373462074E-3</v>
      </c>
      <c r="H328" s="400">
        <f t="shared" si="91"/>
        <v>1.096759589777477E-2</v>
      </c>
      <c r="I328" s="400">
        <f t="shared" si="91"/>
        <v>1.6520101254870793E-2</v>
      </c>
      <c r="J328" s="400">
        <f t="shared" si="91"/>
        <v>1.6699819824546342E-2</v>
      </c>
      <c r="K328" s="142"/>
      <c r="L328" s="142"/>
    </row>
    <row r="329" spans="1:12">
      <c r="A329" s="403"/>
      <c r="B329" s="399"/>
      <c r="C329" s="399"/>
      <c r="D329" s="399"/>
      <c r="E329" s="400"/>
      <c r="F329" s="400"/>
      <c r="G329" s="400"/>
      <c r="H329" s="400"/>
      <c r="I329" s="400"/>
      <c r="J329" s="400"/>
      <c r="K329" s="142"/>
      <c r="L329" s="142"/>
    </row>
    <row r="330" spans="1:12">
      <c r="A330" s="401" t="s">
        <v>343</v>
      </c>
      <c r="E330" s="113"/>
      <c r="F330" s="113"/>
      <c r="G330" s="113"/>
      <c r="H330" s="113"/>
      <c r="I330" s="113"/>
      <c r="J330" s="113"/>
    </row>
    <row r="331" spans="1:12">
      <c r="A331" s="244" t="s">
        <v>342</v>
      </c>
      <c r="B331" s="399">
        <f>'Analysis '!D23</f>
        <v>0.12948839598404865</v>
      </c>
      <c r="C331" s="399">
        <f>'Analysis '!E23</f>
        <v>0.13350867573432182</v>
      </c>
      <c r="D331" s="399">
        <f>'Analysis '!F23</f>
        <v>3.1471375878412457E-2</v>
      </c>
      <c r="E331" s="400">
        <f t="shared" ref="E331:J331" si="92">(E64-E55-E45-E61)*(1+(E68/E64))/E14</f>
        <v>-2.6380910186971508E-2</v>
      </c>
      <c r="F331" s="400">
        <f t="shared" si="92"/>
        <v>-1.8381643307096455E-2</v>
      </c>
      <c r="G331" s="400">
        <f t="shared" si="92"/>
        <v>-9.0824868787880049E-3</v>
      </c>
      <c r="H331" s="400">
        <f t="shared" si="92"/>
        <v>1.8137207934089549E-5</v>
      </c>
      <c r="I331" s="400">
        <f t="shared" si="92"/>
        <v>7.7822302192957224E-3</v>
      </c>
      <c r="J331" s="400">
        <f t="shared" si="92"/>
        <v>7.7822302192957129E-3</v>
      </c>
    </row>
    <row r="332" spans="1:12">
      <c r="A332" s="244" t="s">
        <v>337</v>
      </c>
      <c r="B332" s="402">
        <f>'Analysis '!D24</f>
        <v>0.70142168941360394</v>
      </c>
      <c r="C332" s="402">
        <f>'Analysis '!E24</f>
        <v>0.64167833921955575</v>
      </c>
      <c r="D332" s="402">
        <f>'Analysis '!F24</f>
        <v>0.5705504310797429</v>
      </c>
      <c r="E332" s="206">
        <f t="shared" ref="E332:J332" si="93">E14/((E159+D159)/2)</f>
        <v>0.59492841375652339</v>
      </c>
      <c r="F332" s="206">
        <f t="shared" si="93"/>
        <v>0.60713436085493544</v>
      </c>
      <c r="G332" s="206">
        <f t="shared" si="93"/>
        <v>0.62619931652933669</v>
      </c>
      <c r="H332" s="206">
        <f t="shared" si="93"/>
        <v>0.64827443843115906</v>
      </c>
      <c r="I332" s="206">
        <f t="shared" si="93"/>
        <v>0.66931152931050553</v>
      </c>
      <c r="J332" s="206">
        <f t="shared" si="93"/>
        <v>0.67659282310279378</v>
      </c>
    </row>
    <row r="333" spans="1:12">
      <c r="A333" s="403" t="s">
        <v>341</v>
      </c>
      <c r="B333" s="399">
        <f>'Analysis '!D25</f>
        <v>9.082596947058913E-2</v>
      </c>
      <c r="C333" s="399">
        <f>'Analysis '!E25</f>
        <v>8.5669625316601827E-2</v>
      </c>
      <c r="D333" s="399">
        <f>'Analysis '!F25</f>
        <v>1.795600707410085E-2</v>
      </c>
      <c r="E333" s="400">
        <f t="shared" ref="E333:J333" si="94">(E64-E55-E45-E61)*(1+(E68/E64))/((E159+D159)/2)</f>
        <v>-1.5694753050988268E-2</v>
      </c>
      <c r="F333" s="400">
        <f t="shared" si="94"/>
        <v>-1.1160127260717408E-2</v>
      </c>
      <c r="G333" s="400">
        <f t="shared" si="94"/>
        <v>-5.6874470758837168E-3</v>
      </c>
      <c r="H333" s="400">
        <f t="shared" si="94"/>
        <v>1.1757888288181065E-5</v>
      </c>
      <c r="I333" s="400">
        <f t="shared" si="94"/>
        <v>5.2087364095232506E-3</v>
      </c>
      <c r="J333" s="400">
        <f t="shared" si="94"/>
        <v>5.2654011141091608E-3</v>
      </c>
    </row>
    <row r="334" spans="1:12">
      <c r="A334" s="403"/>
      <c r="E334" s="113"/>
      <c r="F334" s="113"/>
      <c r="G334" s="113"/>
      <c r="H334" s="113"/>
      <c r="I334" s="113"/>
      <c r="J334" s="113"/>
    </row>
    <row r="335" spans="1:12">
      <c r="A335" s="401" t="s">
        <v>340</v>
      </c>
      <c r="E335" s="113"/>
      <c r="F335" s="113"/>
      <c r="G335" s="113"/>
      <c r="H335" s="113"/>
      <c r="I335" s="113"/>
      <c r="J335" s="113"/>
    </row>
    <row r="336" spans="1:12">
      <c r="A336" s="244" t="s">
        <v>338</v>
      </c>
      <c r="B336" s="399">
        <f>'Analysis '!D28</f>
        <v>5.5606770367340679E-2</v>
      </c>
      <c r="C336" s="399">
        <f>'Analysis '!E28</f>
        <v>2.2537969040129866E-2</v>
      </c>
      <c r="D336" s="399">
        <f>'Analysis '!F28</f>
        <v>-6.5777804398776549E-2</v>
      </c>
      <c r="E336" s="400">
        <f t="shared" ref="E336:J336" si="95">(E77-E248)/E14</f>
        <v>-3.723498846173446E-2</v>
      </c>
      <c r="F336" s="400">
        <f t="shared" si="95"/>
        <v>-2.881789900924615E-2</v>
      </c>
      <c r="G336" s="400">
        <f t="shared" si="95"/>
        <v>-1.8875589552013759E-2</v>
      </c>
      <c r="H336" s="400">
        <f t="shared" si="95"/>
        <v>-9.1049656816883703E-3</v>
      </c>
      <c r="I336" s="400">
        <f t="shared" si="95"/>
        <v>-8.0758193785334732E-4</v>
      </c>
      <c r="J336" s="400">
        <f t="shared" si="95"/>
        <v>-8.0758193785333149E-4</v>
      </c>
    </row>
    <row r="337" spans="1:10">
      <c r="A337" s="244" t="s">
        <v>337</v>
      </c>
      <c r="B337" s="206">
        <f>'Analysis '!D29</f>
        <v>0.70142168941360394</v>
      </c>
      <c r="C337" s="206">
        <f>'Analysis '!E29</f>
        <v>0.64167833921955575</v>
      </c>
      <c r="D337" s="206">
        <f>'Analysis '!F29</f>
        <v>0.5705504310797429</v>
      </c>
      <c r="E337" s="206">
        <f t="shared" ref="E337:J337" si="96">E14/((E159+D159)/2)</f>
        <v>0.59492841375652339</v>
      </c>
      <c r="F337" s="206">
        <f t="shared" si="96"/>
        <v>0.60713436085493544</v>
      </c>
      <c r="G337" s="206">
        <f t="shared" si="96"/>
        <v>0.62619931652933669</v>
      </c>
      <c r="H337" s="206">
        <f t="shared" si="96"/>
        <v>0.64827443843115906</v>
      </c>
      <c r="I337" s="206">
        <f t="shared" si="96"/>
        <v>0.66931152931050553</v>
      </c>
      <c r="J337" s="206">
        <f t="shared" si="96"/>
        <v>0.67659282310279378</v>
      </c>
    </row>
    <row r="338" spans="1:10">
      <c r="A338" s="244" t="s">
        <v>336</v>
      </c>
      <c r="B338" s="206">
        <f>'Analysis '!D30</f>
        <v>2.3542581967294209</v>
      </c>
      <c r="C338" s="206">
        <f>'Analysis '!E30</f>
        <v>2.4401595222457697</v>
      </c>
      <c r="D338" s="206">
        <f>'Analysis '!F30</f>
        <v>2.6926351253575946</v>
      </c>
      <c r="E338" s="206">
        <f t="shared" ref="E338:J338" si="97">((E159+D159)/2)/((E227+D227)/2)</f>
        <v>2.8137471526842388</v>
      </c>
      <c r="F338" s="206">
        <f t="shared" si="97"/>
        <v>2.8402094859470193</v>
      </c>
      <c r="G338" s="206">
        <f t="shared" si="97"/>
        <v>2.8779119742322581</v>
      </c>
      <c r="H338" s="206">
        <f t="shared" si="97"/>
        <v>2.9287965073807771</v>
      </c>
      <c r="I338" s="206">
        <f t="shared" si="97"/>
        <v>2.9939189632590724</v>
      </c>
      <c r="J338" s="206">
        <f t="shared" si="97"/>
        <v>3.0301764022325424</v>
      </c>
    </row>
    <row r="339" spans="1:10">
      <c r="A339" s="403" t="s">
        <v>335</v>
      </c>
      <c r="B339" s="399">
        <f>'Analysis '!D31</f>
        <v>9.1825003644163433E-2</v>
      </c>
      <c r="C339" s="399">
        <f>'Analysis '!E31</f>
        <v>3.5289895795952361E-2</v>
      </c>
      <c r="D339" s="399">
        <f>'Analysis '!F31</f>
        <v>-0.10105339710362177</v>
      </c>
      <c r="E339" s="400">
        <f t="shared" ref="E339:J339" si="98">(E77-E248)/((E227+D227)/2)</f>
        <v>-6.2330556365366177E-2</v>
      </c>
      <c r="F339" s="400">
        <f t="shared" si="98"/>
        <v>-4.9693261453758665E-2</v>
      </c>
      <c r="G339" s="400">
        <f t="shared" si="98"/>
        <v>-3.4016577859813692E-2</v>
      </c>
      <c r="H339" s="400">
        <f t="shared" si="98"/>
        <v>-1.7287269751638586E-2</v>
      </c>
      <c r="I339" s="400">
        <f t="shared" si="98"/>
        <v>-1.6182847598978868E-3</v>
      </c>
      <c r="J339" s="400">
        <f t="shared" si="98"/>
        <v>-1.6557009408643361E-3</v>
      </c>
    </row>
    <row r="340" spans="1:10">
      <c r="A340" s="403"/>
      <c r="B340" s="399"/>
      <c r="C340" s="399"/>
      <c r="D340" s="399"/>
      <c r="E340" s="400"/>
      <c r="F340" s="400"/>
      <c r="G340" s="400"/>
      <c r="H340" s="400"/>
      <c r="I340" s="400"/>
      <c r="J340" s="400"/>
    </row>
    <row r="341" spans="1:10">
      <c r="A341" s="401" t="s">
        <v>339</v>
      </c>
      <c r="E341" s="113"/>
      <c r="F341" s="113"/>
      <c r="G341" s="113"/>
      <c r="H341" s="113"/>
      <c r="I341" s="113"/>
      <c r="J341" s="113"/>
    </row>
    <row r="342" spans="1:10">
      <c r="A342" s="244" t="s">
        <v>338</v>
      </c>
      <c r="B342" s="399">
        <f>'Analysis '!D34</f>
        <v>8.3220621692783547E-2</v>
      </c>
      <c r="C342" s="399">
        <f>'Analysis '!E34</f>
        <v>8.5949989232628005E-2</v>
      </c>
      <c r="D342" s="399">
        <f>'Analysis '!F34</f>
        <v>-1.7958315380260569E-2</v>
      </c>
      <c r="E342" s="400">
        <f t="shared" ref="E342:J342" si="99">(E77-E248-((1+(E68/E64))*(E45+E61))-E71-E74)/E14</f>
        <v>-5.4134988461734458E-2</v>
      </c>
      <c r="F342" s="400">
        <f t="shared" si="99"/>
        <v>-4.5717899009246152E-2</v>
      </c>
      <c r="G342" s="400">
        <f t="shared" si="99"/>
        <v>-3.5775589552013758E-2</v>
      </c>
      <c r="H342" s="400">
        <f t="shared" si="99"/>
        <v>-2.600496568168837E-2</v>
      </c>
      <c r="I342" s="400">
        <f t="shared" si="99"/>
        <v>-1.7707581937853347E-2</v>
      </c>
      <c r="J342" s="400">
        <f t="shared" si="99"/>
        <v>-1.7707581937853281E-2</v>
      </c>
    </row>
    <row r="343" spans="1:10">
      <c r="A343" s="244" t="s">
        <v>337</v>
      </c>
      <c r="B343" s="206">
        <f>'Analysis '!D35</f>
        <v>0.70142168941360394</v>
      </c>
      <c r="C343" s="206">
        <f>'Analysis '!E35</f>
        <v>0.64167833921955575</v>
      </c>
      <c r="D343" s="206">
        <f>'Analysis '!F35</f>
        <v>0.5705504310797429</v>
      </c>
      <c r="E343" s="206">
        <f t="shared" ref="E343:J343" si="100">E14/((E159+D159)/2)</f>
        <v>0.59492841375652339</v>
      </c>
      <c r="F343" s="206">
        <f t="shared" si="100"/>
        <v>0.60713436085493544</v>
      </c>
      <c r="G343" s="206">
        <f t="shared" si="100"/>
        <v>0.62619931652933669</v>
      </c>
      <c r="H343" s="206">
        <f t="shared" si="100"/>
        <v>0.64827443843115906</v>
      </c>
      <c r="I343" s="206">
        <f t="shared" si="100"/>
        <v>0.66931152931050553</v>
      </c>
      <c r="J343" s="206">
        <f t="shared" si="100"/>
        <v>0.67659282310279378</v>
      </c>
    </row>
    <row r="344" spans="1:10">
      <c r="A344" s="244" t="s">
        <v>336</v>
      </c>
      <c r="B344" s="206">
        <f>'Analysis '!D36</f>
        <v>2.3542581967294209</v>
      </c>
      <c r="C344" s="206">
        <f>'Analysis '!E36</f>
        <v>2.4401595222457697</v>
      </c>
      <c r="D344" s="206">
        <f>'Analysis '!F36</f>
        <v>2.6926351253575946</v>
      </c>
      <c r="E344" s="206">
        <f t="shared" ref="E344:J344" si="101">((E159+D159)/2)/((E227+D227)/2)</f>
        <v>2.8137471526842388</v>
      </c>
      <c r="F344" s="206">
        <f t="shared" si="101"/>
        <v>2.8402094859470193</v>
      </c>
      <c r="G344" s="206">
        <f t="shared" si="101"/>
        <v>2.8779119742322581</v>
      </c>
      <c r="H344" s="206">
        <f t="shared" si="101"/>
        <v>2.9287965073807771</v>
      </c>
      <c r="I344" s="206">
        <f t="shared" si="101"/>
        <v>2.9939189632590724</v>
      </c>
      <c r="J344" s="206">
        <f t="shared" si="101"/>
        <v>3.0301764022325424</v>
      </c>
    </row>
    <row r="345" spans="1:10">
      <c r="A345" s="403" t="s">
        <v>335</v>
      </c>
      <c r="B345" s="399">
        <f>'Analysis '!D37</f>
        <v>0.13742452294437851</v>
      </c>
      <c r="C345" s="399">
        <f>'Analysis '!E37</f>
        <v>0.13458027909622117</v>
      </c>
      <c r="D345" s="399">
        <f>'Analysis '!F37</f>
        <v>-2.7589074947404348E-2</v>
      </c>
      <c r="E345" s="400">
        <f t="shared" ref="E345:J345" si="102">(E77-E248-((1+(E68/E64))*(E45+E61))-E71-E74)/((E227+D227)/2)</f>
        <v>-9.0620786766732603E-2</v>
      </c>
      <c r="F345" s="400">
        <f t="shared" si="102"/>
        <v>-7.8835431682721863E-2</v>
      </c>
      <c r="G345" s="400">
        <f t="shared" si="102"/>
        <v>-6.4472853900713278E-2</v>
      </c>
      <c r="H345" s="400">
        <f t="shared" si="102"/>
        <v>-4.9374689849252466E-2</v>
      </c>
      <c r="I345" s="400">
        <f t="shared" si="102"/>
        <v>-3.5483594470725924E-2</v>
      </c>
      <c r="J345" s="400">
        <f t="shared" si="102"/>
        <v>-3.6304006690477335E-2</v>
      </c>
    </row>
    <row r="346" spans="1:10">
      <c r="A346" s="403"/>
      <c r="E346" s="113"/>
      <c r="F346" s="113"/>
      <c r="G346" s="113"/>
      <c r="H346" s="113"/>
      <c r="I346" s="113"/>
      <c r="J346" s="113"/>
    </row>
    <row r="347" spans="1:10">
      <c r="A347" s="258" t="s">
        <v>334</v>
      </c>
      <c r="E347" s="113"/>
      <c r="F347" s="113"/>
      <c r="G347" s="113"/>
      <c r="H347" s="113"/>
      <c r="I347" s="113"/>
      <c r="J347" s="113"/>
    </row>
    <row r="348" spans="1:10">
      <c r="A348" s="244" t="s">
        <v>333</v>
      </c>
      <c r="B348" s="399">
        <f>'Analysis '!D40</f>
        <v>0.71985080779161026</v>
      </c>
      <c r="C348" s="399">
        <f>'Analysis '!E40</f>
        <v>0.72598205783938197</v>
      </c>
      <c r="D348" s="399">
        <f>'Analysis '!F40</f>
        <v>0.71491035700691519</v>
      </c>
      <c r="E348" s="400">
        <f t="shared" ref="E348:J348" si="103">E20/E14</f>
        <v>0.71499999999999997</v>
      </c>
      <c r="F348" s="400">
        <f t="shared" si="103"/>
        <v>0.71499999999999997</v>
      </c>
      <c r="G348" s="400">
        <f t="shared" si="103"/>
        <v>0.71499999999999997</v>
      </c>
      <c r="H348" s="400">
        <f t="shared" si="103"/>
        <v>0.71500000000000008</v>
      </c>
      <c r="I348" s="400">
        <f t="shared" si="103"/>
        <v>0.71500000000000008</v>
      </c>
      <c r="J348" s="400">
        <f t="shared" si="103"/>
        <v>0.71499999999999997</v>
      </c>
    </row>
    <row r="349" spans="1:10">
      <c r="A349" s="244" t="s">
        <v>352</v>
      </c>
      <c r="B349" s="399">
        <f>'Analysis '!D41</f>
        <v>0.10220257419668193</v>
      </c>
      <c r="C349" s="399">
        <f>'Analysis '!E41</f>
        <v>6.2288166009525449E-2</v>
      </c>
      <c r="D349" s="399">
        <f>'Analysis '!F41</f>
        <v>-4.7339113095663632E-2</v>
      </c>
      <c r="E349" s="400">
        <f t="shared" ref="E349:J349" si="104">E48/E14</f>
        <v>-2.1975066127381128E-2</v>
      </c>
      <c r="F349" s="400">
        <f t="shared" si="104"/>
        <v>-1.2438052865078261E-2</v>
      </c>
      <c r="G349" s="400">
        <f t="shared" si="104"/>
        <v>-1.2719613337748134E-3</v>
      </c>
      <c r="H349" s="400">
        <f t="shared" si="104"/>
        <v>9.6733403177390095E-3</v>
      </c>
      <c r="I349" s="400">
        <f t="shared" si="104"/>
        <v>1.8985839422243404E-2</v>
      </c>
      <c r="J349" s="400">
        <f t="shared" si="104"/>
        <v>1.8985839422243415E-2</v>
      </c>
    </row>
    <row r="350" spans="1:10">
      <c r="A350" s="244"/>
      <c r="E350" s="281"/>
      <c r="F350" s="281"/>
      <c r="G350" s="281"/>
      <c r="H350" s="281"/>
      <c r="I350" s="281"/>
      <c r="J350" s="281"/>
    </row>
    <row r="351" spans="1:10">
      <c r="A351" s="258" t="s">
        <v>305</v>
      </c>
      <c r="E351" s="281"/>
      <c r="F351" s="281"/>
      <c r="G351" s="400"/>
      <c r="H351" s="400"/>
      <c r="I351" s="400"/>
      <c r="J351" s="400"/>
    </row>
    <row r="352" spans="1:10">
      <c r="A352" s="244" t="s">
        <v>351</v>
      </c>
      <c r="B352" s="206">
        <f>'Analysis '!D82</f>
        <v>12.085421896118941</v>
      </c>
      <c r="C352" s="206">
        <f>'Analysis '!E82</f>
        <v>11.487410027271237</v>
      </c>
      <c r="D352" s="206">
        <f>'Analysis '!F82</f>
        <v>10.816098139508153</v>
      </c>
      <c r="E352" s="206">
        <f t="shared" ref="E352:J352" si="105">E14/((E114+D114)/2)</f>
        <v>12.247511173439404</v>
      </c>
      <c r="F352" s="206">
        <f t="shared" si="105"/>
        <v>12.434708962425319</v>
      </c>
      <c r="G352" s="206">
        <f t="shared" si="105"/>
        <v>12.734315225169489</v>
      </c>
      <c r="H352" s="206">
        <f t="shared" si="105"/>
        <v>13.062177297628265</v>
      </c>
      <c r="I352" s="206">
        <f t="shared" si="105"/>
        <v>13.335460523718883</v>
      </c>
      <c r="J352" s="206">
        <f t="shared" si="105"/>
        <v>13.399864370544529</v>
      </c>
    </row>
    <row r="353" spans="1:10">
      <c r="A353" s="244" t="s">
        <v>350</v>
      </c>
      <c r="B353" s="206">
        <f>'Analysis '!D84</f>
        <v>1.2755046927652671</v>
      </c>
      <c r="C353" s="206">
        <f>'Analysis '!E84</f>
        <v>1.1046075430388309</v>
      </c>
      <c r="D353" s="206">
        <f>'Analysis '!F84</f>
        <v>0.97354647470527012</v>
      </c>
      <c r="E353" s="206">
        <f t="shared" ref="E353:J353" si="106">-E17/((E117+D117)/2)</f>
        <v>0.95888742363816992</v>
      </c>
      <c r="F353" s="206">
        <f t="shared" si="106"/>
        <v>0.97354359361829979</v>
      </c>
      <c r="G353" s="206">
        <f t="shared" si="106"/>
        <v>0.99700049627552234</v>
      </c>
      <c r="H353" s="206">
        <f t="shared" si="106"/>
        <v>1.0226696149655674</v>
      </c>
      <c r="I353" s="206">
        <f t="shared" si="106"/>
        <v>1.0440656230915162</v>
      </c>
      <c r="J353" s="206">
        <f t="shared" si="106"/>
        <v>1.0491079568261414</v>
      </c>
    </row>
    <row r="354" spans="1:10">
      <c r="A354" s="244" t="s">
        <v>349</v>
      </c>
      <c r="B354" s="206">
        <f>'Analysis '!D89</f>
        <v>6.6160066381620322</v>
      </c>
      <c r="C354" s="206">
        <f>'Analysis '!E89</f>
        <v>5.5734916296714045</v>
      </c>
      <c r="D354" s="206">
        <f>'Analysis '!F89</f>
        <v>4.7552382658709922</v>
      </c>
      <c r="E354" s="206">
        <f t="shared" ref="E354:J354" si="107">E14/((E138+E141+D138+D141)/2)</f>
        <v>2.2587574599335256</v>
      </c>
      <c r="F354" s="206">
        <f t="shared" si="107"/>
        <v>2.1466967353095372</v>
      </c>
      <c r="G354" s="206">
        <f t="shared" si="107"/>
        <v>2.0711157101503397</v>
      </c>
      <c r="H354" s="206">
        <f t="shared" si="107"/>
        <v>2.0124308199326455</v>
      </c>
      <c r="I354" s="206">
        <f t="shared" si="107"/>
        <v>1.9551648326343229</v>
      </c>
      <c r="J354" s="206">
        <f t="shared" si="107"/>
        <v>1.9194116203060332</v>
      </c>
    </row>
    <row r="355" spans="1:10">
      <c r="A355" s="244"/>
      <c r="E355" s="113"/>
      <c r="F355" s="113"/>
      <c r="G355" s="281"/>
      <c r="H355" s="281"/>
      <c r="I355" s="281"/>
      <c r="J355" s="281"/>
    </row>
    <row r="356" spans="1:10">
      <c r="A356" s="258" t="s">
        <v>309</v>
      </c>
      <c r="E356" s="113"/>
      <c r="F356" s="113"/>
      <c r="G356" s="281"/>
      <c r="H356" s="281"/>
      <c r="I356" s="281"/>
      <c r="J356" s="281"/>
    </row>
    <row r="357" spans="1:10">
      <c r="A357" s="244" t="s">
        <v>308</v>
      </c>
      <c r="B357" s="206">
        <f>'Analysis '!D75</f>
        <v>2.0021857382348571</v>
      </c>
      <c r="C357" s="206">
        <f>'Analysis '!E75</f>
        <v>0.71454258712227237</v>
      </c>
      <c r="D357" s="206">
        <f>'Analysis '!F75</f>
        <v>0.7061887602573953</v>
      </c>
      <c r="E357" s="206">
        <f t="shared" ref="E357:J357" si="108">E132/E188</f>
        <v>0.70830714794250349</v>
      </c>
      <c r="F357" s="206">
        <f t="shared" si="108"/>
        <v>0.71046904647005737</v>
      </c>
      <c r="G357" s="206">
        <f t="shared" si="108"/>
        <v>0.71265365000529124</v>
      </c>
      <c r="H357" s="206">
        <f t="shared" si="108"/>
        <v>0.71420453898640235</v>
      </c>
      <c r="I357" s="206">
        <f t="shared" si="108"/>
        <v>0.71579123500807273</v>
      </c>
      <c r="J357" s="206">
        <f t="shared" si="108"/>
        <v>0.71579123500807273</v>
      </c>
    </row>
    <row r="358" spans="1:10">
      <c r="A358" s="244" t="s">
        <v>307</v>
      </c>
      <c r="B358" s="206">
        <f>'Analysis '!D76</f>
        <v>1.1455531898338414</v>
      </c>
      <c r="C358" s="206">
        <f>'Analysis '!E76</f>
        <v>0.34042612938963002</v>
      </c>
      <c r="D358" s="206">
        <f>'Analysis '!F76</f>
        <v>0.30023309936581344</v>
      </c>
      <c r="E358" s="206">
        <f t="shared" ref="E358:J358" si="109">(E108+E111+E114)/E188</f>
        <v>0.30240525365984389</v>
      </c>
      <c r="F358" s="206">
        <f t="shared" si="109"/>
        <v>0.30459870358420799</v>
      </c>
      <c r="G358" s="206">
        <f t="shared" si="109"/>
        <v>0.3068136579195952</v>
      </c>
      <c r="H358" s="206">
        <f t="shared" si="109"/>
        <v>0.3090503274935647</v>
      </c>
      <c r="I358" s="206">
        <f t="shared" si="109"/>
        <v>0.31130892520061232</v>
      </c>
      <c r="J358" s="206">
        <f t="shared" si="109"/>
        <v>0.31130892520061232</v>
      </c>
    </row>
    <row r="359" spans="1:10">
      <c r="A359" s="244"/>
      <c r="E359" s="281"/>
      <c r="F359" s="281"/>
      <c r="G359" s="281"/>
      <c r="H359" s="281"/>
      <c r="I359" s="281"/>
      <c r="J359" s="281"/>
    </row>
    <row r="360" spans="1:10">
      <c r="A360" s="258" t="s">
        <v>291</v>
      </c>
      <c r="E360" s="281"/>
      <c r="F360" s="281"/>
      <c r="G360" s="281"/>
      <c r="H360" s="281"/>
      <c r="I360" s="281"/>
      <c r="J360" s="281"/>
    </row>
    <row r="361" spans="1:10">
      <c r="A361" s="244" t="s">
        <v>290</v>
      </c>
      <c r="B361" s="399">
        <f>'Analysis '!D96</f>
        <v>0.54925681135157445</v>
      </c>
      <c r="C361" s="399">
        <f>'Analysis '!E96</f>
        <v>0.6145175795787442</v>
      </c>
      <c r="D361" s="399">
        <f>'Analysis '!F96</f>
        <v>0.64269523698720976</v>
      </c>
      <c r="E361" s="400">
        <f t="shared" ref="E361:J361" si="110">E206/E159</f>
        <v>0.6453558598244562</v>
      </c>
      <c r="F361" s="400">
        <f t="shared" si="110"/>
        <v>0.649326820745461</v>
      </c>
      <c r="G361" s="400">
        <f t="shared" si="110"/>
        <v>0.6545902345894512</v>
      </c>
      <c r="H361" s="400">
        <f t="shared" si="110"/>
        <v>0.66140996970343169</v>
      </c>
      <c r="I361" s="400">
        <f t="shared" si="110"/>
        <v>0.66945323166566828</v>
      </c>
      <c r="J361" s="400">
        <f t="shared" si="110"/>
        <v>0.66945323166566828</v>
      </c>
    </row>
    <row r="362" spans="1:10">
      <c r="A362" s="244" t="s">
        <v>289</v>
      </c>
      <c r="B362" s="400">
        <f>'Analysis '!D97</f>
        <v>1.2185582060564166</v>
      </c>
      <c r="C362" s="400">
        <f>'Analysis '!E97</f>
        <v>1.5941520210109668</v>
      </c>
      <c r="D362" s="400">
        <f>'Analysis '!F97</f>
        <v>1.7987312331579624</v>
      </c>
      <c r="E362" s="400">
        <f t="shared" ref="E362:J362" si="111">E206/E227</f>
        <v>1.8226159692314639</v>
      </c>
      <c r="F362" s="400">
        <f t="shared" si="111"/>
        <v>1.8545926003891477</v>
      </c>
      <c r="G362" s="400">
        <f t="shared" si="111"/>
        <v>1.8981287718331501</v>
      </c>
      <c r="H362" s="400">
        <f t="shared" si="111"/>
        <v>1.9565697312626822</v>
      </c>
      <c r="I362" s="400">
        <f t="shared" si="111"/>
        <v>2.0286088185838791</v>
      </c>
      <c r="J362" s="400">
        <f t="shared" si="111"/>
        <v>2.0285153350825031</v>
      </c>
    </row>
    <row r="363" spans="1:10">
      <c r="A363" s="244" t="s">
        <v>348</v>
      </c>
      <c r="B363" s="206">
        <f>'Analysis '!D101</f>
        <v>2.2853639632542597</v>
      </c>
      <c r="C363" s="206">
        <f>'Analysis '!E101</f>
        <v>1.6569530315476964</v>
      </c>
      <c r="D363" s="206">
        <f>'Analysis '!F101</f>
        <v>-0.1673385539749471</v>
      </c>
      <c r="E363" s="206">
        <f t="shared" ref="E363:J363" si="112">(E64-E55)/(-E55)</f>
        <v>-0.34160421733740626</v>
      </c>
      <c r="F363" s="206">
        <f t="shared" si="112"/>
        <v>-5.4200667539846856E-2</v>
      </c>
      <c r="G363" s="206">
        <f t="shared" si="112"/>
        <v>0.29286640885899234</v>
      </c>
      <c r="H363" s="206">
        <f t="shared" si="112"/>
        <v>0.6501199061346653</v>
      </c>
      <c r="I363" s="206">
        <f t="shared" si="112"/>
        <v>0.96831746217373171</v>
      </c>
      <c r="J363" s="206">
        <f t="shared" si="112"/>
        <v>0.96831746217373227</v>
      </c>
    </row>
  </sheetData>
  <printOptions headings="1" gridLines="1"/>
  <pageMargins left="0.75" right="0.75" top="1" bottom="1" header="0.5" footer="0.5"/>
  <pageSetup scale="79" orientation="landscape" r:id="rId1"/>
  <headerFooter alignWithMargins="0"/>
  <rowBreaks count="10" manualBreakCount="10">
    <brk id="23" max="9" man="1"/>
    <brk id="51" max="9" man="1"/>
    <brk id="67" max="9" man="1"/>
    <brk id="93" max="9" man="1"/>
    <brk id="134" max="9" man="1"/>
    <brk id="162" max="9" man="1"/>
    <brk id="208" max="9" man="1"/>
    <brk id="252" max="9" man="1"/>
    <brk id="310" max="9" man="1"/>
    <brk id="346"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3EAB3-633C-44E5-8410-3EE6998A403E}">
  <sheetPr>
    <tabColor rgb="FF4472C4"/>
  </sheetPr>
  <dimension ref="A1:L266"/>
  <sheetViews>
    <sheetView topLeftCell="C231" zoomScale="124" zoomScaleNormal="124" workbookViewId="0">
      <selection activeCell="J8" sqref="J8"/>
    </sheetView>
  </sheetViews>
  <sheetFormatPr defaultColWidth="9.140625" defaultRowHeight="12.75"/>
  <cols>
    <col min="1" max="3" width="11.7109375" style="130" customWidth="1"/>
    <col min="4" max="4" width="13" style="130" customWidth="1"/>
    <col min="5" max="5" width="13.42578125" style="130" bestFit="1" customWidth="1"/>
    <col min="6" max="6" width="16.28515625" style="130" bestFit="1" customWidth="1"/>
    <col min="7" max="7" width="11.7109375" style="130" customWidth="1"/>
    <col min="8" max="9" width="13.42578125" style="130" bestFit="1" customWidth="1"/>
    <col min="10" max="10" width="13.140625" style="130" bestFit="1" customWidth="1"/>
    <col min="11" max="13" width="11.7109375" style="130" customWidth="1"/>
    <col min="14" max="16384" width="9.140625" style="130"/>
  </cols>
  <sheetData>
    <row r="1" spans="1:10">
      <c r="A1" s="159"/>
    </row>
    <row r="2" spans="1:10">
      <c r="A2" s="159" t="s">
        <v>559</v>
      </c>
    </row>
    <row r="3" spans="1:10">
      <c r="A3" s="404" t="s">
        <v>558</v>
      </c>
      <c r="B3" s="405"/>
      <c r="C3" s="405"/>
      <c r="D3" s="405"/>
      <c r="E3" s="406"/>
      <c r="F3" s="407">
        <f>E77</f>
        <v>-2.4621217904279264</v>
      </c>
    </row>
    <row r="4" spans="1:10">
      <c r="A4" s="408" t="s">
        <v>557</v>
      </c>
      <c r="B4" s="409"/>
      <c r="C4" s="409"/>
      <c r="D4" s="409"/>
      <c r="E4" s="410"/>
      <c r="F4" s="411">
        <f>E107</f>
        <v>-2.462225887602155</v>
      </c>
    </row>
    <row r="5" spans="1:10">
      <c r="A5" s="408" t="s">
        <v>556</v>
      </c>
      <c r="B5" s="409"/>
      <c r="C5" s="409"/>
      <c r="D5" s="409"/>
      <c r="E5" s="410"/>
      <c r="F5" s="411">
        <f>E164</f>
        <v>-2.4591659853815488</v>
      </c>
    </row>
    <row r="6" spans="1:10">
      <c r="A6" s="408" t="s">
        <v>555</v>
      </c>
      <c r="B6" s="409"/>
      <c r="C6" s="409"/>
      <c r="D6" s="409"/>
      <c r="E6" s="410"/>
      <c r="F6" s="411">
        <f>E225</f>
        <v>-2.4591659853815475</v>
      </c>
    </row>
    <row r="7" spans="1:10">
      <c r="A7" s="412" t="s">
        <v>554</v>
      </c>
      <c r="B7" s="413"/>
      <c r="C7" s="413"/>
      <c r="D7" s="413"/>
      <c r="E7" s="414"/>
      <c r="F7" s="415">
        <f>E261</f>
        <v>-4.2351882732691344</v>
      </c>
      <c r="I7" s="622"/>
      <c r="J7" s="622"/>
    </row>
    <row r="8" spans="1:10">
      <c r="A8" s="974"/>
      <c r="B8" s="170"/>
      <c r="C8" s="170"/>
      <c r="D8" s="170"/>
      <c r="E8" s="416"/>
      <c r="I8" s="622"/>
    </row>
    <row r="9" spans="1:10">
      <c r="A9" s="975"/>
    </row>
    <row r="11" spans="1:10" ht="13.5" thickBot="1"/>
    <row r="12" spans="1:10" ht="13.5" thickTop="1">
      <c r="A12" s="417" t="s">
        <v>358</v>
      </c>
      <c r="B12" s="338"/>
      <c r="C12" s="418" t="s">
        <v>553</v>
      </c>
      <c r="D12" s="337"/>
      <c r="E12" s="337"/>
      <c r="F12" s="337"/>
      <c r="G12" s="337"/>
      <c r="H12" s="337" t="s">
        <v>552</v>
      </c>
      <c r="I12" s="337"/>
      <c r="J12" s="419"/>
    </row>
    <row r="13" spans="1:10">
      <c r="A13" s="420" t="str">
        <f>'Data '!$A$2</f>
        <v>Analyst Name:</v>
      </c>
      <c r="B13" s="421"/>
      <c r="C13" s="293" t="str">
        <f>'Data '!$B$2</f>
        <v>ARYAN Shrenick kothari</v>
      </c>
      <c r="D13" s="295"/>
      <c r="E13" s="290"/>
      <c r="F13" s="294"/>
      <c r="G13" s="294"/>
      <c r="H13" s="294"/>
      <c r="I13" s="294"/>
      <c r="J13" s="422"/>
    </row>
    <row r="14" spans="1:10">
      <c r="A14" s="420" t="str">
        <f>'Data '!$A$3</f>
        <v>Company Name:</v>
      </c>
      <c r="B14" s="423"/>
      <c r="C14" s="293" t="str">
        <f>'Data '!$B$3</f>
        <v>Salvatore Ferragamo Group</v>
      </c>
      <c r="D14" s="290"/>
      <c r="E14" s="307"/>
      <c r="F14" s="294"/>
      <c r="G14" s="294"/>
      <c r="H14" s="294"/>
      <c r="I14" s="294"/>
      <c r="J14" s="422"/>
    </row>
    <row r="15" spans="1:10" ht="13.5" thickBot="1">
      <c r="A15" s="424"/>
      <c r="B15" s="179"/>
      <c r="C15" s="179"/>
      <c r="D15" s="179"/>
      <c r="E15" s="179"/>
      <c r="F15" s="179"/>
      <c r="G15" s="179"/>
      <c r="H15" s="179"/>
      <c r="I15" s="179"/>
      <c r="J15" s="425"/>
    </row>
    <row r="16" spans="1:10" ht="13.5" thickTop="1">
      <c r="A16" s="426" t="s">
        <v>551</v>
      </c>
      <c r="B16" s="110"/>
      <c r="C16" s="110"/>
      <c r="D16" s="427"/>
      <c r="E16" s="428"/>
      <c r="F16" s="428"/>
      <c r="G16" s="428"/>
      <c r="H16" s="428"/>
      <c r="I16" s="428"/>
      <c r="J16" s="429"/>
    </row>
    <row r="17" spans="1:12">
      <c r="A17" s="424"/>
      <c r="B17" s="179"/>
      <c r="C17" s="179"/>
      <c r="D17" s="179"/>
      <c r="E17" s="179"/>
      <c r="F17" s="179"/>
      <c r="G17" s="179"/>
      <c r="H17" s="179"/>
      <c r="I17" s="179"/>
      <c r="J17" s="430"/>
      <c r="L17" s="113"/>
    </row>
    <row r="18" spans="1:12">
      <c r="A18" s="424" t="s">
        <v>453</v>
      </c>
      <c r="B18" s="179"/>
      <c r="C18" s="179"/>
      <c r="D18" s="179"/>
      <c r="F18" s="623">
        <f>G18</f>
        <v>6.82</v>
      </c>
      <c r="G18" s="971">
        <v>6.82</v>
      </c>
      <c r="H18" s="179" t="s">
        <v>819</v>
      </c>
      <c r="I18" s="179"/>
      <c r="J18" s="430"/>
    </row>
    <row r="19" spans="1:12">
      <c r="A19" s="424" t="s">
        <v>550</v>
      </c>
      <c r="B19" s="179"/>
      <c r="C19" s="179"/>
      <c r="D19" s="179"/>
      <c r="E19" s="179"/>
      <c r="F19" s="1000">
        <f>'Data '!$G$140</f>
        <v>168790</v>
      </c>
      <c r="G19" s="179"/>
      <c r="H19" s="179"/>
      <c r="I19" s="179"/>
      <c r="J19" s="430"/>
    </row>
    <row r="20" spans="1:12">
      <c r="A20" s="424" t="s">
        <v>549</v>
      </c>
      <c r="B20" s="179"/>
      <c r="C20" s="179"/>
      <c r="D20" s="179"/>
      <c r="E20" s="179"/>
      <c r="F20" s="949">
        <f>F18*F19</f>
        <v>1151147.8</v>
      </c>
      <c r="G20" s="431"/>
      <c r="H20" s="179"/>
      <c r="I20" s="179"/>
      <c r="J20" s="430"/>
    </row>
    <row r="21" spans="1:12">
      <c r="A21" s="424"/>
      <c r="B21" s="179"/>
      <c r="C21" s="179"/>
      <c r="D21" s="179"/>
      <c r="E21" s="179"/>
      <c r="F21" s="432"/>
      <c r="G21" s="179"/>
      <c r="H21" s="179"/>
      <c r="I21" s="179"/>
      <c r="J21" s="430"/>
    </row>
    <row r="22" spans="1:12">
      <c r="A22" s="424" t="s">
        <v>548</v>
      </c>
      <c r="B22" s="179"/>
      <c r="C22" s="179"/>
      <c r="D22" s="179"/>
      <c r="E22" s="179"/>
      <c r="F22" s="433">
        <f>'Forecasts '!$J$8</f>
        <v>0.03</v>
      </c>
      <c r="G22" s="179"/>
      <c r="H22" s="179"/>
      <c r="I22" s="179"/>
      <c r="J22" s="430"/>
      <c r="L22" s="113"/>
    </row>
    <row r="23" spans="1:12">
      <c r="A23" s="424" t="s">
        <v>547</v>
      </c>
      <c r="B23" s="179"/>
      <c r="C23" s="179"/>
      <c r="D23" s="179"/>
      <c r="E23" s="179"/>
      <c r="F23" s="434">
        <v>0.03</v>
      </c>
      <c r="G23" s="179"/>
      <c r="H23" s="179"/>
      <c r="I23" s="179"/>
      <c r="J23" s="430"/>
    </row>
    <row r="24" spans="1:12">
      <c r="A24" s="424" t="s">
        <v>546</v>
      </c>
      <c r="B24" s="179"/>
      <c r="C24" s="179"/>
      <c r="D24" s="179"/>
      <c r="E24" s="179"/>
      <c r="F24" s="179"/>
      <c r="G24" s="179"/>
      <c r="H24" s="179"/>
      <c r="I24" s="435"/>
      <c r="J24" s="430"/>
    </row>
    <row r="25" spans="1:12">
      <c r="A25" s="436"/>
      <c r="B25" s="179"/>
      <c r="C25" s="179"/>
      <c r="D25" s="179"/>
      <c r="E25" s="179"/>
      <c r="F25" s="179"/>
      <c r="G25" s="179"/>
      <c r="H25" s="179"/>
      <c r="I25" s="179"/>
      <c r="J25" s="430"/>
    </row>
    <row r="26" spans="1:12">
      <c r="A26" s="424" t="s">
        <v>545</v>
      </c>
      <c r="B26" s="179"/>
      <c r="C26" s="179"/>
      <c r="D26" s="179"/>
      <c r="E26" s="179"/>
      <c r="F26" s="179"/>
      <c r="G26" s="179"/>
      <c r="H26" s="179"/>
      <c r="I26" s="179"/>
      <c r="J26" s="430"/>
      <c r="L26" s="113"/>
    </row>
    <row r="27" spans="1:12">
      <c r="A27" s="424" t="s">
        <v>544</v>
      </c>
      <c r="B27" s="179"/>
      <c r="C27" s="179"/>
      <c r="D27" s="179"/>
      <c r="E27" s="179"/>
      <c r="F27" s="437">
        <f>BETA!H262</f>
        <v>0.82449761276794331</v>
      </c>
      <c r="G27" s="179"/>
      <c r="H27" s="179"/>
      <c r="I27" s="179"/>
      <c r="J27" s="430"/>
    </row>
    <row r="28" spans="1:12">
      <c r="A28" s="424" t="s">
        <v>543</v>
      </c>
      <c r="B28" s="179"/>
      <c r="C28" s="179"/>
      <c r="D28" s="179"/>
      <c r="E28" s="179"/>
      <c r="F28" s="438">
        <v>3.15E-2</v>
      </c>
      <c r="G28" s="179"/>
      <c r="H28" s="179"/>
      <c r="I28" s="179"/>
      <c r="J28" s="430"/>
    </row>
    <row r="29" spans="1:12">
      <c r="A29" s="424" t="s">
        <v>542</v>
      </c>
      <c r="B29" s="179"/>
      <c r="C29" s="179"/>
      <c r="D29" s="179"/>
      <c r="E29" s="179"/>
      <c r="F29" s="303">
        <v>0.05</v>
      </c>
      <c r="G29" s="179"/>
      <c r="H29" s="179"/>
      <c r="I29" s="179"/>
      <c r="J29" s="430"/>
    </row>
    <row r="30" spans="1:12">
      <c r="A30" s="424" t="s">
        <v>541</v>
      </c>
      <c r="B30" s="179"/>
      <c r="C30" s="179"/>
      <c r="D30" s="179"/>
      <c r="E30" s="179"/>
      <c r="F30" s="439">
        <f>F28+F27*F29</f>
        <v>7.272488063839716E-2</v>
      </c>
      <c r="G30" s="179"/>
      <c r="H30" s="179"/>
      <c r="I30" s="179"/>
      <c r="J30" s="430"/>
    </row>
    <row r="31" spans="1:12">
      <c r="A31" s="424"/>
      <c r="B31" s="179"/>
      <c r="C31" s="179"/>
      <c r="D31" s="179"/>
      <c r="E31" s="179"/>
      <c r="F31" s="179"/>
      <c r="G31" s="179"/>
      <c r="H31" s="179"/>
      <c r="I31" s="179"/>
      <c r="J31" s="430"/>
    </row>
    <row r="32" spans="1:12">
      <c r="A32" s="424" t="s">
        <v>540</v>
      </c>
      <c r="B32" s="179"/>
      <c r="C32" s="179"/>
      <c r="D32" s="179"/>
      <c r="E32" s="179"/>
      <c r="F32" s="179"/>
      <c r="G32" s="179"/>
      <c r="H32" s="179"/>
      <c r="I32" s="179"/>
      <c r="J32" s="430"/>
      <c r="L32" s="113"/>
    </row>
    <row r="33" spans="1:12">
      <c r="A33" s="424" t="s">
        <v>539</v>
      </c>
      <c r="B33" s="179"/>
      <c r="C33" s="179"/>
      <c r="D33" s="179"/>
      <c r="E33" s="179"/>
      <c r="F33" s="440">
        <f>('Forecasts '!D170+'Forecasts '!D173+'Forecasts '!D191)</f>
        <v>567067</v>
      </c>
      <c r="G33" s="179"/>
      <c r="H33" s="179"/>
      <c r="I33" s="179"/>
      <c r="J33" s="430"/>
    </row>
    <row r="34" spans="1:12">
      <c r="A34" s="424" t="s">
        <v>538</v>
      </c>
      <c r="B34" s="179"/>
      <c r="C34" s="179"/>
      <c r="D34" s="179"/>
      <c r="E34" s="179"/>
      <c r="F34" s="441">
        <f>-'Forecasts '!E56</f>
        <v>0.06</v>
      </c>
      <c r="G34" s="179"/>
      <c r="H34" s="179"/>
      <c r="I34" s="179"/>
      <c r="J34" s="430"/>
    </row>
    <row r="35" spans="1:12">
      <c r="A35" s="424" t="s">
        <v>537</v>
      </c>
      <c r="B35" s="179"/>
      <c r="C35" s="179"/>
      <c r="D35" s="179"/>
      <c r="E35" s="179"/>
      <c r="F35" s="1001">
        <v>0.155</v>
      </c>
      <c r="G35" s="179"/>
      <c r="H35" s="179"/>
      <c r="I35" s="179"/>
      <c r="J35" s="430"/>
    </row>
    <row r="36" spans="1:12">
      <c r="A36" s="424" t="s">
        <v>536</v>
      </c>
      <c r="B36" s="179"/>
      <c r="C36" s="179"/>
      <c r="D36" s="179"/>
      <c r="E36" s="179"/>
      <c r="F36" s="442">
        <f>F34*(1- F35)</f>
        <v>5.0699999999999995E-2</v>
      </c>
      <c r="G36" s="179"/>
      <c r="H36" s="179"/>
      <c r="I36" s="179"/>
      <c r="J36" s="430"/>
    </row>
    <row r="37" spans="1:12">
      <c r="A37" s="424"/>
      <c r="B37" s="179"/>
      <c r="C37" s="179"/>
      <c r="D37" s="179"/>
      <c r="E37" s="179"/>
      <c r="F37" s="179"/>
      <c r="G37" s="179"/>
      <c r="H37" s="179"/>
      <c r="I37" s="179"/>
      <c r="J37" s="430"/>
    </row>
    <row r="38" spans="1:12">
      <c r="A38" s="424" t="s">
        <v>535</v>
      </c>
      <c r="B38" s="179"/>
      <c r="C38" s="179"/>
      <c r="D38" s="179"/>
      <c r="E38" s="179"/>
      <c r="F38" s="179"/>
      <c r="G38" s="179"/>
      <c r="H38" s="179"/>
      <c r="I38" s="179"/>
      <c r="J38" s="430"/>
      <c r="L38" s="113"/>
    </row>
    <row r="39" spans="1:12">
      <c r="A39" s="424" t="s">
        <v>534</v>
      </c>
      <c r="B39" s="179"/>
      <c r="C39" s="179"/>
      <c r="D39" s="179"/>
      <c r="E39" s="179"/>
      <c r="F39" s="443">
        <v>0</v>
      </c>
      <c r="G39" s="179"/>
      <c r="H39" s="179"/>
      <c r="I39" s="179"/>
      <c r="J39" s="430"/>
    </row>
    <row r="40" spans="1:12">
      <c r="A40" s="424" t="s">
        <v>533</v>
      </c>
      <c r="B40" s="179"/>
      <c r="C40" s="179"/>
      <c r="D40" s="179"/>
      <c r="E40" s="179"/>
      <c r="F40" s="443">
        <v>0</v>
      </c>
      <c r="G40" s="179"/>
      <c r="H40" s="179"/>
      <c r="I40" s="179"/>
      <c r="J40" s="430"/>
    </row>
    <row r="41" spans="1:12">
      <c r="A41" s="424" t="s">
        <v>529</v>
      </c>
      <c r="B41" s="179"/>
      <c r="C41" s="179"/>
      <c r="D41" s="179"/>
      <c r="E41" s="179"/>
      <c r="F41" s="439">
        <v>0</v>
      </c>
      <c r="G41" s="179"/>
      <c r="H41" s="179"/>
      <c r="I41" s="179"/>
      <c r="J41" s="430"/>
    </row>
    <row r="42" spans="1:12">
      <c r="A42" s="424"/>
      <c r="B42" s="179"/>
      <c r="C42" s="179"/>
      <c r="D42" s="179"/>
      <c r="E42" s="179"/>
      <c r="F42" s="179"/>
      <c r="G42" s="179"/>
      <c r="H42" s="179"/>
      <c r="I42" s="179"/>
      <c r="J42" s="430"/>
    </row>
    <row r="43" spans="1:12">
      <c r="A43" s="424" t="s">
        <v>532</v>
      </c>
      <c r="B43" s="179"/>
      <c r="C43" s="179"/>
      <c r="D43" s="179"/>
      <c r="E43" s="179"/>
      <c r="F43" s="179"/>
      <c r="G43" s="179"/>
      <c r="H43" s="179"/>
      <c r="I43" s="179"/>
      <c r="J43" s="430"/>
      <c r="L43" s="113"/>
    </row>
    <row r="44" spans="1:12">
      <c r="A44" s="424" t="s">
        <v>531</v>
      </c>
      <c r="B44" s="179"/>
      <c r="C44" s="179"/>
      <c r="D44" s="179"/>
      <c r="E44" s="179"/>
      <c r="F44" s="444">
        <v>0</v>
      </c>
      <c r="G44" s="179"/>
      <c r="H44" s="179"/>
      <c r="I44" s="179"/>
      <c r="J44" s="430"/>
    </row>
    <row r="45" spans="1:12">
      <c r="A45" s="424" t="s">
        <v>530</v>
      </c>
      <c r="B45" s="179"/>
      <c r="C45" s="179"/>
      <c r="D45" s="179"/>
      <c r="E45" s="179"/>
      <c r="F45" s="444">
        <v>0</v>
      </c>
      <c r="G45" s="179"/>
      <c r="H45" s="179"/>
      <c r="I45" s="179"/>
      <c r="J45" s="430"/>
    </row>
    <row r="46" spans="1:12">
      <c r="A46" s="424" t="s">
        <v>529</v>
      </c>
      <c r="B46" s="179"/>
      <c r="C46" s="179"/>
      <c r="D46" s="179"/>
      <c r="E46" s="179"/>
      <c r="F46" s="445">
        <v>0</v>
      </c>
      <c r="G46" s="179"/>
      <c r="H46" s="179"/>
      <c r="I46" s="179"/>
      <c r="J46" s="430"/>
    </row>
    <row r="47" spans="1:12">
      <c r="A47" s="424"/>
      <c r="B47" s="179"/>
      <c r="C47" s="179"/>
      <c r="D47" s="179"/>
      <c r="E47" s="179"/>
      <c r="F47" s="179"/>
      <c r="G47" s="179"/>
      <c r="H47" s="179"/>
      <c r="I47" s="179"/>
      <c r="J47" s="430"/>
    </row>
    <row r="48" spans="1:12">
      <c r="A48" s="424" t="s">
        <v>528</v>
      </c>
      <c r="B48" s="179"/>
      <c r="C48" s="179"/>
      <c r="D48" s="179"/>
      <c r="E48" s="179"/>
      <c r="F48" s="446"/>
      <c r="G48" s="179"/>
      <c r="H48" s="179"/>
      <c r="I48" s="179"/>
      <c r="J48" s="430"/>
      <c r="L48" s="113"/>
    </row>
    <row r="49" spans="1:12">
      <c r="A49" s="424" t="s">
        <v>527</v>
      </c>
      <c r="B49" s="179"/>
      <c r="C49" s="179"/>
      <c r="D49" s="179"/>
      <c r="E49" s="179"/>
      <c r="F49" s="447">
        <f>$F$20/($F$20+$F$33+$F$39+$F$44)</f>
        <v>0.66996734052110363</v>
      </c>
      <c r="G49" s="179"/>
      <c r="H49" s="179"/>
      <c r="I49" s="179"/>
      <c r="J49" s="430"/>
    </row>
    <row r="50" spans="1:12">
      <c r="A50" s="424" t="s">
        <v>526</v>
      </c>
      <c r="B50" s="179"/>
      <c r="C50" s="179"/>
      <c r="D50" s="179"/>
      <c r="E50" s="179"/>
      <c r="F50" s="447">
        <f>$F$33/($F$20+$F$33+$F$39+$F$44)</f>
        <v>0.33003265947889632</v>
      </c>
      <c r="G50" s="179"/>
      <c r="H50" s="179"/>
      <c r="I50" s="179"/>
      <c r="J50" s="430"/>
    </row>
    <row r="51" spans="1:12">
      <c r="A51" s="424" t="s">
        <v>525</v>
      </c>
      <c r="B51" s="179"/>
      <c r="C51" s="179"/>
      <c r="D51" s="179"/>
      <c r="E51" s="179"/>
      <c r="F51" s="448">
        <f>$F$39/($F$20+$F$33+$F$39+$F$44)</f>
        <v>0</v>
      </c>
      <c r="G51" s="179"/>
      <c r="H51" s="179"/>
      <c r="I51" s="179"/>
      <c r="J51" s="430"/>
    </row>
    <row r="52" spans="1:12">
      <c r="A52" s="424" t="s">
        <v>524</v>
      </c>
      <c r="B52" s="179"/>
      <c r="C52" s="179"/>
      <c r="D52" s="179"/>
      <c r="E52" s="179"/>
      <c r="F52" s="448">
        <f>$F$44/($F$20+$F$33+$F$39+$F$44)</f>
        <v>0</v>
      </c>
      <c r="G52" s="179"/>
      <c r="H52" s="179"/>
      <c r="I52" s="179"/>
      <c r="J52" s="430"/>
    </row>
    <row r="53" spans="1:12">
      <c r="A53" s="424" t="s">
        <v>523</v>
      </c>
      <c r="B53" s="179"/>
      <c r="C53" s="179"/>
      <c r="D53" s="179"/>
      <c r="E53" s="179"/>
      <c r="F53" s="1002">
        <f>($F$49*$F$30)+($F$50*F36)+($F$51*$F$41)+($F$52*$F$46)</f>
        <v>6.5455950706601679E-2</v>
      </c>
      <c r="G53" s="179"/>
      <c r="H53" s="179"/>
      <c r="I53" s="179"/>
      <c r="J53" s="430"/>
    </row>
    <row r="54" spans="1:12" ht="13.5" thickBot="1">
      <c r="A54" s="449"/>
      <c r="B54" s="450"/>
      <c r="C54" s="450"/>
      <c r="D54" s="450"/>
      <c r="E54" s="450"/>
      <c r="F54" s="450"/>
      <c r="G54" s="450"/>
      <c r="H54" s="450"/>
      <c r="I54" s="450"/>
      <c r="J54" s="451"/>
    </row>
    <row r="55" spans="1:12" ht="13.5" thickTop="1">
      <c r="A55" s="179"/>
      <c r="B55" s="179"/>
      <c r="C55" s="179"/>
      <c r="D55" s="179"/>
      <c r="E55" s="179"/>
      <c r="F55" s="179"/>
      <c r="G55" s="179"/>
      <c r="H55" s="179"/>
      <c r="I55" s="179"/>
      <c r="J55" s="179"/>
    </row>
    <row r="56" spans="1:12" ht="13.5" thickBot="1">
      <c r="A56" s="179"/>
      <c r="B56" s="179"/>
      <c r="C56" s="179"/>
      <c r="D56" s="179"/>
      <c r="E56" s="179"/>
      <c r="F56" s="179"/>
      <c r="G56" s="179"/>
      <c r="H56" s="179"/>
      <c r="I56" s="179"/>
      <c r="J56" s="179"/>
    </row>
    <row r="57" spans="1:12" ht="13.5" thickTop="1">
      <c r="A57" s="452" t="s">
        <v>358</v>
      </c>
      <c r="B57" s="453"/>
      <c r="C57" s="454" t="str">
        <f>C12</f>
        <v>VALUATION MODELS</v>
      </c>
      <c r="D57" s="454"/>
      <c r="E57" s="455"/>
      <c r="F57" s="455"/>
      <c r="G57" s="455"/>
      <c r="H57" s="455"/>
      <c r="I57" s="455"/>
      <c r="J57" s="456"/>
    </row>
    <row r="58" spans="1:12">
      <c r="A58" s="420" t="str">
        <f>'Data '!$A$2</f>
        <v>Analyst Name:</v>
      </c>
      <c r="B58" s="421"/>
      <c r="C58" s="293" t="str">
        <f>'Data '!$B$2</f>
        <v>ARYAN Shrenick kothari</v>
      </c>
      <c r="D58" s="295"/>
      <c r="E58" s="290"/>
      <c r="F58" s="294"/>
      <c r="G58" s="294"/>
      <c r="H58" s="294"/>
      <c r="I58" s="294"/>
      <c r="J58" s="422"/>
    </row>
    <row r="59" spans="1:12">
      <c r="A59" s="420" t="str">
        <f>'Data '!$A$3</f>
        <v>Company Name:</v>
      </c>
      <c r="B59" s="423"/>
      <c r="C59" s="293" t="str">
        <f>'Data '!$B$3</f>
        <v>Salvatore Ferragamo Group</v>
      </c>
      <c r="D59" s="290"/>
      <c r="E59" s="307"/>
      <c r="F59" s="294"/>
      <c r="G59" s="294"/>
      <c r="H59" s="294"/>
      <c r="I59" s="294"/>
      <c r="J59" s="422"/>
    </row>
    <row r="60" spans="1:12">
      <c r="A60" s="457"/>
      <c r="B60" s="179"/>
      <c r="C60" s="179"/>
      <c r="D60" s="179"/>
      <c r="E60" s="179"/>
      <c r="F60" s="179"/>
      <c r="G60" s="179"/>
      <c r="H60" s="179"/>
      <c r="I60" s="179"/>
      <c r="J60" s="458" t="s">
        <v>477</v>
      </c>
    </row>
    <row r="61" spans="1:12">
      <c r="A61" s="457"/>
      <c r="B61" s="179"/>
      <c r="C61" s="179"/>
      <c r="D61" s="179"/>
      <c r="E61" s="459">
        <v>1</v>
      </c>
      <c r="F61" s="459">
        <v>2</v>
      </c>
      <c r="G61" s="459">
        <v>3</v>
      </c>
      <c r="H61" s="459">
        <v>4</v>
      </c>
      <c r="I61" s="459">
        <v>5</v>
      </c>
      <c r="J61" s="458" t="s">
        <v>476</v>
      </c>
      <c r="L61" s="113"/>
    </row>
    <row r="62" spans="1:12">
      <c r="A62" s="460" t="s">
        <v>522</v>
      </c>
      <c r="B62" s="107"/>
      <c r="C62" s="107"/>
      <c r="D62" s="107"/>
      <c r="E62" s="461" t="s">
        <v>449</v>
      </c>
      <c r="F62" s="461" t="s">
        <v>448</v>
      </c>
      <c r="G62" s="461" t="s">
        <v>447</v>
      </c>
      <c r="H62" s="461" t="s">
        <v>446</v>
      </c>
      <c r="I62" s="461" t="s">
        <v>445</v>
      </c>
      <c r="J62" s="462" t="s">
        <v>444</v>
      </c>
      <c r="L62" s="463"/>
    </row>
    <row r="63" spans="1:12">
      <c r="A63" s="424"/>
      <c r="B63" s="179"/>
      <c r="C63" s="179"/>
      <c r="D63" s="179"/>
      <c r="E63" s="258"/>
      <c r="F63" s="258"/>
      <c r="G63" s="258"/>
      <c r="H63" s="258"/>
      <c r="I63" s="258"/>
      <c r="J63" s="458"/>
    </row>
    <row r="64" spans="1:12">
      <c r="A64" s="464" t="s">
        <v>521</v>
      </c>
      <c r="B64" s="179"/>
      <c r="C64" s="179"/>
      <c r="D64" s="179"/>
      <c r="E64" s="348">
        <f>-'Forecasts '!E251-'Forecasts '!E248</f>
        <v>13241.96669329207</v>
      </c>
      <c r="F64" s="348">
        <f>-'Forecasts '!F251-'Forecasts '!F248</f>
        <v>0</v>
      </c>
      <c r="G64" s="348">
        <f>-'Forecasts '!G251-'Forecasts '!G248</f>
        <v>762.09252330109553</v>
      </c>
      <c r="H64" s="348">
        <f>-'Forecasts '!H251-'Forecasts '!H248</f>
        <v>3624.204470142322</v>
      </c>
      <c r="I64" s="348">
        <f>-'Forecasts '!I251-'Forecasts '!I248</f>
        <v>273.73027608273753</v>
      </c>
      <c r="J64" s="465"/>
    </row>
    <row r="65" spans="1:10">
      <c r="A65" s="424" t="s">
        <v>520</v>
      </c>
      <c r="B65" s="179"/>
      <c r="C65" s="179"/>
      <c r="D65" s="179"/>
      <c r="E65" s="348">
        <f>'Forecasts '!D215-'Forecasts '!E215</f>
        <v>0</v>
      </c>
      <c r="F65" s="348">
        <f>'Forecasts '!E215-'Forecasts '!F215</f>
        <v>0</v>
      </c>
      <c r="G65" s="348">
        <f>'Forecasts '!F215-'Forecasts '!G215</f>
        <v>0</v>
      </c>
      <c r="H65" s="348">
        <f>'Forecasts '!G215-'Forecasts '!H215</f>
        <v>0</v>
      </c>
      <c r="I65" s="348">
        <f>'Forecasts '!H215-'Forecasts '!I215</f>
        <v>0</v>
      </c>
      <c r="J65" s="465"/>
    </row>
    <row r="66" spans="1:10">
      <c r="A66" s="424" t="s">
        <v>519</v>
      </c>
      <c r="B66" s="179"/>
      <c r="C66" s="179"/>
      <c r="D66" s="179"/>
      <c r="E66" s="348">
        <f>-'Forecasts '!E261</f>
        <v>-57330.637095387559</v>
      </c>
      <c r="F66" s="348">
        <f>-'Forecasts '!F261</f>
        <v>-32739.425139448838</v>
      </c>
      <c r="G66" s="348">
        <f>-'Forecasts '!G261</f>
        <v>-19990.433271084679</v>
      </c>
      <c r="H66" s="348">
        <f>-'Forecasts '!H261</f>
        <v>-7844.8098610474262</v>
      </c>
      <c r="I66" s="348">
        <f>-'Forecasts '!I261</f>
        <v>8793.3219844619744</v>
      </c>
      <c r="J66" s="465"/>
    </row>
    <row r="67" spans="1:10">
      <c r="A67" s="460" t="s">
        <v>518</v>
      </c>
      <c r="B67" s="107"/>
      <c r="C67" s="107"/>
      <c r="D67" s="107"/>
      <c r="E67" s="466">
        <f>SUM(E64:E66)</f>
        <v>-44088.670402095493</v>
      </c>
      <c r="F67" s="466">
        <f>SUM(F64:F66)</f>
        <v>-32739.425139448838</v>
      </c>
      <c r="G67" s="466">
        <f>SUM(G64:G66)</f>
        <v>-19228.340747783583</v>
      </c>
      <c r="H67" s="466">
        <f>SUM(H64:H66)</f>
        <v>-4220.6053909051043</v>
      </c>
      <c r="I67" s="466">
        <f>SUM(I64:I66)</f>
        <v>9067.0522605447113</v>
      </c>
      <c r="J67" s="467">
        <f>('Forecasts '!J90-'Forecasts '!J248)-('Forecasts '!J215+'Forecasts '!J218+'Forecasts '!J221+'Forecasts '!J224-'Forecasts '!I215-'Forecasts '!I218-'Forecasts '!I221-'Forecasts '!I224)</f>
        <v>-19364.521678070105</v>
      </c>
    </row>
    <row r="68" spans="1:10">
      <c r="A68" s="424"/>
      <c r="B68" s="179"/>
      <c r="C68" s="179"/>
      <c r="D68" s="179"/>
      <c r="E68" s="258"/>
      <c r="F68" s="258"/>
      <c r="G68" s="258"/>
      <c r="H68" s="258"/>
      <c r="I68" s="258"/>
      <c r="J68" s="458"/>
    </row>
    <row r="69" spans="1:10">
      <c r="A69" s="424" t="s">
        <v>466</v>
      </c>
      <c r="B69" s="179"/>
      <c r="C69" s="179"/>
      <c r="D69" s="179"/>
      <c r="E69" s="468">
        <f>1/(1+$F$30)^E61</f>
        <v>0.93220546856793585</v>
      </c>
      <c r="F69" s="468">
        <f>1/(1+$F$30)^F61</f>
        <v>0.86900703562796477</v>
      </c>
      <c r="G69" s="468">
        <f>1/(1+$F$30)^G61</f>
        <v>0.81009311083639968</v>
      </c>
      <c r="H69" s="468">
        <f>1/(1+$F$30)^H61</f>
        <v>0.75517322797090281</v>
      </c>
      <c r="I69" s="468">
        <f>1/(1+$F$30)^I61</f>
        <v>0.703976612830576</v>
      </c>
      <c r="J69" s="469"/>
    </row>
    <row r="70" spans="1:10">
      <c r="A70" s="424" t="s">
        <v>517</v>
      </c>
      <c r="B70" s="179"/>
      <c r="C70" s="179"/>
      <c r="D70" s="179"/>
      <c r="E70" s="348">
        <f>E67*E69</f>
        <v>-41099.699650722716</v>
      </c>
      <c r="F70" s="348">
        <f>F67*F69</f>
        <v>-28450.790788596103</v>
      </c>
      <c r="G70" s="348">
        <f>G67*G69</f>
        <v>-15576.746372594305</v>
      </c>
      <c r="H70" s="348">
        <f>H67*H69</f>
        <v>-3187.2881970412018</v>
      </c>
      <c r="I70" s="348">
        <f>I67*I69</f>
        <v>6382.9927387360831</v>
      </c>
      <c r="J70" s="465"/>
    </row>
    <row r="71" spans="1:10">
      <c r="A71" s="424" t="s">
        <v>516</v>
      </c>
      <c r="B71" s="179"/>
      <c r="C71" s="179"/>
      <c r="D71" s="179"/>
      <c r="E71" s="348">
        <f>SUM(E70:I70)</f>
        <v>-81931.532270218246</v>
      </c>
      <c r="F71" s="348"/>
      <c r="G71" s="348"/>
      <c r="H71" s="348"/>
      <c r="I71" s="348"/>
      <c r="J71" s="465"/>
    </row>
    <row r="72" spans="1:10">
      <c r="A72" s="424" t="s">
        <v>463</v>
      </c>
      <c r="B72" s="179"/>
      <c r="C72" s="179"/>
      <c r="D72" s="179"/>
      <c r="E72" s="357">
        <f>J67/($F$30-$F$23)*$I$69</f>
        <v>-319068.65920558531</v>
      </c>
      <c r="F72" s="470"/>
      <c r="G72" s="357"/>
      <c r="H72" s="357"/>
      <c r="I72" s="357"/>
      <c r="J72" s="471"/>
    </row>
    <row r="73" spans="1:10">
      <c r="A73" s="424" t="s">
        <v>502</v>
      </c>
      <c r="B73" s="179"/>
      <c r="C73" s="179"/>
      <c r="D73" s="179"/>
      <c r="E73" s="357">
        <f>E71+E72</f>
        <v>-401000.19147580356</v>
      </c>
      <c r="F73" s="348"/>
      <c r="G73" s="357"/>
      <c r="H73" s="357"/>
      <c r="I73" s="357"/>
      <c r="J73" s="471"/>
    </row>
    <row r="74" spans="1:10">
      <c r="A74" s="424" t="s">
        <v>457</v>
      </c>
      <c r="B74" s="179"/>
      <c r="C74" s="179"/>
      <c r="D74" s="179"/>
      <c r="E74" s="472">
        <f>1+($F$30/2)</f>
        <v>1.0363624403191987</v>
      </c>
      <c r="F74" s="179"/>
      <c r="G74" s="179"/>
      <c r="H74" s="179"/>
      <c r="I74" s="179"/>
      <c r="J74" s="430"/>
    </row>
    <row r="75" spans="1:10">
      <c r="A75" s="424" t="s">
        <v>515</v>
      </c>
      <c r="B75" s="179"/>
      <c r="C75" s="179"/>
      <c r="D75" s="179"/>
      <c r="E75" s="357">
        <f>E73*E74</f>
        <v>-415581.53700632969</v>
      </c>
      <c r="F75" s="179"/>
      <c r="G75" s="179"/>
      <c r="H75" s="179"/>
      <c r="I75" s="179"/>
      <c r="J75" s="430"/>
    </row>
    <row r="76" spans="1:10">
      <c r="A76" s="424" t="s">
        <v>455</v>
      </c>
      <c r="B76" s="179"/>
      <c r="C76" s="179"/>
      <c r="D76" s="179"/>
      <c r="E76" s="357">
        <f>$F$19</f>
        <v>168790</v>
      </c>
      <c r="F76" s="179"/>
      <c r="G76" s="179"/>
      <c r="H76" s="179"/>
      <c r="I76" s="179"/>
      <c r="J76" s="430"/>
    </row>
    <row r="77" spans="1:10">
      <c r="A77" s="424" t="s">
        <v>454</v>
      </c>
      <c r="B77" s="179"/>
      <c r="C77" s="179"/>
      <c r="D77" s="179"/>
      <c r="E77" s="473">
        <f>E75/E76</f>
        <v>-2.4621217904279264</v>
      </c>
      <c r="F77" s="179"/>
      <c r="G77" s="179"/>
      <c r="H77" s="179"/>
      <c r="I77" s="179"/>
      <c r="J77" s="430"/>
    </row>
    <row r="78" spans="1:10">
      <c r="A78" s="424"/>
      <c r="B78" s="179"/>
      <c r="C78" s="179"/>
      <c r="D78" s="179"/>
      <c r="E78" s="179"/>
      <c r="F78" s="179"/>
      <c r="G78" s="179"/>
      <c r="H78" s="179"/>
      <c r="I78" s="179"/>
      <c r="J78" s="430"/>
    </row>
    <row r="79" spans="1:10">
      <c r="A79" s="424" t="s">
        <v>453</v>
      </c>
      <c r="B79" s="179"/>
      <c r="C79" s="179"/>
      <c r="D79" s="179"/>
      <c r="E79" s="474">
        <f>$F$18</f>
        <v>6.82</v>
      </c>
      <c r="F79" s="179"/>
      <c r="G79" s="179"/>
      <c r="H79" s="179"/>
      <c r="I79" s="179"/>
      <c r="J79" s="430"/>
    </row>
    <row r="80" spans="1:10">
      <c r="A80" s="424" t="s">
        <v>452</v>
      </c>
      <c r="B80" s="179"/>
      <c r="C80" s="179"/>
      <c r="D80" s="179"/>
      <c r="E80" s="475">
        <f>E77/E79-1</f>
        <v>-1.3610149252826871</v>
      </c>
      <c r="F80" s="179"/>
      <c r="G80" s="179"/>
      <c r="H80" s="179"/>
      <c r="I80" s="179"/>
      <c r="J80" s="430"/>
    </row>
    <row r="81" spans="1:12" ht="13.5" thickBot="1">
      <c r="A81" s="449"/>
      <c r="B81" s="476"/>
      <c r="C81" s="476"/>
      <c r="D81" s="476"/>
      <c r="E81" s="476"/>
      <c r="F81" s="476"/>
      <c r="G81" s="476"/>
      <c r="H81" s="476"/>
      <c r="I81" s="476"/>
      <c r="J81" s="477"/>
    </row>
    <row r="82" spans="1:12" ht="13.5" thickTop="1">
      <c r="A82" s="170"/>
      <c r="B82" s="170"/>
      <c r="C82" s="170"/>
      <c r="D82" s="170"/>
      <c r="E82" s="170"/>
      <c r="F82" s="170"/>
      <c r="G82" s="170"/>
      <c r="H82" s="170"/>
      <c r="I82" s="170"/>
      <c r="J82" s="170"/>
    </row>
    <row r="83" spans="1:12" ht="13.5" thickBot="1">
      <c r="A83" s="170"/>
      <c r="B83" s="170"/>
      <c r="C83" s="170"/>
      <c r="D83" s="170"/>
      <c r="E83" s="170"/>
      <c r="F83" s="170"/>
      <c r="G83" s="170"/>
      <c r="H83" s="170"/>
      <c r="I83" s="170"/>
      <c r="J83" s="170"/>
    </row>
    <row r="84" spans="1:12" ht="13.5" thickTop="1">
      <c r="A84" s="452" t="s">
        <v>358</v>
      </c>
      <c r="B84" s="453"/>
      <c r="C84" s="454" t="str">
        <f>C12</f>
        <v>VALUATION MODELS</v>
      </c>
      <c r="D84" s="454"/>
      <c r="E84" s="455"/>
      <c r="F84" s="455"/>
      <c r="G84" s="455"/>
      <c r="H84" s="455"/>
      <c r="I84" s="455"/>
      <c r="J84" s="456"/>
    </row>
    <row r="85" spans="1:12">
      <c r="A85" s="420" t="str">
        <f>'Data '!$A$2</f>
        <v>Analyst Name:</v>
      </c>
      <c r="B85" s="421"/>
      <c r="C85" s="293" t="str">
        <f>'Data '!$B$2</f>
        <v>ARYAN Shrenick kothari</v>
      </c>
      <c r="D85" s="295"/>
      <c r="E85" s="290"/>
      <c r="F85" s="294"/>
      <c r="G85" s="294"/>
      <c r="H85" s="294"/>
      <c r="I85" s="294"/>
      <c r="J85" s="422"/>
      <c r="L85" s="354"/>
    </row>
    <row r="86" spans="1:12">
      <c r="A86" s="420" t="str">
        <f>'Data '!$A$3</f>
        <v>Company Name:</v>
      </c>
      <c r="B86" s="423"/>
      <c r="C86" s="293" t="str">
        <f>'Data '!$B$3</f>
        <v>Salvatore Ferragamo Group</v>
      </c>
      <c r="D86" s="290"/>
      <c r="E86" s="307"/>
      <c r="F86" s="294"/>
      <c r="G86" s="294"/>
      <c r="H86" s="294"/>
      <c r="I86" s="294"/>
      <c r="J86" s="422"/>
    </row>
    <row r="87" spans="1:12">
      <c r="A87" s="457"/>
      <c r="B87" s="179"/>
      <c r="C87" s="179"/>
      <c r="D87" s="179"/>
      <c r="E87" s="179"/>
      <c r="F87" s="179"/>
      <c r="G87" s="179"/>
      <c r="H87" s="179"/>
      <c r="I87" s="179"/>
      <c r="J87" s="458" t="s">
        <v>477</v>
      </c>
    </row>
    <row r="88" spans="1:12">
      <c r="A88" s="179"/>
      <c r="B88" s="179"/>
      <c r="C88" s="179"/>
      <c r="D88" s="179"/>
      <c r="E88" s="459">
        <v>1</v>
      </c>
      <c r="F88" s="459">
        <v>2</v>
      </c>
      <c r="G88" s="459">
        <v>3</v>
      </c>
      <c r="H88" s="459">
        <v>4</v>
      </c>
      <c r="I88" s="459">
        <v>5</v>
      </c>
      <c r="J88" s="458" t="s">
        <v>476</v>
      </c>
      <c r="L88" s="113"/>
    </row>
    <row r="89" spans="1:12">
      <c r="A89" s="460" t="s">
        <v>514</v>
      </c>
      <c r="B89" s="107"/>
      <c r="C89" s="107"/>
      <c r="D89" s="107"/>
      <c r="E89" s="461" t="s">
        <v>449</v>
      </c>
      <c r="F89" s="461" t="s">
        <v>448</v>
      </c>
      <c r="G89" s="461" t="s">
        <v>447</v>
      </c>
      <c r="H89" s="461" t="s">
        <v>446</v>
      </c>
      <c r="I89" s="461" t="s">
        <v>445</v>
      </c>
      <c r="J89" s="462" t="s">
        <v>444</v>
      </c>
      <c r="L89" s="463"/>
    </row>
    <row r="90" spans="1:12">
      <c r="A90" s="424"/>
      <c r="B90" s="179"/>
      <c r="C90" s="179"/>
      <c r="D90" s="179"/>
      <c r="E90" s="258"/>
      <c r="F90" s="258"/>
      <c r="G90" s="258"/>
      <c r="H90" s="258"/>
      <c r="I90" s="258"/>
      <c r="J90" s="458"/>
    </row>
    <row r="91" spans="1:12">
      <c r="A91" s="424" t="s">
        <v>474</v>
      </c>
      <c r="B91" s="179"/>
      <c r="C91" s="179"/>
      <c r="D91" s="179"/>
      <c r="E91" s="357">
        <f>'Forecasts '!E290</f>
        <v>4962.2395979047105</v>
      </c>
      <c r="F91" s="357">
        <f>'Forecasts '!F290</f>
        <v>16745.657360550998</v>
      </c>
      <c r="G91" s="357">
        <f>'Forecasts '!G290</f>
        <v>30698.584917216165</v>
      </c>
      <c r="H91" s="357">
        <f>'Forecasts '!H290</f>
        <v>46156.033633184867</v>
      </c>
      <c r="I91" s="357">
        <f>'Forecasts '!I290</f>
        <v>60109.570488353289</v>
      </c>
      <c r="J91" s="471">
        <f>'Forecasts '!J290</f>
        <v>9719.4516288836239</v>
      </c>
    </row>
    <row r="92" spans="1:12">
      <c r="A92" s="424" t="s">
        <v>471</v>
      </c>
      <c r="B92" s="179"/>
      <c r="C92" s="179"/>
      <c r="D92" s="179"/>
      <c r="E92" s="357">
        <f>-'Forecasts '!E308</f>
        <v>-7145.8200000001598</v>
      </c>
      <c r="F92" s="357">
        <f>-'Forecasts '!F308</f>
        <v>-7360.1945999999953</v>
      </c>
      <c r="G92" s="357">
        <f>-'Forecasts '!G308</f>
        <v>-7581.000437999719</v>
      </c>
      <c r="H92" s="357">
        <f>-'Forecasts '!H308</f>
        <v>-7808.4304511398768</v>
      </c>
      <c r="I92" s="357">
        <f>-'Forecasts '!I308</f>
        <v>-8042.6833646745945</v>
      </c>
      <c r="J92" s="471">
        <f>-'Forecasts '!J308</f>
        <v>-8283.9638656143288</v>
      </c>
    </row>
    <row r="93" spans="1:12">
      <c r="A93" s="464" t="s">
        <v>469</v>
      </c>
      <c r="B93" s="179"/>
      <c r="C93" s="179"/>
      <c r="D93" s="179"/>
      <c r="E93" s="357">
        <f>'Forecasts '!E298</f>
        <v>-53246.430000000037</v>
      </c>
      <c r="F93" s="357">
        <f>'Forecasts '!F298</f>
        <v>-53693.054699999979</v>
      </c>
      <c r="G93" s="357">
        <f>'Forecasts '!G298</f>
        <v>-54145.45536299995</v>
      </c>
      <c r="H93" s="357">
        <f>'Forecasts '!H298</f>
        <v>-54603.72931167006</v>
      </c>
      <c r="I93" s="357">
        <f>'Forecasts '!I298</f>
        <v>-55276.066016628247</v>
      </c>
      <c r="J93" s="471">
        <f>'Forecasts '!J298</f>
        <v>-39583.672061739024</v>
      </c>
    </row>
    <row r="94" spans="1:12">
      <c r="A94" s="424" t="s">
        <v>513</v>
      </c>
      <c r="B94" s="179"/>
      <c r="C94" s="179"/>
      <c r="D94" s="179"/>
      <c r="E94" s="357">
        <f>'Forecasts '!E299+'Forecasts '!E300</f>
        <v>11341.339999999967</v>
      </c>
      <c r="F94" s="357">
        <f>'Forecasts '!F299+'Forecasts '!F300</f>
        <v>11568.166800000123</v>
      </c>
      <c r="G94" s="357">
        <f>'Forecasts '!G299+'Forecasts '!G300</f>
        <v>11799.530136000016</v>
      </c>
      <c r="H94" s="357">
        <f>'Forecasts '!H299+'Forecasts '!H300</f>
        <v>12035.520738719963</v>
      </c>
      <c r="I94" s="357">
        <f>'Forecasts '!I299+'Forecasts '!I300</f>
        <v>12276.231153494329</v>
      </c>
      <c r="J94" s="471">
        <f>'Forecasts '!J299+'Forecasts '!J300</f>
        <v>18782.63366484642</v>
      </c>
    </row>
    <row r="95" spans="1:12">
      <c r="A95" s="424" t="s">
        <v>512</v>
      </c>
      <c r="B95" s="179"/>
      <c r="C95" s="179"/>
      <c r="D95" s="179"/>
      <c r="E95" s="357">
        <f t="shared" ref="E95:J95" si="0">-E246</f>
        <v>0</v>
      </c>
      <c r="F95" s="357">
        <f t="shared" si="0"/>
        <v>0</v>
      </c>
      <c r="G95" s="357">
        <f t="shared" si="0"/>
        <v>0</v>
      </c>
      <c r="H95" s="357">
        <f t="shared" si="0"/>
        <v>0</v>
      </c>
      <c r="I95" s="357">
        <f t="shared" si="0"/>
        <v>0</v>
      </c>
      <c r="J95" s="471">
        <f t="shared" si="0"/>
        <v>0</v>
      </c>
    </row>
    <row r="96" spans="1:12">
      <c r="A96" s="424" t="s">
        <v>511</v>
      </c>
      <c r="B96" s="179"/>
      <c r="C96" s="179"/>
      <c r="D96" s="179"/>
      <c r="E96" s="357">
        <f>'Forecasts '!E301-'Forecasts '!E248+'Forecasts '!E306</f>
        <v>4.5519144009631418E-15</v>
      </c>
      <c r="F96" s="357">
        <f>'Forecasts '!F301-'Forecasts '!F248+'Forecasts '!F306</f>
        <v>-6.5503158452884236E-15</v>
      </c>
      <c r="G96" s="357">
        <f>'Forecasts '!G301-'Forecasts '!G248+'Forecasts '!G306</f>
        <v>3.2862601528904634E-14</v>
      </c>
      <c r="H96" s="357">
        <f>'Forecasts '!H301-'Forecasts '!H248+'Forecasts '!H306</f>
        <v>-3.9968028886505635E-15</v>
      </c>
      <c r="I96" s="357">
        <f>'Forecasts '!I301-'Forecasts '!I248+'Forecasts '!I306</f>
        <v>1.2101430968414206E-14</v>
      </c>
      <c r="J96" s="357">
        <f>'Forecasts '!J301-'Forecasts '!J248+'Forecasts '!J306</f>
        <v>-4.8849813083506888E-14</v>
      </c>
    </row>
    <row r="97" spans="1:10">
      <c r="A97" s="460" t="s">
        <v>510</v>
      </c>
      <c r="B97" s="107"/>
      <c r="C97" s="107"/>
      <c r="D97" s="107"/>
      <c r="E97" s="478">
        <f t="shared" ref="E97:J97" si="1">SUM(E91:E96)</f>
        <v>-44088.670402095522</v>
      </c>
      <c r="F97" s="478">
        <f t="shared" si="1"/>
        <v>-32739.425139448853</v>
      </c>
      <c r="G97" s="478">
        <f t="shared" si="1"/>
        <v>-19228.340747783488</v>
      </c>
      <c r="H97" s="478">
        <f t="shared" si="1"/>
        <v>-4220.6053909051116</v>
      </c>
      <c r="I97" s="478">
        <f t="shared" si="1"/>
        <v>9067.0522605447768</v>
      </c>
      <c r="J97" s="479">
        <f t="shared" si="1"/>
        <v>-19365.550633623308</v>
      </c>
    </row>
    <row r="98" spans="1:10">
      <c r="A98" s="424"/>
      <c r="B98" s="179"/>
      <c r="C98" s="179"/>
      <c r="D98" s="179"/>
      <c r="E98" s="179"/>
      <c r="F98" s="179"/>
      <c r="G98" s="179"/>
      <c r="H98" s="179"/>
      <c r="I98" s="179"/>
      <c r="J98" s="430"/>
    </row>
    <row r="99" spans="1:10">
      <c r="A99" s="424" t="s">
        <v>466</v>
      </c>
      <c r="B99" s="179"/>
      <c r="C99" s="179"/>
      <c r="D99" s="179"/>
      <c r="E99" s="480">
        <f>1/(1+$F$30)^E88</f>
        <v>0.93220546856793585</v>
      </c>
      <c r="F99" s="480">
        <f>1/(1+$F$30)^F88</f>
        <v>0.86900703562796477</v>
      </c>
      <c r="G99" s="480">
        <f>1/(1+$F$30)^G88</f>
        <v>0.81009311083639968</v>
      </c>
      <c r="H99" s="480">
        <f>1/(1+$F$30)^H88</f>
        <v>0.75517322797090281</v>
      </c>
      <c r="I99" s="480">
        <f>1/(1+$F$30)^I88</f>
        <v>0.703976612830576</v>
      </c>
      <c r="J99" s="481"/>
    </row>
    <row r="100" spans="1:10">
      <c r="A100" s="424" t="s">
        <v>465</v>
      </c>
      <c r="B100" s="179"/>
      <c r="C100" s="179"/>
      <c r="D100" s="179"/>
      <c r="E100" s="357">
        <f>E97*E99</f>
        <v>-41099.699650722738</v>
      </c>
      <c r="F100" s="357">
        <f>F97*F99</f>
        <v>-28450.790788596114</v>
      </c>
      <c r="G100" s="357">
        <f>G97*G99</f>
        <v>-15576.746372594229</v>
      </c>
      <c r="H100" s="357">
        <f>H97*H99</f>
        <v>-3187.2881970412072</v>
      </c>
      <c r="I100" s="357">
        <f>I97*I99</f>
        <v>6382.9927387361295</v>
      </c>
      <c r="J100" s="471"/>
    </row>
    <row r="101" spans="1:10">
      <c r="A101" s="424" t="s">
        <v>464</v>
      </c>
      <c r="B101" s="179"/>
      <c r="C101" s="179"/>
      <c r="D101" s="179"/>
      <c r="E101" s="357">
        <f>SUM(E100:I100)</f>
        <v>-81931.532270218173</v>
      </c>
      <c r="F101" s="357"/>
      <c r="G101" s="357"/>
      <c r="H101" s="357"/>
      <c r="I101" s="357"/>
      <c r="J101" s="471"/>
    </row>
    <row r="102" spans="1:10">
      <c r="A102" s="424" t="s">
        <v>463</v>
      </c>
      <c r="B102" s="179"/>
      <c r="C102" s="179"/>
      <c r="D102" s="179"/>
      <c r="E102" s="357">
        <f>J97/($F$30-$F$23)*I99</f>
        <v>-319085.613276241</v>
      </c>
      <c r="F102" s="357"/>
      <c r="G102" s="179"/>
      <c r="H102" s="179"/>
      <c r="I102" s="179"/>
      <c r="J102" s="430"/>
    </row>
    <row r="103" spans="1:10">
      <c r="A103" s="424" t="s">
        <v>502</v>
      </c>
      <c r="B103" s="179"/>
      <c r="C103" s="179"/>
      <c r="D103" s="179"/>
      <c r="E103" s="357">
        <f>E101+E102</f>
        <v>-401017.14554645919</v>
      </c>
      <c r="F103" s="357"/>
      <c r="G103" s="179"/>
      <c r="H103" s="179"/>
      <c r="I103" s="179"/>
      <c r="J103" s="430"/>
    </row>
    <row r="104" spans="1:10">
      <c r="A104" s="424" t="s">
        <v>457</v>
      </c>
      <c r="B104" s="179"/>
      <c r="C104" s="179"/>
      <c r="D104" s="179"/>
      <c r="E104" s="482">
        <f>(1+$F$30/2)</f>
        <v>1.0363624403191987</v>
      </c>
      <c r="F104" s="179"/>
      <c r="G104" s="179"/>
      <c r="H104" s="179"/>
      <c r="I104" s="179"/>
      <c r="J104" s="430"/>
    </row>
    <row r="105" spans="1:10">
      <c r="A105" s="424" t="s">
        <v>509</v>
      </c>
      <c r="B105" s="179"/>
      <c r="C105" s="179"/>
      <c r="D105" s="179"/>
      <c r="E105" s="357">
        <f>E103*E104</f>
        <v>-415599.10756836773</v>
      </c>
      <c r="F105" s="179"/>
      <c r="G105" s="179"/>
      <c r="H105" s="179"/>
      <c r="I105" s="179"/>
      <c r="J105" s="430"/>
    </row>
    <row r="106" spans="1:10">
      <c r="A106" s="424" t="s">
        <v>455</v>
      </c>
      <c r="B106" s="179"/>
      <c r="C106" s="179"/>
      <c r="D106" s="179"/>
      <c r="E106" s="357">
        <f>$F$19</f>
        <v>168790</v>
      </c>
      <c r="F106" s="179"/>
      <c r="G106" s="179"/>
      <c r="H106" s="179"/>
      <c r="I106" s="179"/>
      <c r="J106" s="430"/>
    </row>
    <row r="107" spans="1:10">
      <c r="A107" s="424" t="s">
        <v>454</v>
      </c>
      <c r="B107" s="179"/>
      <c r="C107" s="179"/>
      <c r="D107" s="179"/>
      <c r="E107" s="483">
        <f>E105/E106</f>
        <v>-2.462225887602155</v>
      </c>
      <c r="F107" s="179"/>
      <c r="G107" s="179"/>
      <c r="H107" s="179"/>
      <c r="I107" s="179"/>
      <c r="J107" s="430"/>
    </row>
    <row r="108" spans="1:10">
      <c r="A108" s="424"/>
      <c r="B108" s="179"/>
      <c r="C108" s="179"/>
      <c r="D108" s="179"/>
      <c r="E108" s="179"/>
      <c r="F108" s="179"/>
      <c r="G108" s="179"/>
      <c r="H108" s="179"/>
      <c r="I108" s="179"/>
      <c r="J108" s="430"/>
    </row>
    <row r="109" spans="1:10">
      <c r="A109" s="424" t="s">
        <v>453</v>
      </c>
      <c r="B109" s="179"/>
      <c r="C109" s="179"/>
      <c r="D109" s="179"/>
      <c r="E109" s="474">
        <f>$F$18</f>
        <v>6.82</v>
      </c>
      <c r="F109" s="179"/>
      <c r="G109" s="179"/>
      <c r="H109" s="179"/>
      <c r="I109" s="179"/>
      <c r="J109" s="430"/>
    </row>
    <row r="110" spans="1:10">
      <c r="A110" s="424" t="s">
        <v>452</v>
      </c>
      <c r="B110" s="179"/>
      <c r="C110" s="179"/>
      <c r="D110" s="179"/>
      <c r="E110" s="484">
        <f>E107/E109-1</f>
        <v>-1.3610301887979699</v>
      </c>
      <c r="F110" s="179"/>
      <c r="G110" s="179"/>
      <c r="H110" s="179"/>
      <c r="I110" s="179"/>
      <c r="J110" s="430"/>
    </row>
    <row r="111" spans="1:10" ht="13.5" thickBot="1">
      <c r="A111" s="449"/>
      <c r="B111" s="476"/>
      <c r="C111" s="476"/>
      <c r="D111" s="476"/>
      <c r="E111" s="476"/>
      <c r="F111" s="476"/>
      <c r="G111" s="476"/>
      <c r="H111" s="450"/>
      <c r="I111" s="450"/>
      <c r="J111" s="451"/>
    </row>
    <row r="112" spans="1:10" ht="13.5" thickTop="1">
      <c r="A112" s="179"/>
      <c r="B112" s="485"/>
      <c r="C112" s="485"/>
      <c r="D112" s="485"/>
      <c r="E112" s="485">
        <f>E100</f>
        <v>-41099.699650722738</v>
      </c>
      <c r="F112" s="485">
        <f t="shared" ref="F112:I112" si="2">F100</f>
        <v>-28450.790788596114</v>
      </c>
      <c r="G112" s="485">
        <f t="shared" si="2"/>
        <v>-15576.746372594229</v>
      </c>
      <c r="H112" s="485">
        <f t="shared" si="2"/>
        <v>-3187.2881970412072</v>
      </c>
      <c r="I112" s="485">
        <f t="shared" si="2"/>
        <v>6382.9927387361295</v>
      </c>
      <c r="J112" s="179"/>
    </row>
    <row r="113" spans="1:12" ht="13.5" thickBot="1">
      <c r="A113" s="450"/>
      <c r="B113" s="476"/>
      <c r="C113" s="476"/>
      <c r="D113" s="476"/>
      <c r="E113" s="476"/>
      <c r="F113" s="476"/>
      <c r="G113" s="476"/>
      <c r="H113" s="450"/>
      <c r="I113" s="450"/>
      <c r="J113" s="450"/>
    </row>
    <row r="114" spans="1:12" ht="13.5" thickTop="1">
      <c r="A114" s="452" t="s">
        <v>358</v>
      </c>
      <c r="B114" s="453"/>
      <c r="C114" s="454" t="str">
        <f>C12</f>
        <v>VALUATION MODELS</v>
      </c>
      <c r="D114" s="454"/>
      <c r="E114" s="455"/>
      <c r="F114" s="455"/>
      <c r="G114" s="455"/>
      <c r="H114" s="455"/>
      <c r="I114" s="455"/>
      <c r="J114" s="486"/>
      <c r="K114" s="436"/>
    </row>
    <row r="115" spans="1:12">
      <c r="A115" s="420" t="str">
        <f>'Data '!$A$2</f>
        <v>Analyst Name:</v>
      </c>
      <c r="B115" s="421"/>
      <c r="C115" s="293" t="str">
        <f>'Data '!$B$2</f>
        <v>ARYAN Shrenick kothari</v>
      </c>
      <c r="D115" s="295"/>
      <c r="E115" s="290"/>
      <c r="F115" s="294"/>
      <c r="G115" s="294"/>
      <c r="H115" s="294"/>
      <c r="I115" s="294"/>
      <c r="J115" s="294"/>
      <c r="K115" s="436"/>
    </row>
    <row r="116" spans="1:12">
      <c r="A116" s="420" t="str">
        <f>'Data '!$A$3</f>
        <v>Company Name:</v>
      </c>
      <c r="B116" s="423"/>
      <c r="C116" s="293" t="str">
        <f>'Data '!$B$3</f>
        <v>Salvatore Ferragamo Group</v>
      </c>
      <c r="D116" s="290"/>
      <c r="E116" s="307"/>
      <c r="F116" s="294"/>
      <c r="G116" s="294"/>
      <c r="H116" s="294"/>
      <c r="I116" s="294"/>
      <c r="J116" s="294"/>
      <c r="K116" s="436"/>
    </row>
    <row r="117" spans="1:12">
      <c r="A117" s="457"/>
      <c r="B117" s="179"/>
      <c r="C117" s="179"/>
      <c r="D117" s="179"/>
      <c r="E117" s="179"/>
      <c r="F117" s="485"/>
      <c r="G117" s="485"/>
      <c r="H117" s="485"/>
      <c r="I117" s="485"/>
      <c r="J117" s="485"/>
      <c r="K117" s="436"/>
    </row>
    <row r="118" spans="1:12">
      <c r="A118" s="487" t="s">
        <v>508</v>
      </c>
      <c r="B118" s="488"/>
      <c r="C118" s="488"/>
      <c r="D118" s="488"/>
      <c r="E118" s="488"/>
      <c r="F118" s="489"/>
      <c r="G118" s="489"/>
      <c r="H118" s="489"/>
      <c r="I118" s="489"/>
      <c r="J118" s="489"/>
      <c r="K118" s="436"/>
    </row>
    <row r="119" spans="1:12">
      <c r="A119" s="424"/>
      <c r="B119" s="258"/>
      <c r="C119" s="179"/>
      <c r="D119" s="258"/>
      <c r="E119" s="258"/>
      <c r="F119" s="258"/>
      <c r="G119" s="258"/>
      <c r="H119" s="258"/>
      <c r="I119" s="258"/>
      <c r="J119" s="258"/>
      <c r="K119" s="436"/>
    </row>
    <row r="120" spans="1:12">
      <c r="A120" s="424"/>
      <c r="B120" s="179"/>
      <c r="C120" s="490" t="s">
        <v>499</v>
      </c>
      <c r="D120" s="179"/>
      <c r="E120" s="179"/>
      <c r="F120" s="179"/>
      <c r="G120" s="179"/>
      <c r="H120" s="179"/>
      <c r="I120" s="179"/>
      <c r="J120" s="179"/>
      <c r="K120" s="436"/>
      <c r="L120" s="113"/>
    </row>
    <row r="121" spans="1:12">
      <c r="A121" s="424"/>
      <c r="B121" s="491">
        <f>E107</f>
        <v>-2.462225887602155</v>
      </c>
      <c r="C121" s="492">
        <v>0</v>
      </c>
      <c r="D121" s="493">
        <v>0.01</v>
      </c>
      <c r="E121" s="493">
        <v>0.02</v>
      </c>
      <c r="F121" s="493">
        <v>2.5000000000000001E-2</v>
      </c>
      <c r="G121" s="493">
        <v>0.03</v>
      </c>
      <c r="H121" s="493">
        <v>3.5000000000000003E-2</v>
      </c>
      <c r="I121" s="493">
        <v>0.04</v>
      </c>
      <c r="J121" s="494">
        <v>0.05</v>
      </c>
      <c r="K121" s="436"/>
    </row>
    <row r="122" spans="1:12">
      <c r="A122" s="495" t="s">
        <v>498</v>
      </c>
      <c r="B122" s="496">
        <v>0.06</v>
      </c>
      <c r="C122" s="485">
        <f t="dataTable" ref="C122:J135" dt2D="1" dtr="0" r1="F23" r2="F30"/>
        <v>-2.462225887602155</v>
      </c>
      <c r="D122" s="485">
        <v>-2.462225887602155</v>
      </c>
      <c r="E122" s="485">
        <v>-2.462225887602155</v>
      </c>
      <c r="F122" s="485">
        <v>-2.462225887602155</v>
      </c>
      <c r="G122" s="485">
        <v>-2.462225887602155</v>
      </c>
      <c r="H122" s="485">
        <v>-2.462225887602155</v>
      </c>
      <c r="I122" s="485">
        <v>-2.462225887602155</v>
      </c>
      <c r="J122" s="485">
        <v>-2.462225887602155</v>
      </c>
      <c r="K122" s="436"/>
    </row>
    <row r="123" spans="1:12">
      <c r="A123" s="495" t="s">
        <v>497</v>
      </c>
      <c r="B123" s="497">
        <v>6.5000000000000002E-2</v>
      </c>
      <c r="C123" s="485">
        <v>-2.462225887602155</v>
      </c>
      <c r="D123" s="485">
        <v>-2.462225887602155</v>
      </c>
      <c r="E123" s="485">
        <v>-2.462225887602155</v>
      </c>
      <c r="F123" s="485">
        <v>-2.462225887602155</v>
      </c>
      <c r="G123" s="485">
        <v>-2.462225887602155</v>
      </c>
      <c r="H123" s="485">
        <v>-2.462225887602155</v>
      </c>
      <c r="I123" s="485">
        <v>-2.462225887602155</v>
      </c>
      <c r="J123" s="485">
        <v>-2.462225887602155</v>
      </c>
    </row>
    <row r="124" spans="1:12">
      <c r="A124" s="424"/>
      <c r="B124" s="497">
        <v>6.7000000000000004E-2</v>
      </c>
      <c r="C124" s="485">
        <v>-2.462225887602155</v>
      </c>
      <c r="D124" s="485">
        <v>-2.462225887602155</v>
      </c>
      <c r="E124" s="485">
        <v>-2.462225887602155</v>
      </c>
      <c r="F124" s="485">
        <v>-2.462225887602155</v>
      </c>
      <c r="G124" s="485">
        <v>-2.462225887602155</v>
      </c>
      <c r="H124" s="485">
        <v>-2.462225887602155</v>
      </c>
      <c r="I124" s="485">
        <v>-2.462225887602155</v>
      </c>
      <c r="J124" s="485">
        <v>-2.462225887602155</v>
      </c>
    </row>
    <row r="125" spans="1:12">
      <c r="A125" s="424"/>
      <c r="B125" s="497">
        <v>7.0000000000000007E-2</v>
      </c>
      <c r="C125" s="485">
        <v>-2.462225887602155</v>
      </c>
      <c r="D125" s="485">
        <v>-2.462225887602155</v>
      </c>
      <c r="E125" s="498">
        <v>-2.462225887602155</v>
      </c>
      <c r="F125" s="485">
        <v>-2.462225887602155</v>
      </c>
      <c r="G125" s="485">
        <v>-2.462225887602155</v>
      </c>
      <c r="H125" s="498">
        <v>-2.462225887602155</v>
      </c>
      <c r="I125" s="485">
        <v>-2.462225887602155</v>
      </c>
      <c r="J125" s="485">
        <v>-2.462225887602155</v>
      </c>
    </row>
    <row r="126" spans="1:12">
      <c r="A126" s="424"/>
      <c r="B126" s="497">
        <v>7.1999999999999995E-2</v>
      </c>
      <c r="C126" s="485">
        <v>-2.462225887602155</v>
      </c>
      <c r="D126" s="485">
        <v>-2.462225887602155</v>
      </c>
      <c r="E126" s="485">
        <v>-2.462225887602155</v>
      </c>
      <c r="F126" s="498">
        <v>-2.462225887602155</v>
      </c>
      <c r="G126" s="499">
        <v>-2.462225887602155</v>
      </c>
      <c r="H126" s="485">
        <v>-2.462225887602155</v>
      </c>
      <c r="I126" s="485">
        <v>-2.462225887602155</v>
      </c>
      <c r="J126" s="485">
        <v>-2.462225887602155</v>
      </c>
    </row>
    <row r="127" spans="1:12">
      <c r="A127" s="424"/>
      <c r="B127" s="497">
        <v>7.4999999999999997E-2</v>
      </c>
      <c r="C127" s="485">
        <v>-2.462225887602155</v>
      </c>
      <c r="D127" s="485">
        <v>-2.462225887602155</v>
      </c>
      <c r="E127" s="485">
        <v>-2.462225887602155</v>
      </c>
      <c r="F127" s="485">
        <v>-2.462225887602155</v>
      </c>
      <c r="G127" s="485">
        <v>-2.462225887602155</v>
      </c>
      <c r="H127" s="485">
        <v>-2.462225887602155</v>
      </c>
      <c r="I127" s="485">
        <v>-2.462225887602155</v>
      </c>
      <c r="J127" s="485">
        <v>-2.462225887602155</v>
      </c>
    </row>
    <row r="128" spans="1:12">
      <c r="A128" s="424"/>
      <c r="B128" s="497">
        <v>7.6999999999999999E-2</v>
      </c>
      <c r="C128" s="485">
        <v>-2.462225887602155</v>
      </c>
      <c r="D128" s="485">
        <v>-2.462225887602155</v>
      </c>
      <c r="E128" s="485">
        <v>-2.462225887602155</v>
      </c>
      <c r="F128" s="485">
        <v>-2.462225887602155</v>
      </c>
      <c r="G128" s="485">
        <v>-2.462225887602155</v>
      </c>
      <c r="H128" s="485">
        <v>-2.462225887602155</v>
      </c>
      <c r="I128" s="485">
        <v>-2.462225887602155</v>
      </c>
      <c r="J128" s="485">
        <v>-2.462225887602155</v>
      </c>
    </row>
    <row r="129" spans="1:12">
      <c r="A129" s="424"/>
      <c r="B129" s="497">
        <v>0.08</v>
      </c>
      <c r="C129" s="485">
        <v>-2.462225887602155</v>
      </c>
      <c r="D129" s="485">
        <v>-2.462225887602155</v>
      </c>
      <c r="E129" s="485">
        <v>-2.462225887602155</v>
      </c>
      <c r="F129" s="485">
        <v>-2.462225887602155</v>
      </c>
      <c r="G129" s="485">
        <v>-2.462225887602155</v>
      </c>
      <c r="H129" s="485">
        <v>-2.462225887602155</v>
      </c>
      <c r="I129" s="485">
        <v>-2.462225887602155</v>
      </c>
      <c r="J129" s="485">
        <v>-2.462225887602155</v>
      </c>
    </row>
    <row r="130" spans="1:12">
      <c r="A130" s="424"/>
      <c r="B130" s="497">
        <v>8.5000000000000006E-2</v>
      </c>
      <c r="C130" s="485">
        <v>-2.462225887602155</v>
      </c>
      <c r="D130" s="485">
        <v>-2.462225887602155</v>
      </c>
      <c r="E130" s="485">
        <v>-2.462225887602155</v>
      </c>
      <c r="F130" s="485">
        <v>-2.462225887602155</v>
      </c>
      <c r="G130" s="485">
        <v>-2.462225887602155</v>
      </c>
      <c r="H130" s="485">
        <v>-2.462225887602155</v>
      </c>
      <c r="I130" s="485">
        <v>-2.462225887602155</v>
      </c>
      <c r="J130" s="485">
        <v>-2.462225887602155</v>
      </c>
    </row>
    <row r="131" spans="1:12">
      <c r="A131" s="424"/>
      <c r="B131" s="497">
        <v>0.09</v>
      </c>
      <c r="C131" s="485">
        <v>-2.462225887602155</v>
      </c>
      <c r="D131" s="485">
        <v>-2.462225887602155</v>
      </c>
      <c r="E131" s="485">
        <v>-2.462225887602155</v>
      </c>
      <c r="F131" s="485">
        <v>-2.462225887602155</v>
      </c>
      <c r="G131" s="485">
        <v>-2.462225887602155</v>
      </c>
      <c r="H131" s="485">
        <v>-2.462225887602155</v>
      </c>
      <c r="I131" s="485">
        <v>-2.462225887602155</v>
      </c>
      <c r="J131" s="485">
        <v>-2.462225887602155</v>
      </c>
    </row>
    <row r="132" spans="1:12">
      <c r="A132" s="424"/>
      <c r="B132" s="497">
        <v>9.5000000000000001E-2</v>
      </c>
      <c r="C132" s="485">
        <v>-2.462225887602155</v>
      </c>
      <c r="D132" s="485">
        <v>-2.462225887602155</v>
      </c>
      <c r="E132" s="485">
        <v>-2.462225887602155</v>
      </c>
      <c r="F132" s="485">
        <v>-2.462225887602155</v>
      </c>
      <c r="G132" s="485">
        <v>-2.462225887602155</v>
      </c>
      <c r="H132" s="485">
        <v>-2.462225887602155</v>
      </c>
      <c r="I132" s="485">
        <v>-2.462225887602155</v>
      </c>
      <c r="J132" s="485">
        <v>-2.462225887602155</v>
      </c>
    </row>
    <row r="133" spans="1:12">
      <c r="A133" s="424"/>
      <c r="B133" s="497">
        <v>0.1</v>
      </c>
      <c r="C133" s="485">
        <v>-2.462225887602155</v>
      </c>
      <c r="D133" s="485">
        <v>-2.462225887602155</v>
      </c>
      <c r="E133" s="485">
        <v>-2.462225887602155</v>
      </c>
      <c r="F133" s="485">
        <v>-2.462225887602155</v>
      </c>
      <c r="G133" s="485">
        <v>-2.462225887602155</v>
      </c>
      <c r="H133" s="485">
        <v>-2.462225887602155</v>
      </c>
      <c r="I133" s="485">
        <v>-2.462225887602155</v>
      </c>
      <c r="J133" s="485">
        <v>-2.462225887602155</v>
      </c>
    </row>
    <row r="134" spans="1:12">
      <c r="A134" s="424"/>
      <c r="B134" s="497">
        <v>0.11</v>
      </c>
      <c r="C134" s="485">
        <v>-2.462225887602155</v>
      </c>
      <c r="D134" s="485">
        <v>-2.462225887602155</v>
      </c>
      <c r="E134" s="485">
        <v>-2.462225887602155</v>
      </c>
      <c r="F134" s="485">
        <v>-2.462225887602155</v>
      </c>
      <c r="G134" s="485">
        <v>-2.462225887602155</v>
      </c>
      <c r="H134" s="485">
        <v>-2.462225887602155</v>
      </c>
      <c r="I134" s="485">
        <v>-2.462225887602155</v>
      </c>
      <c r="J134" s="485">
        <v>-2.462225887602155</v>
      </c>
    </row>
    <row r="135" spans="1:12">
      <c r="A135" s="424"/>
      <c r="B135" s="497">
        <v>0.12</v>
      </c>
      <c r="C135" s="485">
        <v>-2.462225887602155</v>
      </c>
      <c r="D135" s="485">
        <v>-2.462225887602155</v>
      </c>
      <c r="E135" s="485">
        <v>-2.462225887602155</v>
      </c>
      <c r="F135" s="485">
        <v>-2.462225887602155</v>
      </c>
      <c r="G135" s="485">
        <v>-2.462225887602155</v>
      </c>
      <c r="H135" s="485">
        <v>-2.462225887602155</v>
      </c>
      <c r="I135" s="485">
        <v>-2.462225887602155</v>
      </c>
      <c r="J135" s="485">
        <v>-2.462225887602155</v>
      </c>
    </row>
    <row r="136" spans="1:12">
      <c r="A136" s="424"/>
      <c r="B136" s="500"/>
      <c r="C136" s="485"/>
      <c r="D136" s="485"/>
      <c r="E136" s="485"/>
      <c r="F136" s="485"/>
      <c r="G136" s="485"/>
      <c r="H136" s="485"/>
      <c r="I136" s="485"/>
      <c r="J136" s="485"/>
    </row>
    <row r="137" spans="1:12" ht="13.5" thickBot="1">
      <c r="A137" s="449"/>
      <c r="B137" s="501"/>
      <c r="C137" s="476"/>
      <c r="D137" s="476"/>
      <c r="E137" s="476"/>
      <c r="F137" s="476"/>
      <c r="G137" s="476"/>
      <c r="H137" s="476"/>
      <c r="I137" s="476"/>
      <c r="J137" s="476"/>
    </row>
    <row r="138" spans="1:12" ht="13.5" thickTop="1">
      <c r="A138" s="179"/>
      <c r="B138" s="179"/>
      <c r="C138" s="179"/>
      <c r="D138" s="179"/>
      <c r="E138" s="179"/>
      <c r="F138" s="179"/>
      <c r="G138" s="179"/>
      <c r="H138" s="179"/>
      <c r="I138" s="179"/>
      <c r="J138" s="179"/>
    </row>
    <row r="139" spans="1:12" ht="13.5" thickBot="1">
      <c r="A139" s="450"/>
      <c r="B139" s="501"/>
      <c r="C139" s="476"/>
      <c r="D139" s="476"/>
      <c r="E139" s="476"/>
      <c r="F139" s="476"/>
      <c r="G139" s="476"/>
      <c r="H139" s="476"/>
      <c r="I139" s="476"/>
      <c r="J139" s="476"/>
    </row>
    <row r="140" spans="1:12" ht="13.5" thickTop="1">
      <c r="A140" s="452" t="s">
        <v>358</v>
      </c>
      <c r="B140" s="453"/>
      <c r="C140" s="454" t="str">
        <f>C12</f>
        <v>VALUATION MODELS</v>
      </c>
      <c r="D140" s="454"/>
      <c r="E140" s="455"/>
      <c r="F140" s="455"/>
      <c r="G140" s="455"/>
      <c r="H140" s="455"/>
      <c r="I140" s="455"/>
      <c r="J140" s="456"/>
    </row>
    <row r="141" spans="1:12">
      <c r="A141" s="420" t="str">
        <f>'Data '!$A$2</f>
        <v>Analyst Name:</v>
      </c>
      <c r="B141" s="421"/>
      <c r="C141" s="293" t="str">
        <f>'Data '!$B$2</f>
        <v>ARYAN Shrenick kothari</v>
      </c>
      <c r="D141" s="295"/>
      <c r="E141" s="290"/>
      <c r="F141" s="294"/>
      <c r="G141" s="294"/>
      <c r="H141" s="294"/>
      <c r="I141" s="294"/>
      <c r="J141" s="422"/>
    </row>
    <row r="142" spans="1:12">
      <c r="A142" s="420" t="str">
        <f>'Data '!$A$3</f>
        <v>Company Name:</v>
      </c>
      <c r="B142" s="423"/>
      <c r="C142" s="293" t="str">
        <f>'Data '!$B$3</f>
        <v>Salvatore Ferragamo Group</v>
      </c>
      <c r="D142" s="290"/>
      <c r="E142" s="307"/>
      <c r="F142" s="294"/>
      <c r="G142" s="294"/>
      <c r="H142" s="294"/>
      <c r="I142" s="294"/>
      <c r="J142" s="422"/>
    </row>
    <row r="143" spans="1:12">
      <c r="A143" s="457"/>
      <c r="B143" s="179"/>
      <c r="C143" s="179"/>
      <c r="D143" s="179"/>
      <c r="E143" s="179"/>
      <c r="F143" s="179"/>
      <c r="G143" s="179"/>
      <c r="H143" s="179"/>
      <c r="I143" s="179"/>
      <c r="J143" s="458" t="s">
        <v>477</v>
      </c>
    </row>
    <row r="144" spans="1:12">
      <c r="A144" s="424"/>
      <c r="B144" s="179"/>
      <c r="C144" s="179"/>
      <c r="D144" s="179"/>
      <c r="E144" s="459">
        <v>1</v>
      </c>
      <c r="F144" s="459">
        <v>2</v>
      </c>
      <c r="G144" s="459">
        <v>3</v>
      </c>
      <c r="H144" s="459">
        <v>4</v>
      </c>
      <c r="I144" s="459">
        <v>5</v>
      </c>
      <c r="J144" s="458" t="s">
        <v>476</v>
      </c>
      <c r="L144" s="113"/>
    </row>
    <row r="145" spans="1:12">
      <c r="A145" s="460" t="s">
        <v>496</v>
      </c>
      <c r="B145" s="107"/>
      <c r="C145" s="107"/>
      <c r="D145" s="107"/>
      <c r="E145" s="461" t="s">
        <v>449</v>
      </c>
      <c r="F145" s="461" t="s">
        <v>448</v>
      </c>
      <c r="G145" s="461" t="s">
        <v>447</v>
      </c>
      <c r="H145" s="461" t="s">
        <v>446</v>
      </c>
      <c r="I145" s="461" t="s">
        <v>445</v>
      </c>
      <c r="J145" s="462" t="s">
        <v>444</v>
      </c>
      <c r="L145" s="463"/>
    </row>
    <row r="146" spans="1:12">
      <c r="A146" s="464" t="s">
        <v>494</v>
      </c>
      <c r="B146" s="179"/>
      <c r="C146" s="179"/>
      <c r="D146" s="179"/>
      <c r="E146" s="179"/>
      <c r="F146" s="179"/>
      <c r="G146" s="179"/>
      <c r="H146" s="179"/>
      <c r="I146" s="179"/>
      <c r="J146" s="430"/>
    </row>
    <row r="147" spans="1:12">
      <c r="A147" s="464" t="s">
        <v>493</v>
      </c>
      <c r="B147" s="179"/>
      <c r="C147" s="179"/>
      <c r="D147" s="179"/>
      <c r="E147" s="348">
        <f>'Forecasts '!E90-'Forecasts '!E248</f>
        <v>-38957.234766449983</v>
      </c>
      <c r="F147" s="348">
        <f>'Forecasts '!F90-'Forecasts '!F248</f>
        <v>-31223.901365904039</v>
      </c>
      <c r="G147" s="348">
        <f>'Forecasts '!G90-'Forecasts '!G248</f>
        <v>-21363.161289687927</v>
      </c>
      <c r="H147" s="348">
        <f>'Forecasts '!H90-'Forecasts '!H248</f>
        <v>-10781.606008194756</v>
      </c>
      <c r="I147" s="348">
        <f>'Forecasts '!I90-'Forecasts '!I248</f>
        <v>-995.82805393983267</v>
      </c>
      <c r="J147" s="465">
        <f>'Forecasts '!J90-'Forecasts '!J248</f>
        <v>-1025.7028955580074</v>
      </c>
    </row>
    <row r="148" spans="1:12">
      <c r="A148" s="424" t="s">
        <v>507</v>
      </c>
      <c r="B148" s="179"/>
      <c r="C148" s="179"/>
      <c r="D148" s="179"/>
      <c r="E148" s="348"/>
      <c r="F148" s="348"/>
      <c r="G148" s="348"/>
      <c r="H148" s="348"/>
      <c r="I148" s="348"/>
      <c r="J148" s="465"/>
    </row>
    <row r="149" spans="1:12">
      <c r="A149" s="424" t="s">
        <v>491</v>
      </c>
      <c r="B149" s="179"/>
      <c r="C149" s="179"/>
      <c r="D149" s="179"/>
      <c r="E149" s="348">
        <f>'Forecasts '!D227</f>
        <v>622445</v>
      </c>
      <c r="F149" s="348">
        <f>'Forecasts '!E227</f>
        <v>627575.44063564553</v>
      </c>
      <c r="G149" s="348">
        <f>'Forecasts '!F227</f>
        <v>629089.96841419034</v>
      </c>
      <c r="H149" s="348">
        <f>'Forecasts '!G227</f>
        <v>626954.1508812909</v>
      </c>
      <c r="I149" s="348">
        <f>'Forecasts '!H227</f>
        <v>620392.15227601526</v>
      </c>
      <c r="J149" s="348">
        <f>'Forecasts '!I227</f>
        <v>610328.27297555667</v>
      </c>
    </row>
    <row r="150" spans="1:12">
      <c r="A150" s="424"/>
      <c r="B150" s="179"/>
      <c r="C150" s="179"/>
      <c r="D150" s="179"/>
      <c r="E150" s="348"/>
      <c r="F150" s="348"/>
      <c r="G150" s="348"/>
      <c r="H150" s="348"/>
      <c r="I150" s="348"/>
      <c r="J150" s="465"/>
    </row>
    <row r="151" spans="1:12">
      <c r="A151" s="424" t="s">
        <v>506</v>
      </c>
      <c r="B151" s="179"/>
      <c r="C151" s="179"/>
      <c r="D151" s="179"/>
      <c r="E151" s="348">
        <f t="shared" ref="E151:J151" si="3">E149*$F$30</f>
        <v>45267.23832896712</v>
      </c>
      <c r="F151" s="348">
        <f t="shared" si="3"/>
        <v>45640.349011816827</v>
      </c>
      <c r="G151" s="348">
        <f t="shared" si="3"/>
        <v>45750.492863735031</v>
      </c>
      <c r="H151" s="348">
        <f t="shared" si="3"/>
        <v>45595.165788589526</v>
      </c>
      <c r="I151" s="348">
        <f t="shared" si="3"/>
        <v>45117.945223271527</v>
      </c>
      <c r="J151" s="465">
        <f t="shared" si="3"/>
        <v>44386.050802386439</v>
      </c>
    </row>
    <row r="152" spans="1:12">
      <c r="A152" s="460" t="s">
        <v>505</v>
      </c>
      <c r="B152" s="107"/>
      <c r="C152" s="107"/>
      <c r="D152" s="107"/>
      <c r="E152" s="466">
        <f t="shared" ref="E152:J152" si="4">E147-E151</f>
        <v>-84224.47309541711</v>
      </c>
      <c r="F152" s="466">
        <f t="shared" si="4"/>
        <v>-76864.250377720862</v>
      </c>
      <c r="G152" s="466">
        <f t="shared" si="4"/>
        <v>-67113.654153422962</v>
      </c>
      <c r="H152" s="466">
        <f t="shared" si="4"/>
        <v>-56376.771796784284</v>
      </c>
      <c r="I152" s="466">
        <f t="shared" si="4"/>
        <v>-46113.77327721136</v>
      </c>
      <c r="J152" s="502">
        <f t="shared" si="4"/>
        <v>-45411.753697944449</v>
      </c>
    </row>
    <row r="153" spans="1:12">
      <c r="A153" s="424"/>
      <c r="B153" s="179"/>
      <c r="C153" s="179"/>
      <c r="D153" s="179"/>
      <c r="E153" s="503"/>
      <c r="F153" s="258"/>
      <c r="G153" s="258"/>
      <c r="H153" s="258"/>
      <c r="I153" s="258"/>
      <c r="J153" s="458"/>
    </row>
    <row r="154" spans="1:12">
      <c r="A154" s="424" t="s">
        <v>466</v>
      </c>
      <c r="B154" s="179"/>
      <c r="C154" s="179"/>
      <c r="D154" s="179"/>
      <c r="E154" s="468">
        <f>1/(1+$F$30)^E144</f>
        <v>0.93220546856793585</v>
      </c>
      <c r="F154" s="468">
        <f>1/(1+$F$30)^F144</f>
        <v>0.86900703562796477</v>
      </c>
      <c r="G154" s="468">
        <f>1/(1+$F$30)^G144</f>
        <v>0.81009311083639968</v>
      </c>
      <c r="H154" s="468">
        <f>1/(1+$F$30)^H144</f>
        <v>0.75517322797090281</v>
      </c>
      <c r="I154" s="468">
        <f>1/(1+$F$30)^I144</f>
        <v>0.703976612830576</v>
      </c>
      <c r="J154" s="469"/>
    </row>
    <row r="155" spans="1:12">
      <c r="A155" s="424" t="s">
        <v>504</v>
      </c>
      <c r="B155" s="179"/>
      <c r="C155" s="179"/>
      <c r="D155" s="179"/>
      <c r="E155" s="348">
        <f>E152*E154</f>
        <v>-78514.514406800809</v>
      </c>
      <c r="F155" s="348">
        <f>F152*F154</f>
        <v>-66795.574366508881</v>
      </c>
      <c r="G155" s="348">
        <f>G152*G154</f>
        <v>-54368.308872744659</v>
      </c>
      <c r="H155" s="348">
        <f>H152*H154</f>
        <v>-42574.228740356542</v>
      </c>
      <c r="I155" s="348">
        <f>I152*I154</f>
        <v>-32463.017916528384</v>
      </c>
      <c r="J155" s="465"/>
    </row>
    <row r="156" spans="1:12">
      <c r="A156" s="424" t="s">
        <v>503</v>
      </c>
      <c r="B156" s="179"/>
      <c r="C156" s="179"/>
      <c r="D156" s="179"/>
      <c r="E156" s="348">
        <f>SUM(E155:I155)</f>
        <v>-274715.64430293924</v>
      </c>
      <c r="F156" s="504"/>
      <c r="G156" s="504"/>
      <c r="H156" s="504"/>
      <c r="I156" s="504"/>
      <c r="J156" s="505"/>
    </row>
    <row r="157" spans="1:12">
      <c r="A157" s="424" t="s">
        <v>463</v>
      </c>
      <c r="B157" s="179"/>
      <c r="C157" s="179"/>
      <c r="D157" s="179"/>
      <c r="E157" s="348">
        <f>J152/($F$30-$F$23)*$I$154</f>
        <v>-748248.14190925355</v>
      </c>
      <c r="F157" s="504"/>
      <c r="G157" s="506"/>
      <c r="H157" s="258"/>
      <c r="I157" s="506"/>
      <c r="J157" s="458"/>
    </row>
    <row r="158" spans="1:12">
      <c r="A158" s="424" t="s">
        <v>502</v>
      </c>
      <c r="B158" s="179"/>
      <c r="C158" s="179"/>
      <c r="D158" s="179"/>
      <c r="E158" s="348">
        <f>E156+E157</f>
        <v>-1022963.7862121928</v>
      </c>
      <c r="F158" s="504"/>
      <c r="G158" s="506"/>
      <c r="H158" s="258"/>
      <c r="I158" s="506"/>
      <c r="J158" s="458"/>
    </row>
    <row r="159" spans="1:12">
      <c r="A159" s="424" t="s">
        <v>501</v>
      </c>
      <c r="B159" s="179"/>
      <c r="C159" s="179"/>
      <c r="D159" s="179"/>
      <c r="E159" s="348">
        <f>E149</f>
        <v>622445</v>
      </c>
      <c r="F159" s="258"/>
      <c r="G159" s="507"/>
      <c r="H159" s="508"/>
      <c r="I159" s="508"/>
      <c r="J159" s="509"/>
    </row>
    <row r="160" spans="1:12">
      <c r="A160" s="424" t="s">
        <v>458</v>
      </c>
      <c r="B160" s="179"/>
      <c r="C160" s="179"/>
      <c r="D160" s="179"/>
      <c r="E160" s="348">
        <f>E158+E159</f>
        <v>-400518.78621219285</v>
      </c>
      <c r="F160" s="258"/>
      <c r="G160" s="510"/>
      <c r="H160" s="508"/>
      <c r="I160" s="508"/>
      <c r="J160" s="509"/>
    </row>
    <row r="161" spans="1:10">
      <c r="A161" s="424" t="s">
        <v>457</v>
      </c>
      <c r="B161" s="179"/>
      <c r="C161" s="179"/>
      <c r="D161" s="179"/>
      <c r="E161" s="511">
        <f>(1+$F$30/2)</f>
        <v>1.0363624403191987</v>
      </c>
      <c r="F161" s="258"/>
      <c r="G161" s="507"/>
      <c r="H161" s="508"/>
      <c r="I161" s="508"/>
      <c r="J161" s="509"/>
    </row>
    <row r="162" spans="1:10">
      <c r="A162" s="424" t="s">
        <v>456</v>
      </c>
      <c r="B162" s="179"/>
      <c r="C162" s="179"/>
      <c r="D162" s="179"/>
      <c r="E162" s="348">
        <f>E160*E161</f>
        <v>-415082.62667255162</v>
      </c>
      <c r="F162" s="258"/>
      <c r="G162" s="507"/>
      <c r="H162" s="508"/>
      <c r="I162" s="508"/>
      <c r="J162" s="509"/>
    </row>
    <row r="163" spans="1:10">
      <c r="A163" s="424" t="s">
        <v>455</v>
      </c>
      <c r="B163" s="179"/>
      <c r="C163" s="179"/>
      <c r="D163" s="179"/>
      <c r="E163" s="348">
        <f>$F$19</f>
        <v>168790</v>
      </c>
      <c r="F163" s="258"/>
      <c r="G163" s="507"/>
      <c r="H163" s="508"/>
      <c r="I163" s="508"/>
      <c r="J163" s="509"/>
    </row>
    <row r="164" spans="1:10">
      <c r="A164" s="424" t="s">
        <v>454</v>
      </c>
      <c r="B164" s="179"/>
      <c r="C164" s="179"/>
      <c r="D164" s="179"/>
      <c r="E164" s="512">
        <f>E162/E163</f>
        <v>-2.4591659853815488</v>
      </c>
      <c r="F164" s="258"/>
      <c r="G164" s="507"/>
      <c r="H164" s="508"/>
      <c r="I164" s="508"/>
      <c r="J164" s="509"/>
    </row>
    <row r="165" spans="1:10">
      <c r="A165" s="424"/>
      <c r="B165" s="179"/>
      <c r="C165" s="179"/>
      <c r="D165" s="179"/>
      <c r="E165" s="258"/>
      <c r="F165" s="258"/>
      <c r="G165" s="507"/>
      <c r="H165" s="508"/>
      <c r="I165" s="508"/>
      <c r="J165" s="509"/>
    </row>
    <row r="166" spans="1:10">
      <c r="A166" s="424" t="s">
        <v>453</v>
      </c>
      <c r="B166" s="179"/>
      <c r="C166" s="179"/>
      <c r="D166" s="179"/>
      <c r="E166" s="513">
        <f>F18</f>
        <v>6.82</v>
      </c>
      <c r="F166" s="258"/>
      <c r="G166" s="507"/>
      <c r="H166" s="508"/>
      <c r="I166" s="508"/>
      <c r="J166" s="509"/>
    </row>
    <row r="167" spans="1:10">
      <c r="A167" s="424" t="s">
        <v>452</v>
      </c>
      <c r="B167" s="179"/>
      <c r="C167" s="179"/>
      <c r="D167" s="179"/>
      <c r="E167" s="514">
        <f>E164/E166-1</f>
        <v>-1.3605815227832183</v>
      </c>
      <c r="F167" s="258"/>
      <c r="G167" s="507"/>
      <c r="H167" s="508"/>
      <c r="I167" s="508"/>
      <c r="J167" s="509"/>
    </row>
    <row r="168" spans="1:10" ht="13.5" thickBot="1">
      <c r="A168" s="449"/>
      <c r="B168" s="450"/>
      <c r="C168" s="450"/>
      <c r="D168" s="450"/>
      <c r="E168" s="450"/>
      <c r="F168" s="450"/>
      <c r="G168" s="450"/>
      <c r="H168" s="501"/>
      <c r="I168" s="476"/>
      <c r="J168" s="477"/>
    </row>
    <row r="169" spans="1:10" ht="13.5" thickTop="1">
      <c r="A169" s="428"/>
      <c r="B169" s="428"/>
      <c r="C169" s="428"/>
      <c r="D169" s="428"/>
      <c r="E169" s="428"/>
      <c r="F169" s="428"/>
      <c r="G169" s="428"/>
      <c r="H169" s="515"/>
      <c r="I169" s="516"/>
      <c r="J169" s="516"/>
    </row>
    <row r="170" spans="1:10" ht="13.5" thickBot="1">
      <c r="A170" s="179"/>
      <c r="B170" s="179"/>
      <c r="C170" s="179"/>
      <c r="D170" s="179"/>
      <c r="E170" s="179"/>
      <c r="F170" s="179"/>
      <c r="G170" s="179"/>
      <c r="H170" s="500"/>
      <c r="I170" s="485"/>
      <c r="J170" s="485"/>
    </row>
    <row r="171" spans="1:10" ht="13.5" thickTop="1">
      <c r="A171" s="452" t="s">
        <v>358</v>
      </c>
      <c r="B171" s="453"/>
      <c r="C171" s="454" t="str">
        <f>C12</f>
        <v>VALUATION MODELS</v>
      </c>
      <c r="D171" s="454"/>
      <c r="E171" s="455"/>
      <c r="F171" s="455"/>
      <c r="G171" s="455"/>
      <c r="H171" s="455"/>
      <c r="I171" s="455"/>
      <c r="J171" s="456"/>
    </row>
    <row r="172" spans="1:10">
      <c r="A172" s="420" t="str">
        <f>'Data '!$A$2</f>
        <v>Analyst Name:</v>
      </c>
      <c r="B172" s="421"/>
      <c r="C172" s="293" t="str">
        <f>'Data '!$B$2</f>
        <v>ARYAN Shrenick kothari</v>
      </c>
      <c r="D172" s="295"/>
      <c r="E172" s="290"/>
      <c r="F172" s="294"/>
      <c r="G172" s="294"/>
      <c r="H172" s="294"/>
      <c r="I172" s="294"/>
      <c r="J172" s="422"/>
    </row>
    <row r="173" spans="1:10">
      <c r="A173" s="420" t="str">
        <f>'Data '!$A$3</f>
        <v>Company Name:</v>
      </c>
      <c r="B173" s="423"/>
      <c r="C173" s="293" t="str">
        <f>'Data '!$B$3</f>
        <v>Salvatore Ferragamo Group</v>
      </c>
      <c r="D173" s="290"/>
      <c r="E173" s="307"/>
      <c r="F173" s="294"/>
      <c r="G173" s="294"/>
      <c r="H173" s="294"/>
      <c r="I173" s="294"/>
      <c r="J173" s="422"/>
    </row>
    <row r="174" spans="1:10">
      <c r="A174" s="457"/>
      <c r="B174" s="179"/>
      <c r="C174" s="179"/>
      <c r="D174" s="179"/>
      <c r="E174" s="179"/>
      <c r="F174" s="179"/>
      <c r="G174" s="179"/>
      <c r="H174" s="500"/>
      <c r="I174" s="485"/>
      <c r="J174" s="517"/>
    </row>
    <row r="175" spans="1:10">
      <c r="A175" s="487" t="s">
        <v>500</v>
      </c>
      <c r="B175" s="488"/>
      <c r="C175" s="488"/>
      <c r="D175" s="488"/>
      <c r="E175" s="488"/>
      <c r="F175" s="489"/>
      <c r="G175" s="489"/>
      <c r="H175" s="489"/>
      <c r="I175" s="489"/>
      <c r="J175" s="518"/>
    </row>
    <row r="176" spans="1:10">
      <c r="A176" s="424"/>
      <c r="B176" s="179"/>
      <c r="C176" s="258"/>
      <c r="D176" s="179"/>
      <c r="E176" s="258"/>
      <c r="F176" s="258"/>
      <c r="G176" s="258"/>
      <c r="H176" s="258"/>
      <c r="I176" s="258"/>
      <c r="J176" s="458"/>
    </row>
    <row r="177" spans="1:12">
      <c r="A177" s="424"/>
      <c r="B177" s="179"/>
      <c r="C177" s="490" t="s">
        <v>499</v>
      </c>
      <c r="D177" s="179"/>
      <c r="E177" s="179"/>
      <c r="F177" s="179"/>
      <c r="G177" s="179"/>
      <c r="H177" s="179"/>
      <c r="I177" s="179"/>
      <c r="J177" s="430"/>
      <c r="L177" s="113"/>
    </row>
    <row r="178" spans="1:12">
      <c r="A178" s="424"/>
      <c r="B178" s="491">
        <f>E164</f>
        <v>-2.4591659853815488</v>
      </c>
      <c r="C178" s="492">
        <v>0</v>
      </c>
      <c r="D178" s="493">
        <v>0.01</v>
      </c>
      <c r="E178" s="493">
        <v>0.02</v>
      </c>
      <c r="F178" s="493">
        <v>2.5000000000000001E-2</v>
      </c>
      <c r="G178" s="493">
        <v>0.03</v>
      </c>
      <c r="H178" s="493">
        <v>3.5000000000000003E-2</v>
      </c>
      <c r="I178" s="493">
        <v>0.04</v>
      </c>
      <c r="J178" s="494">
        <v>0.05</v>
      </c>
    </row>
    <row r="179" spans="1:12">
      <c r="A179" s="495" t="s">
        <v>498</v>
      </c>
      <c r="B179" s="496">
        <v>0.06</v>
      </c>
      <c r="C179" s="485">
        <f t="dataTable" ref="C179:J192" dt2D="1" dtr="0" r1="F23" r2="F30"/>
        <v>-0.58484871654649928</v>
      </c>
      <c r="D179" s="485">
        <v>-1.1575080603636778</v>
      </c>
      <c r="E179" s="485">
        <v>-2.0164970760894638</v>
      </c>
      <c r="F179" s="485">
        <v>-2.6300606587507409</v>
      </c>
      <c r="G179" s="485">
        <v>-3.4481454356324437</v>
      </c>
      <c r="H179" s="485">
        <v>-4.5934641232668341</v>
      </c>
      <c r="I179" s="485">
        <v>-6.3114421547183985</v>
      </c>
      <c r="J179" s="517">
        <v>-14.901332311976303</v>
      </c>
    </row>
    <row r="180" spans="1:12">
      <c r="A180" s="495" t="s">
        <v>497</v>
      </c>
      <c r="B180" s="497">
        <v>6.5000000000000002E-2</v>
      </c>
      <c r="C180" s="485">
        <v>-0.57513809037688057</v>
      </c>
      <c r="D180" s="485">
        <v>-1.0838288791845896</v>
      </c>
      <c r="E180" s="485">
        <v>-1.8186044630179625</v>
      </c>
      <c r="F180" s="485">
        <v>-2.3237626769034074</v>
      </c>
      <c r="G180" s="485">
        <v>-2.9732518090418365</v>
      </c>
      <c r="H180" s="485">
        <v>-3.8392373185597495</v>
      </c>
      <c r="I180" s="485">
        <v>-5.0516170318848062</v>
      </c>
      <c r="J180" s="517">
        <v>-9.901135885185095</v>
      </c>
    </row>
    <row r="181" spans="1:12">
      <c r="A181" s="424"/>
      <c r="B181" s="497">
        <v>6.7000000000000004E-2</v>
      </c>
      <c r="C181" s="485">
        <v>-0.57157527350496984</v>
      </c>
      <c r="D181" s="485">
        <v>-1.0579500063332459</v>
      </c>
      <c r="E181" s="485">
        <v>-1.751292710577824</v>
      </c>
      <c r="F181" s="485">
        <v>-2.221775259886646</v>
      </c>
      <c r="G181" s="485">
        <v>-2.8194152549546092</v>
      </c>
      <c r="H181" s="485">
        <v>-3.6038177484813163</v>
      </c>
      <c r="I181" s="485">
        <v>-4.6787396840549356</v>
      </c>
      <c r="J181" s="517">
        <v>-8.725504617979194</v>
      </c>
    </row>
    <row r="182" spans="1:12">
      <c r="A182" s="424"/>
      <c r="B182" s="497">
        <v>7.0000000000000007E-2</v>
      </c>
      <c r="C182" s="485">
        <v>-0.5665270360641611</v>
      </c>
      <c r="D182" s="485">
        <v>-1.0223389539252614</v>
      </c>
      <c r="E182" s="498">
        <v>-1.6604756389308166</v>
      </c>
      <c r="F182" s="485">
        <v>-2.0859000956011875</v>
      </c>
      <c r="G182" s="485">
        <v>-2.6176806664391497</v>
      </c>
      <c r="H182" s="498">
        <v>-3.3013985432308215</v>
      </c>
      <c r="I182" s="485">
        <v>-4.2130223789530383</v>
      </c>
      <c r="J182" s="517">
        <v>-7.4037058039808299</v>
      </c>
    </row>
    <row r="183" spans="1:12">
      <c r="A183" s="424"/>
      <c r="B183" s="497">
        <v>7.1999999999999995E-2</v>
      </c>
      <c r="C183" s="485">
        <v>-0.5633400433967185</v>
      </c>
      <c r="D183" s="485">
        <v>-1.000494758576993</v>
      </c>
      <c r="E183" s="485">
        <v>-1.6057859026727708</v>
      </c>
      <c r="F183" s="498">
        <v>-2.005020487076369</v>
      </c>
      <c r="G183" s="499">
        <v>-2.499310924909397</v>
      </c>
      <c r="H183" s="485">
        <v>-3.127193372967572</v>
      </c>
      <c r="I183" s="485">
        <v>-3.9512890860439125</v>
      </c>
      <c r="J183" s="517">
        <v>-6.7232473936643684</v>
      </c>
    </row>
    <row r="184" spans="1:12">
      <c r="A184" s="424"/>
      <c r="B184" s="497">
        <v>7.4999999999999997E-2</v>
      </c>
      <c r="C184" s="485">
        <v>-0.55879932953691092</v>
      </c>
      <c r="D184" s="485">
        <v>-0.97022269424312235</v>
      </c>
      <c r="E184" s="485">
        <v>-1.5312545552061516</v>
      </c>
      <c r="F184" s="485">
        <v>-1.8959252648321214</v>
      </c>
      <c r="G184" s="485">
        <v>-2.3416339099305281</v>
      </c>
      <c r="H184" s="485">
        <v>-2.898769716303542</v>
      </c>
      <c r="I184" s="485">
        <v>-3.6150871816402614</v>
      </c>
      <c r="J184" s="517">
        <v>-5.9073030707177949</v>
      </c>
    </row>
    <row r="185" spans="1:12">
      <c r="A185" s="424"/>
      <c r="B185" s="497">
        <v>7.6999999999999999E-2</v>
      </c>
      <c r="C185" s="485">
        <v>-0.55591783686438156</v>
      </c>
      <c r="D185" s="485">
        <v>-0.95153018874233541</v>
      </c>
      <c r="E185" s="485">
        <v>-1.4859538921564264</v>
      </c>
      <c r="F185" s="485">
        <v>-1.8302460857020437</v>
      </c>
      <c r="G185" s="485">
        <v>-2.2477919374488549</v>
      </c>
      <c r="H185" s="485">
        <v>-2.7647534681830073</v>
      </c>
      <c r="I185" s="485">
        <v>-3.4214343315480003</v>
      </c>
      <c r="J185" s="517">
        <v>-5.4644414620168948</v>
      </c>
    </row>
    <row r="186" spans="1:12">
      <c r="A186" s="424"/>
      <c r="B186" s="497">
        <v>0.08</v>
      </c>
      <c r="C186" s="485">
        <v>-0.55179276969306079</v>
      </c>
      <c r="D186" s="485">
        <v>-0.92546915325922452</v>
      </c>
      <c r="E186" s="485">
        <v>-1.4237043313474553</v>
      </c>
      <c r="F186" s="485">
        <v>-1.7407630810399664</v>
      </c>
      <c r="G186" s="485">
        <v>-2.1212335806709799</v>
      </c>
      <c r="H186" s="485">
        <v>-2.5862530802199992</v>
      </c>
      <c r="I186" s="485">
        <v>-3.1675274546562648</v>
      </c>
      <c r="J186" s="517">
        <v>-4.9113505779650835</v>
      </c>
    </row>
    <row r="187" spans="1:12">
      <c r="A187" s="424"/>
      <c r="B187" s="497">
        <v>8.5000000000000006E-2</v>
      </c>
      <c r="C187" s="485">
        <v>-0.54538328833574412</v>
      </c>
      <c r="D187" s="485">
        <v>-0.8866038035889392</v>
      </c>
      <c r="E187" s="485">
        <v>-1.3328152466123575</v>
      </c>
      <c r="F187" s="485">
        <v>-1.611697398501994</v>
      </c>
      <c r="G187" s="485">
        <v>-1.9412853961897463</v>
      </c>
      <c r="H187" s="485">
        <v>-2.336790993415053</v>
      </c>
      <c r="I187" s="485">
        <v>-2.8201867233570868</v>
      </c>
      <c r="J187" s="517">
        <v>-4.2013173803343422</v>
      </c>
    </row>
    <row r="188" spans="1:12">
      <c r="A188" s="424"/>
      <c r="B188" s="497">
        <v>0.09</v>
      </c>
      <c r="C188" s="485">
        <v>-0.53947435690183221</v>
      </c>
      <c r="D188" s="485">
        <v>-0.85252089782618568</v>
      </c>
      <c r="E188" s="485">
        <v>-1.2550093075860791</v>
      </c>
      <c r="F188" s="485">
        <v>-1.5026944828229358</v>
      </c>
      <c r="G188" s="485">
        <v>-1.7916605205992695</v>
      </c>
      <c r="H188" s="485">
        <v>-2.133165837971303</v>
      </c>
      <c r="I188" s="485">
        <v>-2.5429722188177357</v>
      </c>
      <c r="J188" s="517">
        <v>-3.6699397661454425</v>
      </c>
    </row>
    <row r="189" spans="1:12">
      <c r="A189" s="424"/>
      <c r="B189" s="497">
        <v>9.5000000000000001E-2</v>
      </c>
      <c r="C189" s="485">
        <v>-0.53398973852624321</v>
      </c>
      <c r="D189" s="485">
        <v>-0.82237499632963051</v>
      </c>
      <c r="E189" s="485">
        <v>-1.1876629895472628</v>
      </c>
      <c r="F189" s="485">
        <v>-1.409444985429396</v>
      </c>
      <c r="G189" s="485">
        <v>-1.6653472883703211</v>
      </c>
      <c r="H189" s="485">
        <v>-1.9638999751347352</v>
      </c>
      <c r="I189" s="485">
        <v>-2.3167349685835807</v>
      </c>
      <c r="J189" s="517">
        <v>-3.2576282844471849</v>
      </c>
    </row>
    <row r="190" spans="1:12">
      <c r="A190" s="424"/>
      <c r="B190" s="497">
        <v>0.1</v>
      </c>
      <c r="C190" s="485">
        <v>-0.528868414568189</v>
      </c>
      <c r="D190" s="485">
        <v>-0.79550865278329419</v>
      </c>
      <c r="E190" s="485">
        <v>-1.1288089505521832</v>
      </c>
      <c r="F190" s="485">
        <v>-1.3287891292135168</v>
      </c>
      <c r="G190" s="485">
        <v>-1.5573379048264695</v>
      </c>
      <c r="H190" s="485">
        <v>-1.8210480305337258</v>
      </c>
      <c r="I190" s="485">
        <v>-2.128709843858851</v>
      </c>
      <c r="J190" s="517">
        <v>-2.9286305585041901</v>
      </c>
    </row>
    <row r="191" spans="1:12">
      <c r="A191" s="424"/>
      <c r="B191" s="497">
        <v>0.11</v>
      </c>
      <c r="C191" s="485">
        <v>-0.51952691181837019</v>
      </c>
      <c r="D191" s="485">
        <v>-0.74964279677854062</v>
      </c>
      <c r="E191" s="485">
        <v>-1.0308955450632002</v>
      </c>
      <c r="F191" s="485">
        <v>-1.1963383381718229</v>
      </c>
      <c r="G191" s="485">
        <v>-1.3824614804190232</v>
      </c>
      <c r="H191" s="485">
        <v>-1.5934010416325206</v>
      </c>
      <c r="I191" s="485">
        <v>-1.8344748258765107</v>
      </c>
      <c r="J191" s="517">
        <v>-2.4371592864864997</v>
      </c>
    </row>
    <row r="192" spans="1:12">
      <c r="A192" s="424"/>
      <c r="B192" s="497">
        <v>0.12</v>
      </c>
      <c r="C192" s="485">
        <v>-0.5111507614852614</v>
      </c>
      <c r="D192" s="485">
        <v>-0.71187677113518999</v>
      </c>
      <c r="E192" s="485">
        <v>-0.95274798271511096</v>
      </c>
      <c r="F192" s="485">
        <v>-1.092199736787697</v>
      </c>
      <c r="G192" s="485">
        <v>-1.2471461302016804</v>
      </c>
      <c r="H192" s="485">
        <v>-1.4203215110761351</v>
      </c>
      <c r="I192" s="485">
        <v>-1.6151438145598922</v>
      </c>
      <c r="J192" s="517">
        <v>-2.0882836944490251</v>
      </c>
    </row>
    <row r="193" spans="1:12">
      <c r="A193" s="424"/>
      <c r="B193" s="500"/>
      <c r="C193" s="485"/>
      <c r="D193" s="485"/>
      <c r="E193" s="485"/>
      <c r="F193" s="485"/>
      <c r="G193" s="485"/>
      <c r="H193" s="485"/>
      <c r="I193" s="485"/>
      <c r="J193" s="517"/>
    </row>
    <row r="194" spans="1:12" ht="13.5" thickBot="1">
      <c r="A194" s="449"/>
      <c r="B194" s="501"/>
      <c r="C194" s="476"/>
      <c r="D194" s="476"/>
      <c r="E194" s="476"/>
      <c r="F194" s="476"/>
      <c r="G194" s="476"/>
      <c r="H194" s="476"/>
      <c r="I194" s="476"/>
      <c r="J194" s="477"/>
    </row>
    <row r="195" spans="1:12" ht="13.5" thickTop="1">
      <c r="A195" s="428"/>
      <c r="B195" s="515"/>
      <c r="C195" s="516"/>
      <c r="D195" s="516"/>
      <c r="E195" s="516"/>
      <c r="F195" s="516"/>
      <c r="G195" s="516"/>
      <c r="H195" s="516"/>
      <c r="I195" s="516"/>
      <c r="J195" s="516"/>
    </row>
    <row r="196" spans="1:12" ht="13.5" thickBot="1">
      <c r="A196" s="450"/>
      <c r="B196" s="501"/>
      <c r="C196" s="476"/>
      <c r="D196" s="476"/>
      <c r="E196" s="476"/>
      <c r="F196" s="476"/>
      <c r="G196" s="476"/>
      <c r="H196" s="476"/>
      <c r="I196" s="476"/>
      <c r="J196" s="476"/>
    </row>
    <row r="197" spans="1:12" ht="13.5" thickTop="1">
      <c r="A197" s="452" t="s">
        <v>358</v>
      </c>
      <c r="B197" s="453"/>
      <c r="C197" s="454" t="str">
        <f>C12</f>
        <v>VALUATION MODELS</v>
      </c>
      <c r="D197" s="454"/>
      <c r="E197" s="455"/>
      <c r="F197" s="455"/>
      <c r="G197" s="455"/>
      <c r="H197" s="455"/>
      <c r="I197" s="455"/>
      <c r="J197" s="456"/>
    </row>
    <row r="198" spans="1:12">
      <c r="A198" s="420" t="str">
        <f>'Data '!$A$2</f>
        <v>Analyst Name:</v>
      </c>
      <c r="B198" s="421"/>
      <c r="C198" s="293" t="str">
        <f>'Data '!$B$2</f>
        <v>ARYAN Shrenick kothari</v>
      </c>
      <c r="D198" s="295"/>
      <c r="E198" s="290"/>
      <c r="F198" s="294"/>
      <c r="G198" s="294"/>
      <c r="H198" s="294"/>
      <c r="I198" s="294"/>
      <c r="J198" s="422"/>
    </row>
    <row r="199" spans="1:12">
      <c r="A199" s="420" t="str">
        <f>'Data '!$A$3</f>
        <v>Company Name:</v>
      </c>
      <c r="B199" s="423"/>
      <c r="C199" s="293" t="str">
        <f>'Data '!$B$3</f>
        <v>Salvatore Ferragamo Group</v>
      </c>
      <c r="D199" s="290"/>
      <c r="E199" s="307"/>
      <c r="F199" s="294"/>
      <c r="G199" s="294"/>
      <c r="H199" s="294"/>
      <c r="I199" s="294"/>
      <c r="J199" s="422"/>
    </row>
    <row r="200" spans="1:12">
      <c r="A200" s="457"/>
      <c r="B200" s="179"/>
      <c r="C200" s="179"/>
      <c r="D200" s="179"/>
      <c r="E200" s="179"/>
      <c r="F200" s="179"/>
      <c r="G200" s="179"/>
      <c r="H200" s="179"/>
      <c r="I200" s="179"/>
      <c r="J200" s="458" t="s">
        <v>477</v>
      </c>
    </row>
    <row r="201" spans="1:12">
      <c r="A201" s="460" t="s">
        <v>496</v>
      </c>
      <c r="B201" s="107"/>
      <c r="C201" s="107"/>
      <c r="D201" s="107"/>
      <c r="E201" s="459">
        <v>1</v>
      </c>
      <c r="F201" s="459">
        <v>2</v>
      </c>
      <c r="G201" s="459">
        <v>3</v>
      </c>
      <c r="H201" s="459">
        <v>4</v>
      </c>
      <c r="I201" s="459">
        <v>5</v>
      </c>
      <c r="J201" s="458" t="s">
        <v>476</v>
      </c>
      <c r="L201" s="113"/>
    </row>
    <row r="202" spans="1:12">
      <c r="A202" s="460" t="s">
        <v>495</v>
      </c>
      <c r="B202" s="107"/>
      <c r="C202" s="107"/>
      <c r="D202" s="107"/>
      <c r="E202" s="461" t="s">
        <v>449</v>
      </c>
      <c r="F202" s="461" t="s">
        <v>448</v>
      </c>
      <c r="G202" s="461" t="s">
        <v>447</v>
      </c>
      <c r="H202" s="461" t="s">
        <v>446</v>
      </c>
      <c r="I202" s="461" t="s">
        <v>445</v>
      </c>
      <c r="J202" s="462" t="s">
        <v>444</v>
      </c>
      <c r="L202" s="463"/>
    </row>
    <row r="203" spans="1:12">
      <c r="A203" s="464" t="s">
        <v>494</v>
      </c>
      <c r="B203" s="179"/>
      <c r="C203" s="179"/>
      <c r="D203" s="179"/>
      <c r="E203" s="179"/>
      <c r="F203" s="179"/>
      <c r="G203" s="179"/>
      <c r="H203" s="179"/>
      <c r="I203" s="179"/>
      <c r="J203" s="430"/>
    </row>
    <row r="204" spans="1:12">
      <c r="A204" s="464" t="s">
        <v>493</v>
      </c>
      <c r="B204" s="179"/>
      <c r="C204" s="179"/>
      <c r="D204" s="179"/>
      <c r="E204" s="348">
        <f t="shared" ref="E204:J204" si="5">E147</f>
        <v>-38957.234766449983</v>
      </c>
      <c r="F204" s="348">
        <f t="shared" si="5"/>
        <v>-31223.901365904039</v>
      </c>
      <c r="G204" s="348">
        <f t="shared" si="5"/>
        <v>-21363.161289687927</v>
      </c>
      <c r="H204" s="348">
        <f t="shared" si="5"/>
        <v>-10781.606008194756</v>
      </c>
      <c r="I204" s="348">
        <f t="shared" si="5"/>
        <v>-995.82805393983267</v>
      </c>
      <c r="J204" s="465">
        <f t="shared" si="5"/>
        <v>-1025.7028955580074</v>
      </c>
    </row>
    <row r="205" spans="1:12">
      <c r="A205" s="424" t="s">
        <v>492</v>
      </c>
      <c r="B205" s="179"/>
      <c r="C205" s="179"/>
      <c r="D205" s="179"/>
      <c r="E205" s="348"/>
      <c r="F205" s="348"/>
      <c r="G205" s="348"/>
      <c r="H205" s="348"/>
      <c r="I205" s="348"/>
      <c r="J205" s="465"/>
    </row>
    <row r="206" spans="1:12">
      <c r="A206" s="424" t="s">
        <v>491</v>
      </c>
      <c r="B206" s="179"/>
      <c r="C206" s="179"/>
      <c r="D206" s="179"/>
      <c r="E206" s="348">
        <f t="shared" ref="E206:J206" si="6">E149</f>
        <v>622445</v>
      </c>
      <c r="F206" s="348">
        <f t="shared" si="6"/>
        <v>627575.44063564553</v>
      </c>
      <c r="G206" s="348">
        <f t="shared" si="6"/>
        <v>629089.96841419034</v>
      </c>
      <c r="H206" s="348">
        <f t="shared" si="6"/>
        <v>626954.1508812909</v>
      </c>
      <c r="I206" s="348">
        <f t="shared" si="6"/>
        <v>620392.15227601526</v>
      </c>
      <c r="J206" s="465">
        <f t="shared" si="6"/>
        <v>610328.27297555667</v>
      </c>
    </row>
    <row r="207" spans="1:12">
      <c r="A207" s="424"/>
      <c r="B207" s="179"/>
      <c r="C207" s="179"/>
      <c r="D207" s="179"/>
      <c r="E207" s="519"/>
      <c r="F207" s="519"/>
      <c r="G207" s="519"/>
      <c r="H207" s="519"/>
      <c r="I207" s="519"/>
      <c r="J207" s="520"/>
    </row>
    <row r="208" spans="1:12">
      <c r="A208" s="424" t="s">
        <v>490</v>
      </c>
      <c r="B208" s="179"/>
      <c r="C208" s="179"/>
      <c r="D208" s="179"/>
      <c r="E208" s="521">
        <f t="shared" ref="E208:J208" si="7">E204/E206</f>
        <v>-6.2587433052639155E-2</v>
      </c>
      <c r="F208" s="521">
        <f t="shared" si="7"/>
        <v>-4.9753223826411411E-2</v>
      </c>
      <c r="G208" s="521">
        <f t="shared" si="7"/>
        <v>-3.3958833175388524E-2</v>
      </c>
      <c r="H208" s="521">
        <f t="shared" si="7"/>
        <v>-1.7196801381790632E-2</v>
      </c>
      <c r="I208" s="521">
        <f t="shared" si="7"/>
        <v>-1.605159011580766E-3</v>
      </c>
      <c r="J208" s="522">
        <f t="shared" si="7"/>
        <v>-1.6805757507469858E-3</v>
      </c>
    </row>
    <row r="209" spans="1:10">
      <c r="A209" s="424" t="s">
        <v>489</v>
      </c>
      <c r="B209" s="179"/>
      <c r="C209" s="179"/>
      <c r="D209" s="179"/>
      <c r="E209" s="521">
        <f t="shared" ref="E209:J209" si="8">E208-$F$30</f>
        <v>-0.1353123136910363</v>
      </c>
      <c r="F209" s="521">
        <f t="shared" si="8"/>
        <v>-0.12247810446480857</v>
      </c>
      <c r="G209" s="521">
        <f t="shared" si="8"/>
        <v>-0.10668371381378569</v>
      </c>
      <c r="H209" s="521">
        <f t="shared" si="8"/>
        <v>-8.9921682020187799E-2</v>
      </c>
      <c r="I209" s="521">
        <f t="shared" si="8"/>
        <v>-7.4330039649977919E-2</v>
      </c>
      <c r="J209" s="522">
        <f t="shared" si="8"/>
        <v>-7.4405456389144142E-2</v>
      </c>
    </row>
    <row r="210" spans="1:10">
      <c r="A210" s="424" t="s">
        <v>488</v>
      </c>
      <c r="B210" s="179"/>
      <c r="C210" s="179"/>
      <c r="D210" s="179"/>
      <c r="E210" s="521">
        <f t="shared" ref="E210:J210" si="9">E206/$E$206</f>
        <v>1</v>
      </c>
      <c r="F210" s="521">
        <f t="shared" si="9"/>
        <v>1.0082423999480203</v>
      </c>
      <c r="G210" s="521">
        <f t="shared" si="9"/>
        <v>1.0106755912798566</v>
      </c>
      <c r="H210" s="521">
        <f t="shared" si="9"/>
        <v>1.0072442559283004</v>
      </c>
      <c r="I210" s="521">
        <f t="shared" si="9"/>
        <v>0.99670196125925226</v>
      </c>
      <c r="J210" s="522">
        <f t="shared" si="9"/>
        <v>0.98053365835625106</v>
      </c>
    </row>
    <row r="211" spans="1:10">
      <c r="A211" s="460" t="s">
        <v>487</v>
      </c>
      <c r="B211" s="107"/>
      <c r="C211" s="107"/>
      <c r="D211" s="107"/>
      <c r="E211" s="523">
        <f t="shared" ref="E211:J211" si="10">E209*E210</f>
        <v>-0.1353123136910363</v>
      </c>
      <c r="F211" s="523">
        <f t="shared" si="10"/>
        <v>-0.12348761798668294</v>
      </c>
      <c r="G211" s="523">
        <f t="shared" si="10"/>
        <v>-0.10782262553867886</v>
      </c>
      <c r="H211" s="523">
        <f t="shared" si="10"/>
        <v>-9.0573097698245286E-2</v>
      </c>
      <c r="I211" s="523">
        <f t="shared" si="10"/>
        <v>-7.4084896299610972E-2</v>
      </c>
      <c r="J211" s="524">
        <f t="shared" si="10"/>
        <v>-7.2957054354913994E-2</v>
      </c>
    </row>
    <row r="212" spans="1:10">
      <c r="A212" s="424"/>
      <c r="B212" s="179"/>
      <c r="C212" s="179"/>
      <c r="D212" s="179"/>
      <c r="E212" s="521"/>
      <c r="F212" s="521"/>
      <c r="G212" s="521"/>
      <c r="H212" s="521"/>
      <c r="I212" s="521"/>
      <c r="J212" s="522"/>
    </row>
    <row r="213" spans="1:10">
      <c r="A213" s="424" t="s">
        <v>466</v>
      </c>
      <c r="B213" s="179"/>
      <c r="C213" s="179"/>
      <c r="D213" s="179"/>
      <c r="E213" s="525">
        <f>1/(1+$F$30)^E201</f>
        <v>0.93220546856793585</v>
      </c>
      <c r="F213" s="525">
        <f>1/(1+$F$30)^F201</f>
        <v>0.86900703562796477</v>
      </c>
      <c r="G213" s="525">
        <f>1/(1+$F$30)^G201</f>
        <v>0.81009311083639968</v>
      </c>
      <c r="H213" s="525">
        <f>1/(1+$F$30)^H201</f>
        <v>0.75517322797090281</v>
      </c>
      <c r="I213" s="525">
        <f>1/(1+$F$30)^I201</f>
        <v>0.703976612830576</v>
      </c>
      <c r="J213" s="481"/>
    </row>
    <row r="214" spans="1:10">
      <c r="A214" s="424" t="s">
        <v>486</v>
      </c>
      <c r="B214" s="179"/>
      <c r="C214" s="179"/>
      <c r="D214" s="179"/>
      <c r="E214" s="525">
        <f>E211*E213</f>
        <v>-0.12613887878736402</v>
      </c>
      <c r="F214" s="525">
        <f>F211*F213</f>
        <v>-0.10731160884336588</v>
      </c>
      <c r="G214" s="525">
        <f>G211*G213</f>
        <v>-8.7346366141176593E-2</v>
      </c>
      <c r="H214" s="525">
        <f>H211*H213</f>
        <v>-6.8398378556107836E-2</v>
      </c>
      <c r="I214" s="525">
        <f>I211*I213</f>
        <v>-5.2154034358904609E-2</v>
      </c>
      <c r="J214" s="526"/>
    </row>
    <row r="215" spans="1:10">
      <c r="A215" s="424" t="s">
        <v>485</v>
      </c>
      <c r="B215" s="179"/>
      <c r="C215" s="179"/>
      <c r="D215" s="179"/>
      <c r="E215" s="527">
        <f>SUM(E214:I214)</f>
        <v>-0.44134926668691893</v>
      </c>
      <c r="F215" s="504"/>
      <c r="G215" s="504"/>
      <c r="H215" s="504"/>
      <c r="I215" s="504"/>
      <c r="J215" s="505"/>
    </row>
    <row r="216" spans="1:10">
      <c r="A216" s="424" t="s">
        <v>463</v>
      </c>
      <c r="B216" s="179"/>
      <c r="C216" s="179"/>
      <c r="D216" s="179"/>
      <c r="E216" s="527">
        <f>J211/($F$30-$F$23)*$I$213</f>
        <v>-1.2021112578770066</v>
      </c>
      <c r="F216" s="504"/>
      <c r="G216" s="504"/>
      <c r="H216" s="504"/>
      <c r="I216" s="504"/>
      <c r="J216" s="505"/>
    </row>
    <row r="217" spans="1:10">
      <c r="A217" s="424" t="s">
        <v>484</v>
      </c>
      <c r="B217" s="179"/>
      <c r="C217" s="179"/>
      <c r="D217" s="179"/>
      <c r="E217" s="527">
        <f>E215+E216</f>
        <v>-1.6434605245639256</v>
      </c>
      <c r="F217" s="504"/>
      <c r="G217" s="504"/>
      <c r="H217" s="506"/>
      <c r="I217" s="258"/>
      <c r="J217" s="528"/>
    </row>
    <row r="218" spans="1:10">
      <c r="A218" s="424" t="s">
        <v>483</v>
      </c>
      <c r="B218" s="179"/>
      <c r="C218" s="179"/>
      <c r="D218" s="179"/>
      <c r="E218" s="529">
        <v>1</v>
      </c>
      <c r="F218" s="258"/>
      <c r="G218" s="508"/>
      <c r="H218" s="508"/>
      <c r="I218" s="508"/>
      <c r="J218" s="509"/>
    </row>
    <row r="219" spans="1:10">
      <c r="A219" s="424" t="s">
        <v>482</v>
      </c>
      <c r="B219" s="179"/>
      <c r="C219" s="179"/>
      <c r="D219" s="179"/>
      <c r="E219" s="527">
        <f>E217+E218</f>
        <v>-0.64346052456392555</v>
      </c>
      <c r="F219" s="258"/>
      <c r="G219" s="258"/>
      <c r="H219" s="258"/>
      <c r="I219" s="508"/>
      <c r="J219" s="509"/>
    </row>
    <row r="220" spans="1:10">
      <c r="A220" s="424" t="s">
        <v>481</v>
      </c>
      <c r="B220" s="179"/>
      <c r="C220" s="179"/>
      <c r="D220" s="179"/>
      <c r="E220" s="530">
        <f>(1+$F$30/2)</f>
        <v>1.0363624403191987</v>
      </c>
      <c r="F220" s="258"/>
      <c r="G220" s="258"/>
      <c r="H220" s="258"/>
      <c r="I220" s="508"/>
      <c r="J220" s="509"/>
    </row>
    <row r="221" spans="1:10">
      <c r="A221" s="424" t="s">
        <v>480</v>
      </c>
      <c r="B221" s="179"/>
      <c r="C221" s="179"/>
      <c r="D221" s="179"/>
      <c r="E221" s="525">
        <f>E219*E220</f>
        <v>-0.6668583194861416</v>
      </c>
      <c r="F221" s="258"/>
      <c r="G221" s="258"/>
      <c r="H221" s="258"/>
      <c r="I221" s="508"/>
      <c r="J221" s="509"/>
    </row>
    <row r="222" spans="1:10">
      <c r="A222" s="424" t="s">
        <v>479</v>
      </c>
      <c r="B222" s="179"/>
      <c r="C222" s="179"/>
      <c r="D222" s="179"/>
      <c r="E222" s="348">
        <f>E206</f>
        <v>622445</v>
      </c>
      <c r="F222" s="258"/>
      <c r="G222" s="258"/>
      <c r="H222" s="258"/>
      <c r="I222" s="508"/>
      <c r="J222" s="509"/>
    </row>
    <row r="223" spans="1:10">
      <c r="A223" s="424" t="s">
        <v>456</v>
      </c>
      <c r="B223" s="179"/>
      <c r="C223" s="179"/>
      <c r="D223" s="179"/>
      <c r="E223" s="348">
        <f>E221*E222</f>
        <v>-415082.62667255139</v>
      </c>
      <c r="F223" s="258"/>
      <c r="G223" s="513"/>
      <c r="H223" s="258"/>
      <c r="I223" s="508"/>
      <c r="J223" s="509"/>
    </row>
    <row r="224" spans="1:10">
      <c r="A224" s="424" t="s">
        <v>455</v>
      </c>
      <c r="B224" s="179"/>
      <c r="C224" s="179"/>
      <c r="D224" s="179"/>
      <c r="E224" s="348">
        <f>$F$19</f>
        <v>168790</v>
      </c>
      <c r="F224" s="258"/>
      <c r="G224" s="258"/>
      <c r="H224" s="258"/>
      <c r="I224" s="508"/>
      <c r="J224" s="509"/>
    </row>
    <row r="225" spans="1:12">
      <c r="A225" s="424" t="s">
        <v>454</v>
      </c>
      <c r="B225" s="179"/>
      <c r="C225" s="179"/>
      <c r="D225" s="179"/>
      <c r="E225" s="512">
        <f>E223/E224</f>
        <v>-2.4591659853815475</v>
      </c>
      <c r="F225" s="258"/>
      <c r="G225" s="258"/>
      <c r="H225" s="258"/>
      <c r="I225" s="508"/>
      <c r="J225" s="509"/>
    </row>
    <row r="226" spans="1:12">
      <c r="A226" s="424"/>
      <c r="B226" s="179"/>
      <c r="C226" s="179"/>
      <c r="D226" s="179"/>
      <c r="E226" s="258"/>
      <c r="F226" s="258"/>
      <c r="G226" s="258"/>
      <c r="H226" s="258"/>
      <c r="I226" s="508"/>
      <c r="J226" s="509"/>
    </row>
    <row r="227" spans="1:12">
      <c r="A227" s="424" t="s">
        <v>453</v>
      </c>
      <c r="B227" s="179"/>
      <c r="C227" s="179"/>
      <c r="D227" s="179"/>
      <c r="E227" s="513">
        <f>$F$18</f>
        <v>6.82</v>
      </c>
      <c r="F227" s="258"/>
      <c r="G227" s="258"/>
      <c r="H227" s="258"/>
      <c r="I227" s="508"/>
      <c r="J227" s="509"/>
    </row>
    <row r="228" spans="1:12">
      <c r="A228" s="424" t="s">
        <v>452</v>
      </c>
      <c r="B228" s="179"/>
      <c r="C228" s="179"/>
      <c r="D228" s="179"/>
      <c r="E228" s="514">
        <f>E225/E227-1</f>
        <v>-1.3605815227832181</v>
      </c>
      <c r="F228" s="258"/>
      <c r="G228" s="258"/>
      <c r="H228" s="258"/>
      <c r="I228" s="508"/>
      <c r="J228" s="509"/>
    </row>
    <row r="229" spans="1:12">
      <c r="A229" s="424"/>
      <c r="B229" s="179"/>
      <c r="C229" s="179"/>
      <c r="D229" s="179"/>
      <c r="E229" s="179"/>
      <c r="F229" s="179"/>
      <c r="G229" s="179"/>
      <c r="H229" s="179"/>
      <c r="I229" s="179"/>
      <c r="J229" s="517"/>
    </row>
    <row r="230" spans="1:12" ht="13.5" thickBot="1">
      <c r="A230" s="449" t="s">
        <v>478</v>
      </c>
      <c r="B230" s="450"/>
      <c r="C230" s="450"/>
      <c r="D230" s="450"/>
      <c r="E230" s="450"/>
      <c r="F230" s="450"/>
      <c r="G230" s="450"/>
      <c r="H230" s="450"/>
      <c r="I230" s="450"/>
      <c r="J230" s="451"/>
    </row>
    <row r="231" spans="1:12" ht="13.5" thickTop="1">
      <c r="A231" s="428"/>
      <c r="B231" s="428"/>
      <c r="C231" s="428"/>
      <c r="D231" s="428"/>
      <c r="E231" s="428"/>
      <c r="F231" s="428"/>
      <c r="G231" s="428"/>
      <c r="H231" s="428"/>
      <c r="I231" s="428"/>
      <c r="J231" s="428"/>
    </row>
    <row r="232" spans="1:12" ht="13.5" thickBot="1">
      <c r="A232" s="508"/>
      <c r="B232" s="508"/>
      <c r="C232" s="508"/>
      <c r="D232" s="508"/>
      <c r="E232" s="508"/>
      <c r="F232" s="508"/>
      <c r="G232" s="508"/>
      <c r="H232" s="508"/>
      <c r="I232" s="508"/>
      <c r="J232" s="508"/>
    </row>
    <row r="233" spans="1:12" ht="13.5" thickTop="1">
      <c r="A233" s="452" t="s">
        <v>358</v>
      </c>
      <c r="B233" s="453"/>
      <c r="C233" s="454" t="str">
        <f>C12</f>
        <v>VALUATION MODELS</v>
      </c>
      <c r="D233" s="454"/>
      <c r="E233" s="455"/>
      <c r="F233" s="455"/>
      <c r="G233" s="455"/>
      <c r="H233" s="455"/>
      <c r="I233" s="455"/>
      <c r="J233" s="456"/>
    </row>
    <row r="234" spans="1:12">
      <c r="A234" s="420" t="str">
        <f>'Data '!$A$2</f>
        <v>Analyst Name:</v>
      </c>
      <c r="B234" s="421"/>
      <c r="C234" s="293" t="str">
        <f>'Data '!$B$2</f>
        <v>ARYAN Shrenick kothari</v>
      </c>
      <c r="D234" s="295"/>
      <c r="E234" s="290"/>
      <c r="F234" s="294"/>
      <c r="G234" s="294"/>
      <c r="H234" s="294"/>
      <c r="I234" s="294"/>
      <c r="J234" s="422"/>
    </row>
    <row r="235" spans="1:12">
      <c r="A235" s="420" t="str">
        <f>'Data '!$A$3</f>
        <v>Company Name:</v>
      </c>
      <c r="B235" s="423"/>
      <c r="C235" s="293" t="str">
        <f>'Data '!$B$3</f>
        <v>Salvatore Ferragamo Group</v>
      </c>
      <c r="D235" s="290"/>
      <c r="E235" s="307"/>
      <c r="F235" s="294"/>
      <c r="G235" s="294"/>
      <c r="H235" s="294"/>
      <c r="I235" s="294"/>
      <c r="J235" s="422"/>
    </row>
    <row r="236" spans="1:12">
      <c r="A236" s="457"/>
      <c r="B236" s="179"/>
      <c r="C236" s="179"/>
      <c r="D236" s="179"/>
      <c r="E236" s="179"/>
      <c r="F236" s="179"/>
      <c r="G236" s="179"/>
      <c r="H236" s="531"/>
      <c r="I236" s="532"/>
      <c r="J236" s="458" t="s">
        <v>477</v>
      </c>
    </row>
    <row r="237" spans="1:12">
      <c r="A237" s="179"/>
      <c r="B237" s="179"/>
      <c r="C237" s="179"/>
      <c r="D237" s="179"/>
      <c r="E237" s="459">
        <v>1</v>
      </c>
      <c r="F237" s="459">
        <v>2</v>
      </c>
      <c r="G237" s="459">
        <v>3</v>
      </c>
      <c r="H237" s="459">
        <v>4</v>
      </c>
      <c r="I237" s="459">
        <v>5</v>
      </c>
      <c r="J237" s="458" t="s">
        <v>476</v>
      </c>
      <c r="L237" s="113"/>
    </row>
    <row r="238" spans="1:12">
      <c r="A238" s="460" t="s">
        <v>475</v>
      </c>
      <c r="B238" s="107"/>
      <c r="C238" s="107"/>
      <c r="D238" s="107"/>
      <c r="E238" s="461" t="s">
        <v>449</v>
      </c>
      <c r="F238" s="461" t="s">
        <v>448</v>
      </c>
      <c r="G238" s="461" t="s">
        <v>447</v>
      </c>
      <c r="H238" s="461" t="s">
        <v>446</v>
      </c>
      <c r="I238" s="461" t="s">
        <v>445</v>
      </c>
      <c r="J238" s="462" t="s">
        <v>444</v>
      </c>
      <c r="L238" s="463"/>
    </row>
    <row r="239" spans="1:12">
      <c r="A239" s="424"/>
      <c r="B239" s="179"/>
      <c r="C239" s="179"/>
      <c r="D239" s="179"/>
      <c r="E239" s="258"/>
      <c r="F239" s="258"/>
      <c r="G239" s="258"/>
      <c r="H239" s="258"/>
      <c r="I239" s="258"/>
      <c r="J239" s="458"/>
    </row>
    <row r="240" spans="1:12">
      <c r="A240" s="464" t="s">
        <v>474</v>
      </c>
      <c r="B240" s="179"/>
      <c r="C240" s="179"/>
      <c r="D240" s="179"/>
      <c r="E240" s="357">
        <f>'Forecasts '!E290</f>
        <v>4962.2395979047105</v>
      </c>
      <c r="F240" s="357">
        <f>'Forecasts '!F290</f>
        <v>16745.657360550998</v>
      </c>
      <c r="G240" s="357">
        <f>'Forecasts '!G290</f>
        <v>30698.584917216165</v>
      </c>
      <c r="H240" s="357">
        <f>'Forecasts '!H290</f>
        <v>46156.033633184867</v>
      </c>
      <c r="I240" s="357">
        <f>'Forecasts '!I290</f>
        <v>60109.570488353289</v>
      </c>
      <c r="J240" s="471">
        <f>'Forecasts '!J290</f>
        <v>9719.4516288836239</v>
      </c>
    </row>
    <row r="241" spans="1:10">
      <c r="A241" s="424" t="s">
        <v>473</v>
      </c>
      <c r="B241" s="179"/>
      <c r="C241" s="179"/>
      <c r="D241" s="179"/>
      <c r="E241" s="950">
        <f>-'Forecasts '!E55*(1-(-'Forecasts '!E68/'Forecasts '!E64))</f>
        <v>29037.799868999995</v>
      </c>
      <c r="F241" s="357">
        <f>-'Forecasts '!F55*(1-(-'Forecasts '!F68/'Forecasts '!F64))</f>
        <v>29618.555866379997</v>
      </c>
      <c r="G241" s="357">
        <f>-'Forecasts '!G55*(1-(-'Forecasts '!G68/'Forecasts '!G64))</f>
        <v>30210.926983707603</v>
      </c>
      <c r="H241" s="357">
        <f>-'Forecasts '!H55*(1-(-'Forecasts '!H68/'Forecasts '!H64))</f>
        <v>30815.145523381751</v>
      </c>
      <c r="I241" s="357">
        <f>-'Forecasts '!I55*(1-(-'Forecasts '!I68/'Forecasts '!I64))</f>
        <v>31431.448433849386</v>
      </c>
      <c r="J241" s="471">
        <f>-'Forecasts '!J55*(1-(-'Forecasts '!J68/'Forecasts '!J64))</f>
        <v>32374.391886864767</v>
      </c>
    </row>
    <row r="242" spans="1:10">
      <c r="A242" s="424" t="s">
        <v>472</v>
      </c>
      <c r="B242" s="179"/>
      <c r="C242" s="179"/>
      <c r="D242" s="179"/>
      <c r="E242" s="357">
        <v>0</v>
      </c>
      <c r="F242" s="357">
        <v>0</v>
      </c>
      <c r="G242" s="357">
        <v>0</v>
      </c>
      <c r="H242" s="357">
        <v>0</v>
      </c>
      <c r="I242" s="357">
        <v>0</v>
      </c>
      <c r="J242" s="471">
        <v>0</v>
      </c>
    </row>
    <row r="243" spans="1:10">
      <c r="A243" s="533" t="s">
        <v>471</v>
      </c>
      <c r="B243" s="179"/>
      <c r="C243" s="179"/>
      <c r="D243" s="179"/>
      <c r="E243" s="534">
        <f>-'Forecasts '!E308</f>
        <v>-7145.8200000001598</v>
      </c>
      <c r="F243" s="534">
        <f>-'Forecasts '!F308</f>
        <v>-7360.1945999999953</v>
      </c>
      <c r="G243" s="534">
        <f>-'Forecasts '!G308</f>
        <v>-7581.000437999719</v>
      </c>
      <c r="H243" s="534">
        <f>-'Forecasts '!H308</f>
        <v>-7808.4304511398768</v>
      </c>
      <c r="I243" s="534">
        <f>-'Forecasts '!I308</f>
        <v>-8042.6833646745945</v>
      </c>
      <c r="J243" s="535">
        <f>-'Forecasts '!J308</f>
        <v>-8283.9638656143288</v>
      </c>
    </row>
    <row r="244" spans="1:10">
      <c r="A244" s="424" t="s">
        <v>470</v>
      </c>
      <c r="B244" s="179"/>
      <c r="C244" s="179"/>
      <c r="D244" s="179"/>
      <c r="E244" s="357">
        <f t="shared" ref="E244:J244" si="11">SUM(E240:E243)</f>
        <v>26854.219466904549</v>
      </c>
      <c r="F244" s="357">
        <f t="shared" si="11"/>
        <v>39004.018626931</v>
      </c>
      <c r="G244" s="357">
        <f t="shared" si="11"/>
        <v>53328.511462924049</v>
      </c>
      <c r="H244" s="357">
        <f t="shared" si="11"/>
        <v>69162.74870542674</v>
      </c>
      <c r="I244" s="357">
        <f t="shared" si="11"/>
        <v>83498.335557528073</v>
      </c>
      <c r="J244" s="471">
        <f t="shared" si="11"/>
        <v>33809.879650134062</v>
      </c>
    </row>
    <row r="245" spans="1:10">
      <c r="A245" s="464" t="s">
        <v>469</v>
      </c>
      <c r="B245" s="179"/>
      <c r="C245" s="179"/>
      <c r="D245" s="179"/>
      <c r="E245" s="357">
        <f>'Forecasts '!E298</f>
        <v>-53246.430000000037</v>
      </c>
      <c r="F245" s="357">
        <f>'Forecasts '!F298</f>
        <v>-53693.054699999979</v>
      </c>
      <c r="G245" s="357">
        <f>'Forecasts '!G298</f>
        <v>-54145.45536299995</v>
      </c>
      <c r="H245" s="357">
        <f>'Forecasts '!H298</f>
        <v>-54603.72931167006</v>
      </c>
      <c r="I245" s="357">
        <f>'Forecasts '!I298</f>
        <v>-55276.066016628247</v>
      </c>
      <c r="J245" s="471">
        <f>'Forecasts '!J298</f>
        <v>-39583.672061739024</v>
      </c>
    </row>
    <row r="246" spans="1:10">
      <c r="A246" s="424" t="s">
        <v>468</v>
      </c>
      <c r="B246" s="179"/>
      <c r="C246" s="179"/>
      <c r="D246" s="179"/>
      <c r="E246" s="357">
        <v>0</v>
      </c>
      <c r="F246" s="357">
        <v>0</v>
      </c>
      <c r="G246" s="357">
        <v>0</v>
      </c>
      <c r="H246" s="357">
        <v>0</v>
      </c>
      <c r="I246" s="357">
        <v>0</v>
      </c>
      <c r="J246" s="471">
        <v>0</v>
      </c>
    </row>
    <row r="247" spans="1:10">
      <c r="A247" s="460" t="s">
        <v>467</v>
      </c>
      <c r="B247" s="107"/>
      <c r="C247" s="107"/>
      <c r="D247" s="107"/>
      <c r="E247" s="478">
        <f t="shared" ref="E247:J247" si="12">SUM(E244:E246)</f>
        <v>-26392.210533095487</v>
      </c>
      <c r="F247" s="478">
        <f t="shared" si="12"/>
        <v>-14689.036073068979</v>
      </c>
      <c r="G247" s="478">
        <f t="shared" si="12"/>
        <v>-816.94390007590118</v>
      </c>
      <c r="H247" s="478">
        <f t="shared" si="12"/>
        <v>14559.01939375668</v>
      </c>
      <c r="I247" s="478">
        <f t="shared" si="12"/>
        <v>28222.269540899826</v>
      </c>
      <c r="J247" s="479">
        <f t="shared" si="12"/>
        <v>-5773.7924116049617</v>
      </c>
    </row>
    <row r="248" spans="1:10">
      <c r="A248" s="424"/>
      <c r="B248" s="179"/>
      <c r="C248" s="179"/>
      <c r="D248" s="179"/>
      <c r="E248" s="179"/>
      <c r="F248" s="179"/>
      <c r="G248" s="179"/>
      <c r="H248" s="179"/>
      <c r="I248" s="179"/>
      <c r="J248" s="430"/>
    </row>
    <row r="249" spans="1:10">
      <c r="A249" s="424" t="s">
        <v>466</v>
      </c>
      <c r="B249" s="179"/>
      <c r="C249" s="179"/>
      <c r="D249" s="179"/>
      <c r="E249" s="480">
        <f>1/(1+$F$53)^E237</f>
        <v>0.93856531500603868</v>
      </c>
      <c r="F249" s="480">
        <f>1/(1+$F$53)^F237</f>
        <v>0.88090485053238454</v>
      </c>
      <c r="G249" s="480">
        <f>1/(1+$F$53)^G237</f>
        <v>0.82678673853027496</v>
      </c>
      <c r="H249" s="480">
        <f>1/(1+$F$53)^H237</f>
        <v>0.77599335569148264</v>
      </c>
      <c r="I249" s="480">
        <f>1/(1+$F$53)^I237</f>
        <v>0.72832044832716947</v>
      </c>
      <c r="J249" s="481"/>
    </row>
    <row r="250" spans="1:10">
      <c r="A250" s="424" t="s">
        <v>465</v>
      </c>
      <c r="B250" s="179"/>
      <c r="C250" s="179"/>
      <c r="D250" s="179"/>
      <c r="E250" s="357">
        <f>E247*E249</f>
        <v>-24770.813392700456</v>
      </c>
      <c r="F250" s="357">
        <f>F247*F249</f>
        <v>-12939.643126411635</v>
      </c>
      <c r="G250" s="357">
        <f>G247*G249</f>
        <v>-675.43838270595722</v>
      </c>
      <c r="H250" s="357">
        <f>H247*H249</f>
        <v>11297.702314938622</v>
      </c>
      <c r="I250" s="357">
        <f>I247*I249</f>
        <v>20554.856004838381</v>
      </c>
      <c r="J250" s="471"/>
    </row>
    <row r="251" spans="1:10">
      <c r="A251" s="424" t="s">
        <v>464</v>
      </c>
      <c r="B251" s="179"/>
      <c r="C251" s="179"/>
      <c r="D251" s="179"/>
      <c r="E251" s="357">
        <f>SUM(E250:I250)</f>
        <v>-6533.3365820410472</v>
      </c>
      <c r="F251" s="357"/>
      <c r="G251" s="357"/>
      <c r="H251" s="357"/>
      <c r="I251" s="357"/>
      <c r="J251" s="471"/>
    </row>
    <row r="252" spans="1:10">
      <c r="A252" s="424" t="s">
        <v>463</v>
      </c>
      <c r="B252" s="179"/>
      <c r="C252" s="179"/>
      <c r="D252" s="179"/>
      <c r="E252" s="357">
        <f>J247/($F$53-$F$23)*$I$249</f>
        <v>-118602.68851809853</v>
      </c>
      <c r="F252" s="357"/>
      <c r="G252" s="357"/>
      <c r="H252" s="357"/>
      <c r="I252" s="357"/>
      <c r="J252" s="471"/>
    </row>
    <row r="253" spans="1:10">
      <c r="A253" s="424" t="s">
        <v>462</v>
      </c>
      <c r="B253" s="179"/>
      <c r="C253" s="179"/>
      <c r="D253" s="179"/>
      <c r="E253" s="357">
        <f>E251+E252</f>
        <v>-125136.02510013958</v>
      </c>
      <c r="F253" s="357"/>
      <c r="G253" s="357"/>
      <c r="H253" s="357"/>
      <c r="I253" s="357"/>
      <c r="J253" s="471"/>
    </row>
    <row r="254" spans="1:10">
      <c r="A254" s="424" t="s">
        <v>461</v>
      </c>
      <c r="B254" s="179"/>
      <c r="C254" s="179"/>
      <c r="D254" s="179"/>
      <c r="E254" s="357">
        <f>-$F$33</f>
        <v>-567067</v>
      </c>
      <c r="F254" s="179"/>
      <c r="G254" s="357"/>
      <c r="H254" s="357"/>
      <c r="I254" s="357"/>
      <c r="J254" s="471"/>
    </row>
    <row r="255" spans="1:10">
      <c r="A255" s="424" t="s">
        <v>460</v>
      </c>
      <c r="B255" s="179"/>
      <c r="C255" s="179"/>
      <c r="D255" s="179"/>
      <c r="E255" s="357">
        <f>-$F$39</f>
        <v>0</v>
      </c>
      <c r="F255" s="179"/>
      <c r="G255" s="179"/>
      <c r="H255" s="357"/>
      <c r="I255" s="357"/>
      <c r="J255" s="471"/>
    </row>
    <row r="256" spans="1:10">
      <c r="A256" s="424" t="s">
        <v>459</v>
      </c>
      <c r="B256" s="179"/>
      <c r="C256" s="179"/>
      <c r="D256" s="179"/>
      <c r="E256" s="357">
        <v>0</v>
      </c>
      <c r="F256" s="179"/>
      <c r="G256" s="179"/>
      <c r="H256" s="357"/>
      <c r="I256" s="357"/>
      <c r="J256" s="471"/>
    </row>
    <row r="257" spans="1:10">
      <c r="A257" s="424" t="s">
        <v>458</v>
      </c>
      <c r="B257" s="179"/>
      <c r="C257" s="179"/>
      <c r="D257" s="179"/>
      <c r="E257" s="357">
        <f>E253+E254+E255+E256</f>
        <v>-692203.02510013955</v>
      </c>
      <c r="F257" s="179"/>
      <c r="G257" s="179"/>
      <c r="H257" s="482"/>
      <c r="I257" s="482"/>
      <c r="J257" s="536"/>
    </row>
    <row r="258" spans="1:10">
      <c r="A258" s="424" t="s">
        <v>457</v>
      </c>
      <c r="B258" s="179"/>
      <c r="C258" s="179"/>
      <c r="D258" s="179"/>
      <c r="E258" s="472">
        <f>(1+$F$53/2)</f>
        <v>1.0327279753533007</v>
      </c>
      <c r="F258" s="357"/>
      <c r="G258" s="179"/>
      <c r="H258" s="485"/>
      <c r="I258" s="485"/>
      <c r="J258" s="517"/>
    </row>
    <row r="259" spans="1:10">
      <c r="A259" s="424" t="s">
        <v>456</v>
      </c>
      <c r="B259" s="179"/>
      <c r="C259" s="179"/>
      <c r="D259" s="179"/>
      <c r="E259" s="357">
        <f>E257*E258</f>
        <v>-714857.42864509718</v>
      </c>
      <c r="F259" s="357"/>
      <c r="G259" s="179"/>
      <c r="H259" s="485"/>
      <c r="I259" s="179"/>
      <c r="J259" s="430"/>
    </row>
    <row r="260" spans="1:10">
      <c r="A260" s="424" t="s">
        <v>455</v>
      </c>
      <c r="B260" s="179"/>
      <c r="C260" s="179"/>
      <c r="D260" s="179"/>
      <c r="E260" s="357">
        <f>$F$19</f>
        <v>168790</v>
      </c>
      <c r="F260" s="357"/>
      <c r="G260" s="179"/>
      <c r="H260" s="485"/>
      <c r="I260" s="179"/>
      <c r="J260" s="430"/>
    </row>
    <row r="261" spans="1:10">
      <c r="A261" s="424" t="s">
        <v>454</v>
      </c>
      <c r="B261" s="179"/>
      <c r="C261" s="179"/>
      <c r="D261" s="179"/>
      <c r="E261" s="483">
        <f>E259/E260</f>
        <v>-4.2351882732691344</v>
      </c>
      <c r="F261" s="357"/>
      <c r="G261" s="179"/>
      <c r="H261" s="485"/>
      <c r="I261" s="179"/>
      <c r="J261" s="430"/>
    </row>
    <row r="262" spans="1:10">
      <c r="A262" s="424"/>
      <c r="B262" s="179"/>
      <c r="C262" s="179"/>
      <c r="D262" s="179"/>
      <c r="E262" s="179"/>
      <c r="F262" s="179"/>
      <c r="G262" s="179"/>
      <c r="H262" s="485"/>
      <c r="I262" s="179"/>
      <c r="J262" s="430"/>
    </row>
    <row r="263" spans="1:10">
      <c r="A263" s="424" t="s">
        <v>453</v>
      </c>
      <c r="B263" s="179"/>
      <c r="C263" s="179"/>
      <c r="D263" s="179"/>
      <c r="E263" s="474">
        <f>$F$18</f>
        <v>6.82</v>
      </c>
      <c r="F263" s="179"/>
      <c r="G263" s="179"/>
      <c r="H263" s="485"/>
      <c r="I263" s="179"/>
      <c r="J263" s="430"/>
    </row>
    <row r="264" spans="1:10">
      <c r="A264" s="424" t="s">
        <v>452</v>
      </c>
      <c r="B264" s="179"/>
      <c r="C264" s="179"/>
      <c r="D264" s="179"/>
      <c r="E264" s="475">
        <f>E261/E263-1</f>
        <v>-1.6209953479866765</v>
      </c>
      <c r="F264" s="179"/>
      <c r="G264" s="485"/>
      <c r="H264" s="485"/>
      <c r="I264" s="485"/>
      <c r="J264" s="517"/>
    </row>
    <row r="265" spans="1:10" ht="13.5" thickBot="1">
      <c r="A265" s="449"/>
      <c r="B265" s="450"/>
      <c r="C265" s="450"/>
      <c r="D265" s="450"/>
      <c r="E265" s="450"/>
      <c r="F265" s="450"/>
      <c r="G265" s="450"/>
      <c r="H265" s="476"/>
      <c r="I265" s="476"/>
      <c r="J265" s="477"/>
    </row>
    <row r="266" spans="1:10" ht="13.5" thickTop="1">
      <c r="A266" s="428"/>
      <c r="B266" s="428"/>
      <c r="C266" s="428"/>
      <c r="D266" s="428"/>
      <c r="E266" s="428"/>
      <c r="F266" s="428"/>
      <c r="G266" s="428"/>
      <c r="H266" s="516"/>
      <c r="I266" s="516"/>
      <c r="J266" s="516"/>
    </row>
  </sheetData>
  <pageMargins left="0.75" right="0.75" top="1" bottom="1" header="0.5" footer="0.5"/>
  <pageSetup scale="75" orientation="portrait" horizontalDpi="300" verticalDpi="300" r:id="rId1"/>
  <headerFooter alignWithMargins="0"/>
  <rowBreaks count="7" manualBreakCount="7">
    <brk id="55" max="16383" man="1"/>
    <brk id="82" max="16383" man="1"/>
    <brk id="112" max="9" man="1"/>
    <brk id="138" max="9" man="1"/>
    <brk id="169" max="16383" man="1"/>
    <brk id="195" max="9" man="1"/>
    <brk id="231" max="9" man="1"/>
  </rowBreaks>
  <colBreaks count="1" manualBreakCount="1">
    <brk id="12"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1ED32-BA92-4186-9C54-FDA6A8CE2AFA}">
  <sheetPr>
    <tabColor rgb="FF1F3864"/>
  </sheetPr>
  <dimension ref="A1:Y120"/>
  <sheetViews>
    <sheetView showGridLines="0" zoomScale="106" zoomScaleNormal="100" workbookViewId="0">
      <selection activeCell="H17" sqref="H17:O23"/>
    </sheetView>
  </sheetViews>
  <sheetFormatPr defaultColWidth="11.42578125" defaultRowHeight="12.75"/>
  <cols>
    <col min="1" max="1" width="9.5703125" style="7" customWidth="1"/>
    <col min="2" max="3" width="6" style="7" customWidth="1"/>
    <col min="4" max="4" width="8.5703125" style="7" customWidth="1"/>
    <col min="5" max="5" width="8" style="7" customWidth="1"/>
    <col min="6" max="6" width="8.28515625" style="7" customWidth="1"/>
    <col min="7" max="7" width="3" style="7" customWidth="1"/>
    <col min="8" max="8" width="7.7109375" style="7" customWidth="1"/>
    <col min="9" max="13" width="6" style="7" customWidth="1"/>
    <col min="14" max="14" width="3" style="7" customWidth="1"/>
    <col min="15" max="25" width="9.28515625" style="7" customWidth="1"/>
    <col min="26" max="35" width="6" style="7" customWidth="1"/>
    <col min="36" max="16384" width="11.42578125" style="7"/>
  </cols>
  <sheetData>
    <row r="1" spans="1:18" ht="12.75" customHeight="1">
      <c r="H1" s="1073"/>
      <c r="I1" s="1073"/>
      <c r="J1" s="1073"/>
      <c r="K1" s="1073"/>
      <c r="L1" s="1073"/>
      <c r="M1" s="1073"/>
      <c r="N1" s="1073"/>
      <c r="O1" s="1073"/>
    </row>
    <row r="2" spans="1:18" ht="12.75" customHeight="1">
      <c r="A2" s="1074" t="s">
        <v>691</v>
      </c>
      <c r="B2" s="1075"/>
      <c r="C2" s="1076">
        <f>E2</f>
        <v>7.94</v>
      </c>
      <c r="D2" s="1077"/>
      <c r="E2" s="1078">
        <v>7.94</v>
      </c>
      <c r="F2" s="1079"/>
      <c r="H2" s="1047"/>
      <c r="I2" s="1047"/>
      <c r="J2" s="1047"/>
      <c r="K2" s="1047"/>
      <c r="L2" s="1047"/>
      <c r="M2" s="1047"/>
      <c r="N2" s="1047"/>
      <c r="O2" s="1047"/>
      <c r="P2" s="1072"/>
      <c r="Q2" s="1072"/>
      <c r="R2" s="1072"/>
    </row>
    <row r="3" spans="1:18" ht="12.75" customHeight="1">
      <c r="A3" s="1065" t="s">
        <v>690</v>
      </c>
      <c r="B3" s="1065"/>
      <c r="C3" s="1065"/>
      <c r="D3" s="1065"/>
      <c r="E3" s="580">
        <v>8.2100000000000009</v>
      </c>
      <c r="F3" s="580">
        <v>4.3499999999999996</v>
      </c>
      <c r="H3" s="1066"/>
      <c r="I3" s="1066"/>
      <c r="J3" s="1066"/>
      <c r="K3" s="1066"/>
      <c r="L3" s="1066"/>
      <c r="M3" s="1066"/>
      <c r="N3" s="1066"/>
      <c r="O3" s="1066"/>
    </row>
    <row r="4" spans="1:18">
      <c r="A4" s="1067" t="s">
        <v>689</v>
      </c>
      <c r="B4" s="1067"/>
      <c r="C4" s="1067"/>
      <c r="D4" s="1067"/>
      <c r="E4" s="1068">
        <v>1250</v>
      </c>
      <c r="F4" s="1068"/>
      <c r="H4" s="1066"/>
      <c r="I4" s="1066"/>
      <c r="J4" s="1066"/>
      <c r="K4" s="1066"/>
      <c r="L4" s="1066"/>
      <c r="M4" s="1066"/>
      <c r="N4" s="1066"/>
      <c r="O4" s="1066"/>
      <c r="P4" s="542"/>
    </row>
    <row r="5" spans="1:18" ht="12.75" customHeight="1">
      <c r="A5" s="1067" t="s">
        <v>688</v>
      </c>
      <c r="B5" s="1067"/>
      <c r="C5" s="1067"/>
      <c r="D5" s="1067"/>
      <c r="E5" s="1069">
        <v>1750000</v>
      </c>
      <c r="F5" s="1070"/>
      <c r="H5" s="1047"/>
      <c r="I5" s="1047"/>
      <c r="J5" s="1047"/>
      <c r="K5" s="1047"/>
      <c r="L5" s="1047"/>
      <c r="M5" s="1047"/>
      <c r="N5" s="1047"/>
      <c r="O5" s="1047"/>
      <c r="P5" s="542"/>
      <c r="Q5" s="579"/>
      <c r="R5" s="670"/>
    </row>
    <row r="6" spans="1:18">
      <c r="A6" s="1067" t="s">
        <v>687</v>
      </c>
      <c r="B6" s="1067"/>
      <c r="C6" s="1067"/>
      <c r="D6" s="1067"/>
      <c r="E6" s="1071">
        <v>839550</v>
      </c>
      <c r="F6" s="1061"/>
      <c r="H6" s="1047"/>
      <c r="I6" s="1047"/>
      <c r="J6" s="1047"/>
      <c r="K6" s="1047"/>
      <c r="L6" s="1047"/>
      <c r="M6" s="1047"/>
      <c r="N6" s="1047"/>
      <c r="O6" s="1047"/>
      <c r="P6" s="542"/>
      <c r="Q6" s="579"/>
      <c r="R6" s="544"/>
    </row>
    <row r="7" spans="1:18">
      <c r="A7" s="1055" t="s">
        <v>686</v>
      </c>
      <c r="B7" s="1055"/>
      <c r="C7" s="1055"/>
      <c r="D7" s="1055"/>
      <c r="E7" s="1060">
        <v>1</v>
      </c>
      <c r="F7" s="1061"/>
      <c r="H7" s="547"/>
      <c r="I7" s="547"/>
      <c r="J7" s="547"/>
      <c r="K7" s="547"/>
      <c r="L7" s="547"/>
      <c r="M7" s="547"/>
      <c r="N7" s="547"/>
      <c r="O7" s="547"/>
      <c r="P7" s="542"/>
      <c r="R7" s="543"/>
    </row>
    <row r="8" spans="1:18">
      <c r="A8" s="1055" t="s">
        <v>685</v>
      </c>
      <c r="B8" s="1055"/>
      <c r="C8" s="1055"/>
      <c r="D8" s="1055"/>
      <c r="E8" s="1062">
        <v>0.56030707005090574</v>
      </c>
      <c r="F8" s="1061"/>
      <c r="H8" s="547"/>
      <c r="I8" s="547"/>
      <c r="J8" s="547"/>
      <c r="K8" s="547"/>
      <c r="L8" s="547"/>
      <c r="M8" s="547"/>
      <c r="N8" s="547"/>
      <c r="O8" s="547"/>
      <c r="P8" s="542"/>
      <c r="R8" s="543"/>
    </row>
    <row r="9" spans="1:18">
      <c r="A9" s="1055" t="s">
        <v>684</v>
      </c>
      <c r="B9" s="1055"/>
      <c r="C9" s="1055"/>
      <c r="D9" s="1055"/>
      <c r="E9" s="1063" t="s">
        <v>699</v>
      </c>
      <c r="F9" s="1064"/>
      <c r="G9" s="7" t="s">
        <v>722</v>
      </c>
      <c r="H9" s="547"/>
      <c r="I9" s="547"/>
      <c r="J9" s="547"/>
      <c r="K9" s="547"/>
      <c r="L9" s="547"/>
      <c r="M9" s="547"/>
      <c r="N9" s="547"/>
      <c r="O9" s="547"/>
      <c r="P9" s="542"/>
      <c r="R9" s="543"/>
    </row>
    <row r="10" spans="1:18" ht="12.75" customHeight="1">
      <c r="A10" s="557"/>
      <c r="B10" s="557"/>
      <c r="C10" s="557"/>
      <c r="D10" s="557"/>
      <c r="E10" s="557"/>
      <c r="F10" s="557"/>
      <c r="H10" s="542"/>
      <c r="I10" s="542"/>
      <c r="J10" s="542"/>
      <c r="K10" s="542"/>
      <c r="L10" s="542"/>
      <c r="M10" s="542"/>
      <c r="N10" s="542"/>
      <c r="O10" s="542"/>
      <c r="P10" s="542"/>
      <c r="R10" s="543"/>
    </row>
    <row r="11" spans="1:18" ht="12.75" customHeight="1">
      <c r="A11" s="561" t="s">
        <v>683</v>
      </c>
      <c r="B11" s="560"/>
      <c r="C11" s="560"/>
      <c r="D11" s="578" t="s">
        <v>682</v>
      </c>
      <c r="E11" s="577" t="s">
        <v>681</v>
      </c>
      <c r="F11" s="576" t="s">
        <v>680</v>
      </c>
      <c r="H11" s="542"/>
      <c r="I11" s="542"/>
      <c r="J11" s="542"/>
      <c r="K11" s="542"/>
      <c r="L11" s="542"/>
      <c r="M11" s="542"/>
      <c r="N11" s="542"/>
      <c r="O11" s="542"/>
      <c r="P11" s="542"/>
      <c r="R11" s="543"/>
    </row>
    <row r="12" spans="1:18">
      <c r="A12" s="1057" t="s">
        <v>679</v>
      </c>
      <c r="B12" s="1058"/>
      <c r="C12" s="1059"/>
      <c r="D12" s="662">
        <f>'Analysis '!F114</f>
        <v>-20.347394540942926</v>
      </c>
      <c r="E12" s="977">
        <f>'Forecasts '!E90/'Valuation '!F19</f>
        <v>-0.2308029786506901</v>
      </c>
      <c r="F12" s="977">
        <f>'Forecasts '!F90/'Valuation '!F19</f>
        <v>-0.18498667791873949</v>
      </c>
      <c r="H12" s="1047"/>
      <c r="I12" s="1047"/>
      <c r="J12" s="1047"/>
      <c r="K12" s="1047"/>
      <c r="L12" s="1047"/>
      <c r="M12" s="1047"/>
      <c r="N12" s="1047"/>
      <c r="O12" s="1047"/>
      <c r="P12" s="542"/>
    </row>
    <row r="13" spans="1:18" ht="12.75" customHeight="1">
      <c r="A13" s="1057" t="s">
        <v>678</v>
      </c>
      <c r="B13" s="1058"/>
      <c r="C13" s="1059"/>
      <c r="D13" s="575">
        <f>$E$2/D12</f>
        <v>-0.39022195121951225</v>
      </c>
      <c r="E13" s="1003">
        <f>$E$2/E12</f>
        <v>-34.401635743258026</v>
      </c>
      <c r="F13" s="1003">
        <f>$E$2/F12</f>
        <v>-42.922009786498599</v>
      </c>
      <c r="H13" s="1047"/>
      <c r="I13" s="1047"/>
      <c r="J13" s="1047"/>
      <c r="K13" s="1047"/>
      <c r="L13" s="1047"/>
      <c r="M13" s="1047"/>
      <c r="N13" s="1047"/>
      <c r="O13" s="1047"/>
      <c r="P13" s="542"/>
    </row>
    <row r="14" spans="1:18" ht="12.75" customHeight="1">
      <c r="A14" s="1057" t="s">
        <v>677</v>
      </c>
      <c r="B14" s="1058"/>
      <c r="C14" s="1059"/>
      <c r="D14" s="574">
        <v>7.8</v>
      </c>
      <c r="E14" s="1004">
        <f>$E$5/'Forecasts '!E48</f>
        <v>-76.115123982361894</v>
      </c>
      <c r="F14" s="1004">
        <f>$E$5/'Forecasts '!F48</f>
        <v>-129.8556346209599</v>
      </c>
      <c r="H14" s="1047"/>
      <c r="I14" s="1047"/>
      <c r="J14" s="1047"/>
      <c r="K14" s="1047"/>
      <c r="L14" s="1047"/>
      <c r="M14" s="1047"/>
      <c r="N14" s="1047"/>
      <c r="O14" s="1047"/>
      <c r="P14" s="542"/>
    </row>
    <row r="15" spans="1:18" ht="12.75" customHeight="1">
      <c r="A15" s="1057" t="s">
        <v>676</v>
      </c>
      <c r="B15" s="1058"/>
      <c r="C15" s="1059"/>
      <c r="D15" s="571">
        <v>0</v>
      </c>
      <c r="E15" s="571">
        <v>1.4E-2</v>
      </c>
      <c r="F15" s="571">
        <v>1.7999999999999999E-2</v>
      </c>
      <c r="H15" s="1047"/>
      <c r="I15" s="1047"/>
      <c r="J15" s="1047"/>
      <c r="K15" s="1047"/>
      <c r="L15" s="1047"/>
      <c r="M15" s="1047"/>
      <c r="N15" s="1047"/>
      <c r="O15" s="1047"/>
      <c r="P15" s="542"/>
    </row>
    <row r="16" spans="1:18">
      <c r="H16" s="540"/>
      <c r="I16" s="540"/>
      <c r="J16" s="540"/>
      <c r="K16" s="540"/>
      <c r="L16" s="540"/>
      <c r="M16" s="540"/>
      <c r="N16" s="540"/>
      <c r="O16" s="540"/>
    </row>
    <row r="17" spans="1:15" ht="12.75" customHeight="1">
      <c r="A17" s="561" t="s">
        <v>675</v>
      </c>
      <c r="B17" s="560"/>
      <c r="C17" s="560"/>
      <c r="D17" s="555" t="str">
        <f>D11</f>
        <v>2024A</v>
      </c>
      <c r="E17" s="554" t="str">
        <f>E11</f>
        <v>2025E</v>
      </c>
      <c r="F17" s="553" t="str">
        <f>F11</f>
        <v>2026E</v>
      </c>
      <c r="H17" s="1054"/>
      <c r="I17" s="1054"/>
      <c r="J17" s="1054"/>
      <c r="K17" s="1054"/>
      <c r="L17" s="1054"/>
      <c r="M17" s="1054"/>
      <c r="N17" s="1054"/>
      <c r="O17" s="1054"/>
    </row>
    <row r="18" spans="1:15">
      <c r="A18" s="1055" t="s">
        <v>674</v>
      </c>
      <c r="B18" s="1055"/>
      <c r="C18" s="1055"/>
      <c r="D18" s="572">
        <f>'Analysis '!F20</f>
        <v>-9.3274229994264757E-3</v>
      </c>
      <c r="E18" s="572">
        <f>'Forecasts '!E90/'Forecasts '!E159</f>
        <v>-2.1979928205603252E-2</v>
      </c>
      <c r="F18" s="572">
        <f>'Forecasts '!F90/'Forecasts '!F159</f>
        <v>-1.7377577169631564E-2</v>
      </c>
      <c r="H18" s="1054"/>
      <c r="I18" s="1054"/>
      <c r="J18" s="1054"/>
      <c r="K18" s="1054"/>
      <c r="L18" s="1054"/>
      <c r="M18" s="1054"/>
      <c r="N18" s="1054"/>
      <c r="O18" s="1054"/>
    </row>
    <row r="19" spans="1:15">
      <c r="A19" s="1055" t="s">
        <v>673</v>
      </c>
      <c r="B19" s="1055"/>
      <c r="C19" s="1055"/>
      <c r="D19" s="572">
        <f>'Analysis '!F31</f>
        <v>-0.10105339710362177</v>
      </c>
      <c r="E19" s="572">
        <f>'Forecasts '!E90/'Forecasts '!E227</f>
        <v>-6.2075779649681306E-2</v>
      </c>
      <c r="F19" s="572">
        <f>'Forecasts '!F90/'Forecasts '!F227</f>
        <v>-4.9633443439915652E-2</v>
      </c>
      <c r="H19" s="1054"/>
      <c r="I19" s="1054"/>
      <c r="J19" s="1054"/>
      <c r="K19" s="1054"/>
      <c r="L19" s="1054"/>
      <c r="M19" s="1054"/>
      <c r="N19" s="1054"/>
      <c r="O19" s="1054"/>
    </row>
    <row r="20" spans="1:15">
      <c r="A20" s="1051" t="s">
        <v>672</v>
      </c>
      <c r="B20" s="1052"/>
      <c r="C20" s="1053"/>
      <c r="D20" s="1005">
        <v>-5.16E-2</v>
      </c>
      <c r="E20" s="572">
        <v>0.14599999999999999</v>
      </c>
      <c r="F20" s="572">
        <v>0.23599999999999999</v>
      </c>
      <c r="H20" s="1054"/>
      <c r="I20" s="1054"/>
      <c r="J20" s="1054"/>
      <c r="K20" s="1054"/>
      <c r="L20" s="1054"/>
      <c r="M20" s="1054"/>
      <c r="N20" s="1054"/>
      <c r="O20" s="1054"/>
    </row>
    <row r="21" spans="1:15">
      <c r="A21" s="1056" t="s">
        <v>671</v>
      </c>
      <c r="B21" s="1056"/>
      <c r="C21" s="1056"/>
      <c r="D21" s="1048">
        <f>D20-'Valuation '!F53</f>
        <v>-0.11705595070660169</v>
      </c>
      <c r="E21" s="1049"/>
      <c r="F21" s="1050"/>
      <c r="H21" s="1054"/>
      <c r="I21" s="1054"/>
      <c r="J21" s="1054"/>
      <c r="K21" s="1054"/>
      <c r="L21" s="1054"/>
      <c r="M21" s="1054"/>
      <c r="N21" s="1054"/>
      <c r="O21" s="1054"/>
    </row>
    <row r="22" spans="1:15">
      <c r="A22" s="1051" t="s">
        <v>670</v>
      </c>
      <c r="B22" s="1052"/>
      <c r="C22" s="1053"/>
      <c r="D22" s="573">
        <f>'Analysis '!F41</f>
        <v>-4.7339113095663632E-2</v>
      </c>
      <c r="E22" s="572">
        <f>'Forecasts '!E48/'Forecasts '!E14</f>
        <v>-2.1975066127381128E-2</v>
      </c>
      <c r="F22" s="572">
        <f>'Forecasts '!F48/'Forecasts '!F14</f>
        <v>-1.2438052865078261E-2</v>
      </c>
      <c r="H22" s="1054"/>
      <c r="I22" s="1054"/>
      <c r="J22" s="1054"/>
      <c r="K22" s="1054"/>
      <c r="L22" s="1054"/>
      <c r="M22" s="1054"/>
      <c r="N22" s="1054"/>
      <c r="O22" s="1054"/>
    </row>
    <row r="23" spans="1:15">
      <c r="A23" s="1051" t="s">
        <v>669</v>
      </c>
      <c r="B23" s="1052"/>
      <c r="C23" s="1053"/>
      <c r="D23" s="1006">
        <v>6.4699999999999994E-2</v>
      </c>
      <c r="E23" s="854">
        <f>'Valuation '!E97/$E$5*100</f>
        <v>-2.5193525944054582</v>
      </c>
      <c r="F23" s="854">
        <f>'Valuation '!F100/$E$5*100</f>
        <v>-1.6257594736340637</v>
      </c>
      <c r="G23" s="855"/>
      <c r="H23" s="1054"/>
      <c r="I23" s="1054"/>
      <c r="J23" s="1054"/>
      <c r="K23" s="1054"/>
      <c r="L23" s="1054"/>
      <c r="M23" s="1054"/>
      <c r="N23" s="1054"/>
      <c r="O23" s="1054"/>
    </row>
    <row r="24" spans="1:15">
      <c r="A24" s="570"/>
      <c r="B24" s="557"/>
      <c r="C24" s="557"/>
      <c r="D24" s="569"/>
      <c r="E24" s="856">
        <f>'Valuation '!F100/$E$5*100</f>
        <v>-1.6257594736340637</v>
      </c>
      <c r="F24" s="856">
        <f>'Valuation '!G100/$E$5*100</f>
        <v>-0.89009979271967021</v>
      </c>
      <c r="H24" s="542"/>
      <c r="I24" s="542"/>
      <c r="J24" s="542"/>
      <c r="K24" s="542"/>
      <c r="L24" s="542"/>
      <c r="M24" s="542"/>
      <c r="N24" s="542"/>
      <c r="O24" s="542"/>
    </row>
    <row r="25" spans="1:15">
      <c r="A25" s="561" t="s">
        <v>668</v>
      </c>
      <c r="B25" s="560"/>
      <c r="C25" s="560"/>
      <c r="D25" s="555" t="str">
        <f>D11</f>
        <v>2024A</v>
      </c>
      <c r="E25" s="554" t="str">
        <f>E11</f>
        <v>2025E</v>
      </c>
      <c r="F25" s="553" t="str">
        <f>F11</f>
        <v>2026E</v>
      </c>
      <c r="H25" s="542"/>
      <c r="I25" s="542"/>
      <c r="J25" s="542"/>
      <c r="K25" s="542"/>
      <c r="L25" s="542"/>
      <c r="M25" s="542"/>
      <c r="N25" s="542"/>
      <c r="O25" s="542"/>
    </row>
    <row r="26" spans="1:15">
      <c r="A26" s="559" t="s">
        <v>667</v>
      </c>
      <c r="B26" s="565"/>
      <c r="C26" s="565"/>
      <c r="D26" s="567">
        <f>'Analysis '!F96</f>
        <v>0.64269523698720976</v>
      </c>
      <c r="E26" s="1007">
        <v>0.64500000000000002</v>
      </c>
      <c r="F26" s="1007">
        <v>0.65500000000000003</v>
      </c>
      <c r="H26" s="540"/>
      <c r="I26" s="540"/>
      <c r="J26" s="540"/>
      <c r="K26" s="540"/>
      <c r="L26" s="540"/>
      <c r="M26" s="540"/>
      <c r="N26" s="540"/>
      <c r="O26" s="540"/>
    </row>
    <row r="27" spans="1:15">
      <c r="A27" s="568" t="s">
        <v>666</v>
      </c>
      <c r="B27" s="565"/>
      <c r="C27" s="565"/>
      <c r="D27" s="567">
        <f>'Analysis '!F97</f>
        <v>1.7987312331579624</v>
      </c>
      <c r="E27" s="625">
        <v>2.3380000000000001</v>
      </c>
      <c r="F27" s="625">
        <v>3.43</v>
      </c>
      <c r="H27" s="1047"/>
      <c r="I27" s="1047"/>
      <c r="J27" s="1047"/>
      <c r="K27" s="1047"/>
      <c r="L27" s="1047"/>
      <c r="M27" s="1047"/>
      <c r="N27" s="1047"/>
      <c r="O27" s="1047"/>
    </row>
    <row r="28" spans="1:15">
      <c r="A28" s="559" t="s">
        <v>665</v>
      </c>
      <c r="B28" s="565"/>
      <c r="C28" s="565"/>
      <c r="D28" s="567">
        <f>'Analysis '!F101</f>
        <v>-0.1673385539749471</v>
      </c>
      <c r="E28" s="625">
        <v>2.5000000000000001E-2</v>
      </c>
      <c r="F28" s="625">
        <v>2.1999999999999999E-2</v>
      </c>
      <c r="H28" s="1047"/>
      <c r="I28" s="1047"/>
      <c r="J28" s="1047"/>
      <c r="K28" s="1047"/>
      <c r="L28" s="1047"/>
      <c r="M28" s="1047"/>
      <c r="N28" s="1047"/>
      <c r="O28" s="1047"/>
    </row>
    <row r="29" spans="1:15">
      <c r="A29" s="559" t="s">
        <v>664</v>
      </c>
      <c r="B29" s="565"/>
      <c r="C29" s="565"/>
      <c r="D29" s="567">
        <f>'Analysis '!F100</f>
        <v>0.15025077778411608</v>
      </c>
      <c r="E29" s="625">
        <v>0.19700000000000001</v>
      </c>
      <c r="F29" s="625">
        <v>0.20200000000000001</v>
      </c>
      <c r="H29" s="1047"/>
      <c r="I29" s="1047"/>
      <c r="J29" s="1047"/>
      <c r="K29" s="1047"/>
      <c r="L29" s="1047"/>
      <c r="M29" s="1047"/>
      <c r="N29" s="1047"/>
      <c r="O29" s="1047"/>
    </row>
    <row r="30" spans="1:15">
      <c r="A30" s="550" t="s">
        <v>663</v>
      </c>
      <c r="B30" s="566"/>
      <c r="C30" s="566"/>
      <c r="D30" s="625">
        <f>'Valuation '!E112/'Data '!G43</f>
        <v>-3.6650314785453851E-2</v>
      </c>
      <c r="E30" s="625">
        <v>0.156</v>
      </c>
      <c r="F30" s="625">
        <v>0.18</v>
      </c>
      <c r="H30" s="1047"/>
      <c r="I30" s="1047"/>
      <c r="J30" s="1047"/>
      <c r="K30" s="1047"/>
      <c r="L30" s="1047"/>
      <c r="M30" s="1047"/>
      <c r="N30" s="1047"/>
      <c r="O30" s="1047"/>
    </row>
    <row r="31" spans="1:15">
      <c r="A31" s="558" t="s">
        <v>552</v>
      </c>
      <c r="B31" s="565"/>
      <c r="C31" s="565"/>
      <c r="D31" s="564"/>
      <c r="E31" s="564"/>
      <c r="F31" s="564"/>
      <c r="H31" s="1047"/>
      <c r="I31" s="1047"/>
      <c r="J31" s="1047"/>
      <c r="K31" s="1047"/>
      <c r="L31" s="1047"/>
      <c r="M31" s="1047"/>
      <c r="N31" s="1047"/>
      <c r="O31" s="1047"/>
    </row>
    <row r="32" spans="1:15">
      <c r="A32" s="561" t="s">
        <v>662</v>
      </c>
      <c r="B32" s="560"/>
      <c r="C32" s="560"/>
      <c r="D32" s="555" t="str">
        <f>D25</f>
        <v>2024A</v>
      </c>
      <c r="E32" s="554" t="str">
        <f>E25</f>
        <v>2025E</v>
      </c>
      <c r="F32" s="553" t="str">
        <f>F25</f>
        <v>2026E</v>
      </c>
      <c r="H32" s="1047"/>
      <c r="I32" s="1047"/>
      <c r="J32" s="1047"/>
      <c r="K32" s="1047"/>
      <c r="L32" s="1047"/>
      <c r="M32" s="1047"/>
      <c r="N32" s="1047"/>
      <c r="O32" s="1047"/>
    </row>
    <row r="33" spans="1:23">
      <c r="A33" s="559" t="s">
        <v>661</v>
      </c>
      <c r="B33" s="558"/>
      <c r="C33" s="558"/>
      <c r="D33" s="562">
        <f>'Forecasts '!D352</f>
        <v>10.816098139508153</v>
      </c>
      <c r="E33" s="548">
        <f>'Forecasts '!E352</f>
        <v>12.247511173439404</v>
      </c>
      <c r="F33" s="548">
        <f>'Forecasts '!F352</f>
        <v>12.434708962425319</v>
      </c>
      <c r="H33" s="540"/>
      <c r="I33" s="540"/>
      <c r="J33" s="540"/>
      <c r="K33" s="540"/>
      <c r="L33" s="540"/>
      <c r="M33" s="540"/>
      <c r="N33" s="540"/>
      <c r="O33" s="540"/>
    </row>
    <row r="34" spans="1:23">
      <c r="A34" s="559" t="s">
        <v>660</v>
      </c>
      <c r="B34" s="558"/>
      <c r="C34" s="558"/>
      <c r="D34" s="562">
        <v>33.799999999999997</v>
      </c>
      <c r="E34" s="548">
        <v>29.8</v>
      </c>
      <c r="F34" s="548">
        <v>29.36</v>
      </c>
      <c r="H34" s="1054"/>
      <c r="I34" s="1054"/>
      <c r="J34" s="1054"/>
      <c r="K34" s="1054"/>
      <c r="L34" s="1054"/>
      <c r="M34" s="1054"/>
      <c r="N34" s="1054"/>
      <c r="O34" s="1054"/>
    </row>
    <row r="35" spans="1:23">
      <c r="A35" s="559" t="s">
        <v>300</v>
      </c>
      <c r="B35" s="558"/>
      <c r="C35" s="558"/>
      <c r="D35" s="562">
        <v>1</v>
      </c>
      <c r="E35" s="548">
        <v>0.96</v>
      </c>
      <c r="F35" s="548">
        <v>0.99</v>
      </c>
      <c r="H35" s="1054"/>
      <c r="I35" s="1054"/>
      <c r="J35" s="1054"/>
      <c r="K35" s="1054"/>
      <c r="L35" s="1054"/>
      <c r="M35" s="1054"/>
      <c r="N35" s="1054"/>
      <c r="O35" s="1054"/>
    </row>
    <row r="36" spans="1:23">
      <c r="A36" s="559" t="s">
        <v>659</v>
      </c>
      <c r="B36" s="558"/>
      <c r="C36" s="558"/>
      <c r="D36" s="562">
        <v>365.17</v>
      </c>
      <c r="E36" s="548">
        <v>378.78</v>
      </c>
      <c r="F36" s="548">
        <v>369.34</v>
      </c>
      <c r="H36" s="1054"/>
      <c r="I36" s="1054"/>
      <c r="J36" s="1054"/>
      <c r="K36" s="1054"/>
      <c r="L36" s="1054"/>
      <c r="M36" s="1054"/>
      <c r="N36" s="1054"/>
      <c r="O36" s="1054"/>
    </row>
    <row r="37" spans="1:23">
      <c r="A37" s="559" t="s">
        <v>658</v>
      </c>
      <c r="B37" s="558"/>
      <c r="C37" s="558"/>
      <c r="D37" s="562">
        <v>3.56</v>
      </c>
      <c r="E37" s="548">
        <v>2.65</v>
      </c>
      <c r="F37" s="548">
        <v>2.62</v>
      </c>
      <c r="H37" s="1054"/>
      <c r="I37" s="1054"/>
      <c r="J37" s="1054"/>
      <c r="K37" s="1054"/>
      <c r="L37" s="1054"/>
      <c r="M37" s="1054"/>
      <c r="N37" s="1054"/>
      <c r="O37" s="1054"/>
    </row>
    <row r="38" spans="1:23">
      <c r="A38" s="559" t="s">
        <v>657</v>
      </c>
      <c r="B38" s="558"/>
      <c r="C38" s="558"/>
      <c r="D38" s="562">
        <v>102.5</v>
      </c>
      <c r="E38" s="548">
        <v>137.94</v>
      </c>
      <c r="F38" s="548">
        <v>139.38999999999999</v>
      </c>
      <c r="H38" s="1054"/>
      <c r="I38" s="1054"/>
      <c r="J38" s="1054"/>
      <c r="K38" s="1054"/>
      <c r="L38" s="1054"/>
      <c r="M38" s="1054"/>
      <c r="N38" s="1054"/>
      <c r="O38" s="1054"/>
    </row>
    <row r="39" spans="1:23">
      <c r="A39" s="559" t="s">
        <v>656</v>
      </c>
      <c r="B39" s="558"/>
      <c r="C39" s="558"/>
      <c r="D39" s="562">
        <v>296.48</v>
      </c>
      <c r="E39" s="548">
        <v>270.64</v>
      </c>
      <c r="F39" s="548">
        <v>259.31</v>
      </c>
      <c r="H39" s="563"/>
      <c r="I39" s="563"/>
      <c r="J39" s="563"/>
      <c r="K39" s="563"/>
      <c r="L39" s="563"/>
      <c r="M39" s="563"/>
      <c r="N39" s="563"/>
      <c r="O39" s="563"/>
    </row>
    <row r="40" spans="1:23">
      <c r="A40" s="559" t="s">
        <v>655</v>
      </c>
      <c r="B40" s="558"/>
      <c r="C40" s="558"/>
      <c r="D40" s="562">
        <v>4.09</v>
      </c>
      <c r="E40" s="548">
        <v>4.25</v>
      </c>
      <c r="F40" s="548">
        <v>4.3099999999999996</v>
      </c>
      <c r="H40" s="1054"/>
      <c r="I40" s="1054"/>
      <c r="J40" s="1054"/>
      <c r="K40" s="1054"/>
      <c r="L40" s="1054"/>
      <c r="M40" s="1054"/>
      <c r="N40" s="1054"/>
      <c r="O40" s="1054"/>
    </row>
    <row r="41" spans="1:23">
      <c r="A41" s="550" t="s">
        <v>654</v>
      </c>
      <c r="B41" s="549"/>
      <c r="C41" s="549"/>
      <c r="D41" s="562">
        <v>89.28</v>
      </c>
      <c r="E41" s="548">
        <v>85.76</v>
      </c>
      <c r="F41" s="548">
        <v>84.66</v>
      </c>
      <c r="H41" s="1054"/>
      <c r="I41" s="1054"/>
      <c r="J41" s="1054"/>
      <c r="K41" s="1054"/>
      <c r="L41" s="1054"/>
      <c r="M41" s="1054"/>
      <c r="N41" s="1054"/>
      <c r="O41" s="1054"/>
      <c r="T41" s="626"/>
      <c r="U41" s="626"/>
      <c r="V41" s="626"/>
    </row>
    <row r="42" spans="1:23">
      <c r="A42" s="557"/>
      <c r="B42" s="557"/>
      <c r="C42" s="557"/>
      <c r="D42" s="557"/>
      <c r="E42" s="557"/>
      <c r="F42" s="557"/>
      <c r="H42" s="1054"/>
      <c r="I42" s="1054"/>
      <c r="J42" s="1054"/>
      <c r="K42" s="1054"/>
      <c r="L42" s="1054"/>
      <c r="M42" s="1054"/>
      <c r="N42" s="1054"/>
      <c r="O42" s="1054"/>
      <c r="T42" s="626"/>
      <c r="U42" s="626"/>
      <c r="V42" s="626"/>
    </row>
    <row r="43" spans="1:23">
      <c r="A43" s="561" t="s">
        <v>653</v>
      </c>
      <c r="B43" s="560"/>
      <c r="C43" s="560"/>
      <c r="D43" s="555" t="str">
        <f>D32</f>
        <v>2024A</v>
      </c>
      <c r="E43" s="554" t="str">
        <f>E32</f>
        <v>2025E</v>
      </c>
      <c r="F43" s="553" t="str">
        <f>F32</f>
        <v>2026E</v>
      </c>
      <c r="H43" s="1054"/>
      <c r="I43" s="1054"/>
      <c r="J43" s="1054"/>
      <c r="K43" s="1054"/>
      <c r="L43" s="1054"/>
      <c r="M43" s="1054"/>
      <c r="N43" s="1054"/>
      <c r="O43" s="1054"/>
    </row>
    <row r="44" spans="1:23" ht="12.75" customHeight="1">
      <c r="A44" s="552" t="s">
        <v>308</v>
      </c>
      <c r="B44" s="551"/>
      <c r="C44" s="551"/>
      <c r="D44" s="548">
        <v>0.71</v>
      </c>
      <c r="E44" s="548">
        <v>0.74</v>
      </c>
      <c r="F44" s="548">
        <v>0.75</v>
      </c>
      <c r="H44" s="1054"/>
      <c r="I44" s="1054"/>
      <c r="J44" s="1054"/>
      <c r="K44" s="1054"/>
      <c r="L44" s="1054"/>
      <c r="M44" s="1054"/>
      <c r="N44" s="1054"/>
      <c r="O44" s="1054"/>
    </row>
    <row r="45" spans="1:23" ht="12.75" customHeight="1">
      <c r="A45" s="559" t="s">
        <v>307</v>
      </c>
      <c r="B45" s="558"/>
      <c r="C45" s="558"/>
      <c r="D45" s="548">
        <v>0.43</v>
      </c>
      <c r="E45" s="548">
        <v>0.47</v>
      </c>
      <c r="F45" s="548">
        <v>0.48</v>
      </c>
      <c r="H45" s="1054"/>
      <c r="I45" s="1054"/>
      <c r="J45" s="1054"/>
      <c r="K45" s="1054"/>
      <c r="L45" s="1054"/>
      <c r="M45" s="1054"/>
      <c r="N45" s="1054"/>
      <c r="O45" s="1054"/>
    </row>
    <row r="46" spans="1:23">
      <c r="A46" s="550" t="s">
        <v>652</v>
      </c>
      <c r="B46" s="549"/>
      <c r="C46" s="549"/>
      <c r="D46" s="548">
        <v>0.157</v>
      </c>
      <c r="E46" s="548">
        <v>0.17799999999999999</v>
      </c>
      <c r="F46" s="548">
        <v>0.17199999999999999</v>
      </c>
      <c r="H46" s="1054"/>
      <c r="I46" s="1054"/>
      <c r="J46" s="1054"/>
      <c r="K46" s="1054"/>
      <c r="L46" s="1054"/>
      <c r="M46" s="1054"/>
      <c r="N46" s="1054"/>
      <c r="O46" s="1054"/>
    </row>
    <row r="47" spans="1:23">
      <c r="A47" s="557"/>
      <c r="B47" s="557"/>
      <c r="C47" s="557"/>
      <c r="D47" s="557"/>
      <c r="E47" s="557"/>
      <c r="F47" s="557"/>
      <c r="H47" s="1054"/>
      <c r="I47" s="1054"/>
      <c r="J47" s="1054"/>
      <c r="K47" s="1054"/>
      <c r="L47" s="1054"/>
      <c r="M47" s="1054"/>
      <c r="N47" s="1054"/>
      <c r="O47" s="1054"/>
      <c r="U47" s="626"/>
      <c r="V47" s="626"/>
      <c r="W47" s="626"/>
    </row>
    <row r="48" spans="1:23">
      <c r="A48" s="556" t="s">
        <v>651</v>
      </c>
      <c r="B48" s="555"/>
      <c r="C48" s="555"/>
      <c r="D48" s="555" t="s">
        <v>650</v>
      </c>
      <c r="E48" s="554" t="s">
        <v>649</v>
      </c>
      <c r="F48" s="553" t="s">
        <v>648</v>
      </c>
      <c r="H48" s="1054"/>
      <c r="I48" s="1054"/>
      <c r="J48" s="1054"/>
      <c r="K48" s="1054"/>
      <c r="L48" s="1054"/>
      <c r="M48" s="1054"/>
      <c r="N48" s="1054"/>
      <c r="O48" s="1054"/>
    </row>
    <row r="49" spans="1:25" ht="12.75" customHeight="1">
      <c r="A49" s="552" t="s">
        <v>647</v>
      </c>
      <c r="B49" s="551"/>
      <c r="C49" s="551"/>
      <c r="D49" s="548">
        <v>-3.2000000000000001E-2</v>
      </c>
      <c r="E49" s="548">
        <v>-4.9000000000000002E-2</v>
      </c>
      <c r="F49" s="548">
        <v>-5.6000000000000001E-2</v>
      </c>
      <c r="H49" s="1054"/>
      <c r="I49" s="1054"/>
      <c r="J49" s="1054"/>
      <c r="K49" s="1054"/>
      <c r="L49" s="1054"/>
      <c r="M49" s="1054"/>
      <c r="N49" s="1054"/>
      <c r="O49" s="1054"/>
      <c r="P49" s="542"/>
      <c r="Q49" s="542"/>
      <c r="R49" s="542"/>
      <c r="S49" s="542"/>
      <c r="T49" s="542"/>
      <c r="U49" s="542"/>
      <c r="V49" s="542"/>
      <c r="W49" s="542"/>
      <c r="X49" s="542"/>
      <c r="Y49" s="542"/>
    </row>
    <row r="50" spans="1:25">
      <c r="A50" s="550" t="s">
        <v>646</v>
      </c>
      <c r="B50" s="549"/>
      <c r="C50" s="549"/>
      <c r="D50" s="548">
        <v>-0.26400000000000001</v>
      </c>
      <c r="E50" s="548">
        <v>-0.371</v>
      </c>
      <c r="F50" s="548">
        <v>-1.9510000000000001</v>
      </c>
      <c r="G50" s="546"/>
      <c r="H50" s="1054"/>
      <c r="I50" s="1054"/>
      <c r="J50" s="1054"/>
      <c r="K50" s="1054"/>
      <c r="L50" s="1054"/>
      <c r="M50" s="1054"/>
      <c r="N50" s="1054"/>
      <c r="O50" s="1054"/>
      <c r="P50" s="542"/>
      <c r="Q50" s="542"/>
      <c r="R50" s="542"/>
      <c r="S50" s="542"/>
      <c r="U50" s="542"/>
      <c r="V50" s="542"/>
      <c r="W50" s="542"/>
      <c r="X50" s="542"/>
      <c r="Y50" s="542"/>
    </row>
    <row r="51" spans="1:25">
      <c r="A51" s="546"/>
      <c r="B51" s="546"/>
      <c r="C51" s="546"/>
      <c r="D51" s="546"/>
      <c r="E51" s="546"/>
      <c r="F51" s="546"/>
      <c r="G51" s="546"/>
      <c r="H51" s="547"/>
      <c r="I51" s="547"/>
      <c r="J51" s="547"/>
      <c r="K51" s="547"/>
      <c r="L51" s="547"/>
      <c r="M51" s="547"/>
      <c r="N51" s="547"/>
      <c r="O51" s="547"/>
      <c r="P51" s="542"/>
      <c r="Q51" s="542"/>
      <c r="R51" s="542"/>
      <c r="S51" s="542"/>
      <c r="T51" s="542"/>
      <c r="U51" s="542"/>
      <c r="V51" s="542"/>
      <c r="W51" s="542"/>
      <c r="X51" s="542"/>
      <c r="Y51" s="542"/>
    </row>
    <row r="52" spans="1:25" ht="12.75" customHeight="1">
      <c r="A52" s="1047"/>
      <c r="B52" s="1047"/>
      <c r="C52" s="1047"/>
      <c r="D52" s="1047"/>
      <c r="E52" s="1047"/>
      <c r="F52" s="1047"/>
      <c r="G52" s="546"/>
      <c r="H52" s="547"/>
      <c r="I52" s="547"/>
      <c r="J52" s="547"/>
      <c r="K52" s="547"/>
      <c r="L52" s="547"/>
      <c r="M52" s="547"/>
      <c r="N52" s="547"/>
      <c r="O52" s="547"/>
      <c r="P52" s="542"/>
      <c r="Q52" s="542"/>
      <c r="R52" s="542"/>
      <c r="S52" s="542"/>
      <c r="T52" s="542"/>
      <c r="U52" s="542"/>
      <c r="V52" s="542"/>
      <c r="W52" s="542"/>
      <c r="X52" s="542"/>
      <c r="Y52" s="542"/>
    </row>
    <row r="53" spans="1:25" ht="12.75" customHeight="1">
      <c r="A53" s="1047"/>
      <c r="B53" s="1047"/>
      <c r="C53" s="1047"/>
      <c r="D53" s="1047"/>
      <c r="E53" s="1047"/>
      <c r="F53" s="1047"/>
      <c r="G53" s="546"/>
      <c r="H53" s="547"/>
      <c r="I53" s="547"/>
      <c r="J53" s="547"/>
      <c r="K53" s="547"/>
      <c r="L53" s="547"/>
      <c r="M53" s="547"/>
      <c r="N53" s="547"/>
      <c r="O53" s="547"/>
      <c r="P53" s="542"/>
      <c r="Q53" s="542"/>
      <c r="R53" s="542"/>
      <c r="S53" s="542"/>
      <c r="T53" s="542"/>
      <c r="U53" s="542"/>
      <c r="V53" s="542"/>
      <c r="W53" s="542"/>
      <c r="X53" s="542"/>
      <c r="Y53" s="542"/>
    </row>
    <row r="54" spans="1:25" ht="12.75" customHeight="1">
      <c r="A54" s="1047"/>
      <c r="B54" s="1047"/>
      <c r="C54" s="1047"/>
      <c r="D54" s="1047"/>
      <c r="E54" s="1047"/>
      <c r="F54" s="1047"/>
      <c r="G54" s="546"/>
      <c r="H54" s="1047"/>
      <c r="I54" s="1047"/>
      <c r="J54" s="1047"/>
      <c r="K54" s="1047"/>
      <c r="L54" s="1047"/>
      <c r="M54" s="1047"/>
      <c r="N54" s="1047"/>
      <c r="O54" s="1047"/>
      <c r="P54" s="542"/>
      <c r="Q54" s="542"/>
      <c r="R54" s="542"/>
      <c r="S54" s="542"/>
      <c r="T54" s="542"/>
      <c r="U54" s="542"/>
      <c r="V54" s="542"/>
      <c r="W54" s="542"/>
      <c r="X54" s="542"/>
      <c r="Y54" s="542"/>
    </row>
    <row r="55" spans="1:25">
      <c r="A55" s="1047"/>
      <c r="B55" s="1047"/>
      <c r="C55" s="1047"/>
      <c r="D55" s="1047"/>
      <c r="E55" s="1047"/>
      <c r="F55" s="1047"/>
      <c r="G55" s="546"/>
      <c r="H55" s="1047"/>
      <c r="I55" s="1047"/>
      <c r="J55" s="1047"/>
      <c r="K55" s="1047"/>
      <c r="L55" s="1047"/>
      <c r="M55" s="1047"/>
      <c r="N55" s="1047"/>
      <c r="O55" s="1047"/>
      <c r="P55" s="542"/>
      <c r="Q55" s="542"/>
      <c r="R55" s="542"/>
      <c r="S55" s="542"/>
      <c r="T55" s="542"/>
      <c r="U55" s="542"/>
      <c r="V55" s="542"/>
      <c r="W55" s="542"/>
      <c r="X55" s="542"/>
      <c r="Y55" s="542"/>
    </row>
    <row r="56" spans="1:25">
      <c r="A56" s="1047"/>
      <c r="B56" s="1047"/>
      <c r="C56" s="1047"/>
      <c r="D56" s="1047"/>
      <c r="E56" s="1047"/>
      <c r="F56" s="1047"/>
      <c r="G56" s="546"/>
      <c r="H56" s="1047"/>
      <c r="I56" s="1047"/>
      <c r="J56" s="1047"/>
      <c r="K56" s="1047"/>
      <c r="L56" s="1047"/>
      <c r="M56" s="1047"/>
      <c r="N56" s="1047"/>
      <c r="O56" s="1047"/>
      <c r="P56" s="542"/>
      <c r="Q56" s="542"/>
      <c r="R56" s="542"/>
      <c r="S56" s="542"/>
      <c r="T56" s="542"/>
      <c r="U56" s="542"/>
      <c r="V56" s="542"/>
      <c r="W56" s="542"/>
      <c r="X56" s="542"/>
      <c r="Y56" s="542"/>
    </row>
    <row r="57" spans="1:25">
      <c r="A57" s="1047"/>
      <c r="B57" s="1047"/>
      <c r="C57" s="1047"/>
      <c r="D57" s="1047"/>
      <c r="E57" s="1047"/>
      <c r="F57" s="1047"/>
      <c r="G57" s="546"/>
      <c r="H57" s="1047"/>
      <c r="I57" s="1047"/>
      <c r="J57" s="1047"/>
      <c r="K57" s="1047"/>
      <c r="L57" s="1047"/>
      <c r="M57" s="1047"/>
      <c r="N57" s="1047"/>
      <c r="O57" s="1047"/>
      <c r="P57" s="542"/>
      <c r="Q57" s="542"/>
      <c r="R57" s="542"/>
      <c r="S57" s="542"/>
      <c r="T57" s="542"/>
      <c r="U57" s="542"/>
      <c r="V57" s="542"/>
      <c r="W57" s="542"/>
      <c r="X57" s="542"/>
      <c r="Y57" s="542"/>
    </row>
    <row r="58" spans="1:25">
      <c r="A58" s="1047"/>
      <c r="B58" s="1047"/>
      <c r="C58" s="1047"/>
      <c r="D58" s="1047"/>
      <c r="E58" s="1047"/>
      <c r="F58" s="1047"/>
      <c r="G58" s="546"/>
      <c r="H58" s="1047"/>
      <c r="I58" s="1047"/>
      <c r="J58" s="1047"/>
      <c r="K58" s="1047"/>
      <c r="L58" s="1047"/>
      <c r="M58" s="1047"/>
      <c r="N58" s="1047"/>
      <c r="O58" s="1047"/>
      <c r="P58" s="542"/>
      <c r="Q58" s="542"/>
      <c r="R58" s="542"/>
      <c r="S58" s="542"/>
      <c r="T58" s="542"/>
      <c r="U58" s="542"/>
      <c r="V58" s="542"/>
      <c r="W58" s="542"/>
      <c r="X58" s="542"/>
      <c r="Y58" s="542"/>
    </row>
    <row r="59" spans="1:25">
      <c r="A59" s="541"/>
      <c r="B59" s="541"/>
      <c r="C59" s="541"/>
      <c r="D59" s="541"/>
      <c r="E59" s="541"/>
      <c r="F59" s="541"/>
      <c r="G59" s="541"/>
      <c r="H59" s="541"/>
      <c r="I59" s="541"/>
      <c r="J59" s="541"/>
      <c r="K59" s="541"/>
      <c r="L59" s="541"/>
      <c r="M59" s="541"/>
      <c r="N59" s="541"/>
      <c r="O59" s="541"/>
      <c r="P59" s="1047"/>
      <c r="Q59" s="1047"/>
      <c r="R59" s="1047"/>
      <c r="S59" s="1047"/>
      <c r="T59" s="1047"/>
      <c r="U59" s="1047"/>
      <c r="V59" s="1047"/>
      <c r="W59" s="1047"/>
      <c r="X59" s="1047"/>
      <c r="Y59" s="1047"/>
    </row>
    <row r="60" spans="1:25">
      <c r="A60" s="545"/>
      <c r="B60" s="541"/>
      <c r="C60" s="541"/>
      <c r="D60" s="541"/>
      <c r="E60" s="541"/>
      <c r="F60" s="541"/>
      <c r="G60" s="541"/>
      <c r="H60" s="541"/>
      <c r="I60" s="541"/>
      <c r="J60" s="541"/>
      <c r="K60" s="541"/>
      <c r="L60" s="541"/>
      <c r="M60" s="541"/>
      <c r="N60" s="541"/>
      <c r="O60" s="541"/>
      <c r="P60" s="1047"/>
      <c r="Q60" s="1047"/>
      <c r="R60" s="1047"/>
      <c r="S60" s="1047"/>
      <c r="T60" s="1047"/>
      <c r="U60" s="1047"/>
      <c r="V60" s="1047"/>
      <c r="W60" s="1047"/>
      <c r="X60" s="1047"/>
      <c r="Y60" s="1047"/>
    </row>
    <row r="61" spans="1:25">
      <c r="A61" s="540"/>
      <c r="B61" s="540"/>
      <c r="C61" s="540"/>
      <c r="D61" s="540"/>
      <c r="E61" s="540"/>
      <c r="F61" s="540"/>
      <c r="G61" s="541"/>
      <c r="H61" s="541"/>
      <c r="I61" s="541"/>
      <c r="J61" s="541"/>
      <c r="K61" s="541"/>
      <c r="L61" s="541"/>
      <c r="M61" s="541"/>
      <c r="N61" s="541"/>
      <c r="O61" s="541"/>
      <c r="P61" s="1047"/>
      <c r="Q61" s="1047"/>
      <c r="R61" s="1047"/>
      <c r="S61" s="1047"/>
      <c r="T61" s="1047"/>
      <c r="U61" s="1047"/>
      <c r="V61" s="1047"/>
      <c r="W61" s="1047"/>
      <c r="X61" s="1047"/>
      <c r="Y61" s="1047"/>
    </row>
    <row r="62" spans="1:25">
      <c r="A62" s="540"/>
      <c r="B62" s="541"/>
      <c r="C62" s="541"/>
      <c r="D62" s="541"/>
      <c r="E62" s="541"/>
      <c r="F62" s="541"/>
      <c r="G62" s="541"/>
      <c r="H62" s="541"/>
      <c r="I62" s="541"/>
      <c r="J62" s="541"/>
      <c r="K62" s="541"/>
      <c r="L62" s="541"/>
      <c r="M62" s="541"/>
      <c r="N62" s="541"/>
      <c r="O62" s="541"/>
      <c r="P62" s="540"/>
      <c r="Q62" s="540"/>
      <c r="R62" s="540"/>
      <c r="S62" s="540"/>
      <c r="T62" s="540"/>
      <c r="U62" s="540"/>
      <c r="V62" s="540"/>
      <c r="W62" s="540"/>
      <c r="X62" s="540"/>
      <c r="Y62" s="540"/>
    </row>
    <row r="63" spans="1:25" ht="15">
      <c r="A63"/>
      <c r="B63"/>
      <c r="C63"/>
      <c r="D63"/>
      <c r="E63"/>
      <c r="F63"/>
      <c r="G63"/>
      <c r="H63" s="973"/>
      <c r="I63" s="973"/>
      <c r="J63" s="973"/>
      <c r="K63" s="973"/>
      <c r="L63" s="973"/>
      <c r="M63" s="973"/>
      <c r="N63" s="973"/>
      <c r="O63" s="973"/>
      <c r="P63"/>
      <c r="Q63"/>
      <c r="R63"/>
      <c r="S63" s="540"/>
      <c r="T63" s="540"/>
      <c r="U63" s="540"/>
      <c r="V63" s="540"/>
      <c r="W63" s="540"/>
      <c r="X63" s="540"/>
      <c r="Y63" s="540"/>
    </row>
    <row r="64" spans="1:25" ht="12.75" customHeight="1">
      <c r="A64"/>
      <c r="B64"/>
      <c r="C64"/>
      <c r="D64"/>
      <c r="E64"/>
      <c r="F64"/>
      <c r="G64"/>
      <c r="H64" s="973"/>
      <c r="I64" s="973"/>
      <c r="J64" s="973"/>
      <c r="K64" s="973"/>
      <c r="L64" s="973"/>
      <c r="M64" s="973"/>
      <c r="N64" s="973"/>
      <c r="O64" s="973"/>
      <c r="P64"/>
      <c r="Q64"/>
      <c r="R64"/>
      <c r="S64" s="540"/>
      <c r="T64" s="540"/>
      <c r="U64" s="540"/>
      <c r="V64" s="540"/>
      <c r="W64" s="540"/>
      <c r="X64" s="540"/>
      <c r="Y64" s="540"/>
    </row>
    <row r="65" spans="1:18" ht="15">
      <c r="A65"/>
      <c r="B65"/>
      <c r="C65"/>
      <c r="D65"/>
      <c r="E65"/>
      <c r="F65"/>
      <c r="G65"/>
      <c r="H65" s="973"/>
      <c r="I65" s="973"/>
      <c r="J65" s="973"/>
      <c r="K65" s="973"/>
      <c r="L65" s="973"/>
      <c r="M65" s="973"/>
      <c r="N65" s="973"/>
      <c r="O65" s="973"/>
      <c r="P65"/>
      <c r="Q65"/>
      <c r="R65"/>
    </row>
    <row r="66" spans="1:18" ht="15">
      <c r="A66"/>
      <c r="B66"/>
      <c r="C66"/>
      <c r="D66"/>
      <c r="E66"/>
      <c r="F66"/>
      <c r="G66"/>
      <c r="H66" s="973"/>
      <c r="I66" s="973"/>
      <c r="J66" s="973"/>
      <c r="K66" s="973"/>
      <c r="L66" s="973"/>
      <c r="M66" s="973"/>
      <c r="N66" s="973"/>
      <c r="O66" s="973"/>
      <c r="P66"/>
      <c r="Q66"/>
      <c r="R66"/>
    </row>
    <row r="67" spans="1:18" ht="15">
      <c r="A67"/>
      <c r="B67"/>
      <c r="C67"/>
      <c r="D67"/>
      <c r="E67"/>
      <c r="F67"/>
      <c r="G67"/>
      <c r="H67" s="973"/>
      <c r="I67" s="973"/>
      <c r="J67" s="973"/>
      <c r="K67" s="973"/>
      <c r="L67" s="973"/>
      <c r="M67" s="973"/>
      <c r="N67" s="973"/>
      <c r="O67" s="973"/>
      <c r="P67"/>
      <c r="Q67"/>
      <c r="R67"/>
    </row>
    <row r="68" spans="1:18" ht="15">
      <c r="A68"/>
      <c r="B68"/>
      <c r="C68"/>
      <c r="D68"/>
      <c r="E68"/>
      <c r="F68"/>
      <c r="G68"/>
      <c r="H68" s="973"/>
      <c r="I68" s="973"/>
      <c r="J68" s="973"/>
      <c r="K68" s="973"/>
      <c r="L68" s="973"/>
      <c r="M68" s="973"/>
      <c r="N68" s="973"/>
      <c r="O68" s="973"/>
      <c r="P68"/>
      <c r="Q68"/>
      <c r="R68"/>
    </row>
    <row r="69" spans="1:18" ht="15">
      <c r="A69"/>
      <c r="B69"/>
      <c r="C69"/>
      <c r="D69"/>
      <c r="E69"/>
      <c r="F69"/>
      <c r="G69"/>
      <c r="H69" s="973"/>
      <c r="I69" s="973"/>
      <c r="J69" s="973"/>
      <c r="K69" s="973"/>
      <c r="L69" s="973"/>
      <c r="M69" s="973"/>
      <c r="N69" s="973"/>
      <c r="O69" s="973"/>
      <c r="P69"/>
      <c r="Q69"/>
      <c r="R69"/>
    </row>
    <row r="70" spans="1:18" ht="15">
      <c r="A70"/>
      <c r="B70"/>
      <c r="C70"/>
      <c r="D70"/>
      <c r="E70"/>
      <c r="F70"/>
      <c r="G70"/>
      <c r="H70" s="973"/>
      <c r="I70" s="973"/>
      <c r="J70" s="973"/>
      <c r="K70" s="973"/>
      <c r="L70" s="973"/>
      <c r="M70" s="973"/>
      <c r="N70" s="973"/>
      <c r="O70" s="973"/>
      <c r="P70"/>
      <c r="Q70"/>
      <c r="R70"/>
    </row>
    <row r="71" spans="1:18" ht="15">
      <c r="A71"/>
      <c r="B71"/>
      <c r="C71"/>
      <c r="D71"/>
      <c r="E71"/>
      <c r="F71"/>
      <c r="G71"/>
      <c r="H71" s="973"/>
      <c r="I71" s="973"/>
      <c r="J71" s="973"/>
      <c r="K71" s="973"/>
      <c r="L71" s="973"/>
      <c r="M71" s="973"/>
      <c r="N71" s="973"/>
      <c r="O71" s="973"/>
      <c r="P71"/>
      <c r="Q71"/>
      <c r="R71"/>
    </row>
    <row r="72" spans="1:18" ht="15">
      <c r="A72"/>
      <c r="B72"/>
      <c r="C72"/>
      <c r="D72"/>
      <c r="E72"/>
      <c r="F72"/>
      <c r="G72"/>
      <c r="H72" s="973"/>
      <c r="I72" s="973"/>
      <c r="J72" s="973"/>
      <c r="K72" s="973"/>
      <c r="L72" s="973"/>
      <c r="M72" s="973"/>
      <c r="N72" s="973"/>
      <c r="O72" s="973"/>
      <c r="P72"/>
      <c r="Q72"/>
      <c r="R72"/>
    </row>
    <row r="73" spans="1:18" ht="15">
      <c r="A73"/>
      <c r="B73"/>
      <c r="C73"/>
      <c r="D73"/>
      <c r="E73"/>
      <c r="F73"/>
      <c r="G73"/>
      <c r="H73" s="973"/>
      <c r="I73" s="973"/>
      <c r="J73" s="973"/>
      <c r="K73" s="973"/>
      <c r="L73" s="973"/>
      <c r="M73" s="973"/>
      <c r="N73" s="973"/>
      <c r="O73" s="973"/>
      <c r="P73"/>
      <c r="Q73"/>
      <c r="R73"/>
    </row>
    <row r="74" spans="1:18" ht="15">
      <c r="A74"/>
      <c r="B74"/>
      <c r="C74"/>
      <c r="D74"/>
      <c r="E74"/>
      <c r="F74"/>
      <c r="G74"/>
      <c r="H74" s="973"/>
      <c r="I74" s="973"/>
      <c r="J74" s="973"/>
      <c r="K74" s="973"/>
      <c r="L74" s="973"/>
      <c r="M74" s="973"/>
      <c r="N74" s="973"/>
      <c r="O74" s="973"/>
      <c r="P74"/>
      <c r="Q74"/>
      <c r="R74"/>
    </row>
    <row r="75" spans="1:18" ht="15">
      <c r="A75"/>
      <c r="B75"/>
      <c r="C75"/>
      <c r="D75"/>
      <c r="E75"/>
      <c r="F75"/>
      <c r="G75"/>
      <c r="H75" s="973"/>
      <c r="I75" s="973"/>
      <c r="J75" s="973"/>
      <c r="K75" s="973"/>
      <c r="L75" s="973"/>
      <c r="M75" s="973"/>
      <c r="N75" s="973"/>
      <c r="O75" s="973"/>
      <c r="P75"/>
      <c r="Q75"/>
      <c r="R75"/>
    </row>
    <row r="76" spans="1:18" ht="15">
      <c r="A76"/>
      <c r="B76"/>
      <c r="C76"/>
      <c r="D76"/>
      <c r="E76"/>
      <c r="F76"/>
      <c r="G76"/>
      <c r="H76" s="973"/>
      <c r="I76" s="973"/>
      <c r="J76" s="973"/>
      <c r="K76" s="973"/>
      <c r="L76" s="973"/>
      <c r="M76" s="973"/>
      <c r="N76" s="973"/>
      <c r="O76" s="973"/>
      <c r="P76"/>
      <c r="Q76"/>
      <c r="R76"/>
    </row>
    <row r="77" spans="1:18" ht="15">
      <c r="A77"/>
      <c r="B77"/>
      <c r="C77"/>
      <c r="D77"/>
      <c r="E77"/>
      <c r="F77"/>
      <c r="G77"/>
      <c r="H77" s="973"/>
      <c r="I77" s="973"/>
      <c r="J77" s="973"/>
      <c r="K77" s="973"/>
      <c r="L77" s="973"/>
      <c r="M77" s="973"/>
      <c r="N77" s="973"/>
      <c r="O77" s="973"/>
      <c r="P77"/>
      <c r="Q77"/>
      <c r="R77"/>
    </row>
    <row r="78" spans="1:18" ht="15">
      <c r="A78"/>
      <c r="B78"/>
      <c r="C78"/>
      <c r="D78"/>
      <c r="E78"/>
      <c r="F78"/>
      <c r="G78"/>
      <c r="H78" s="973"/>
      <c r="I78" s="973"/>
      <c r="J78" s="973"/>
      <c r="K78" s="973"/>
      <c r="L78" s="973"/>
      <c r="M78" s="973"/>
      <c r="N78" s="973"/>
      <c r="O78" s="973"/>
      <c r="P78"/>
      <c r="Q78"/>
      <c r="R78"/>
    </row>
    <row r="79" spans="1:18" ht="15">
      <c r="A79"/>
      <c r="B79"/>
      <c r="C79"/>
      <c r="D79"/>
      <c r="E79"/>
      <c r="F79"/>
      <c r="G79"/>
      <c r="H79" s="973"/>
      <c r="I79" s="973"/>
      <c r="J79" s="973"/>
      <c r="K79" s="973"/>
      <c r="L79" s="973"/>
      <c r="M79" s="973"/>
      <c r="N79" s="973"/>
      <c r="O79" s="973"/>
      <c r="P79"/>
      <c r="Q79"/>
      <c r="R79"/>
    </row>
    <row r="80" spans="1:18" ht="15">
      <c r="A80"/>
      <c r="B80"/>
      <c r="C80"/>
      <c r="D80"/>
      <c r="E80"/>
      <c r="F80"/>
      <c r="G80"/>
      <c r="H80" s="973"/>
      <c r="I80" s="973"/>
      <c r="J80" s="973"/>
      <c r="K80" s="973"/>
      <c r="L80" s="973"/>
      <c r="M80" s="973"/>
      <c r="N80" s="973"/>
      <c r="O80" s="973"/>
      <c r="P80"/>
      <c r="Q80"/>
      <c r="R80"/>
    </row>
    <row r="81" spans="1:18" ht="15">
      <c r="A81"/>
      <c r="B81"/>
      <c r="C81"/>
      <c r="D81"/>
      <c r="E81"/>
      <c r="F81"/>
      <c r="G81"/>
      <c r="H81" s="973"/>
      <c r="I81" s="973"/>
      <c r="J81" s="973"/>
      <c r="K81" s="973"/>
      <c r="L81" s="973"/>
      <c r="M81" s="973"/>
      <c r="N81" s="973"/>
      <c r="O81" s="973"/>
      <c r="P81"/>
      <c r="Q81"/>
      <c r="R81"/>
    </row>
    <row r="82" spans="1:18" ht="15">
      <c r="A82"/>
      <c r="B82"/>
      <c r="C82"/>
      <c r="D82"/>
      <c r="E82"/>
      <c r="F82"/>
      <c r="G82"/>
      <c r="H82" s="973"/>
      <c r="I82" s="973"/>
      <c r="J82" s="973"/>
      <c r="K82" s="973"/>
      <c r="L82" s="973"/>
      <c r="M82" s="973"/>
      <c r="N82" s="973"/>
      <c r="O82" s="973"/>
      <c r="P82"/>
      <c r="Q82"/>
      <c r="R82"/>
    </row>
    <row r="83" spans="1:18" ht="15">
      <c r="A83"/>
      <c r="B83"/>
      <c r="C83"/>
      <c r="D83"/>
      <c r="E83"/>
      <c r="F83"/>
      <c r="G83"/>
      <c r="H83" s="973"/>
      <c r="I83" s="973"/>
      <c r="J83" s="973"/>
      <c r="K83" s="973"/>
      <c r="L83" s="973"/>
      <c r="M83" s="973"/>
      <c r="N83" s="973"/>
      <c r="O83" s="973"/>
      <c r="P83"/>
      <c r="Q83"/>
      <c r="R83"/>
    </row>
    <row r="84" spans="1:18" ht="15">
      <c r="A84"/>
      <c r="B84"/>
      <c r="C84"/>
      <c r="D84"/>
      <c r="E84"/>
      <c r="F84"/>
      <c r="G84"/>
      <c r="H84" s="973"/>
      <c r="I84" s="973"/>
      <c r="J84" s="973"/>
      <c r="K84" s="973"/>
      <c r="L84" s="973"/>
      <c r="M84" s="973"/>
      <c r="N84" s="973"/>
      <c r="O84" s="973"/>
      <c r="P84"/>
      <c r="Q84"/>
      <c r="R84"/>
    </row>
    <row r="85" spans="1:18" ht="15">
      <c r="A85"/>
      <c r="B85"/>
      <c r="C85"/>
      <c r="D85"/>
      <c r="E85"/>
      <c r="F85"/>
      <c r="G85"/>
      <c r="H85" s="973"/>
      <c r="I85" s="973"/>
      <c r="J85" s="973"/>
      <c r="K85" s="973"/>
      <c r="L85" s="973"/>
      <c r="M85" s="973"/>
      <c r="N85" s="973"/>
      <c r="O85" s="973"/>
      <c r="P85"/>
      <c r="Q85"/>
      <c r="R85"/>
    </row>
    <row r="86" spans="1:18" ht="15">
      <c r="A86"/>
      <c r="B86"/>
      <c r="C86"/>
      <c r="D86"/>
      <c r="E86"/>
      <c r="F86"/>
      <c r="G86"/>
      <c r="H86" s="973"/>
      <c r="I86" s="973"/>
      <c r="J86" s="973"/>
      <c r="K86" s="973"/>
      <c r="L86" s="973"/>
      <c r="M86" s="973"/>
      <c r="N86" s="973"/>
      <c r="O86" s="973"/>
      <c r="P86"/>
      <c r="Q86"/>
      <c r="R86"/>
    </row>
    <row r="87" spans="1:18" ht="15">
      <c r="A87"/>
      <c r="B87"/>
      <c r="C87"/>
      <c r="D87"/>
      <c r="E87"/>
      <c r="F87"/>
      <c r="G87"/>
      <c r="H87" s="973"/>
      <c r="I87" s="973"/>
      <c r="J87" s="973"/>
      <c r="K87" s="973"/>
      <c r="L87" s="973"/>
      <c r="M87" s="973"/>
      <c r="N87" s="973"/>
      <c r="O87" s="973"/>
      <c r="P87"/>
      <c r="Q87"/>
      <c r="R87"/>
    </row>
    <row r="88" spans="1:18" ht="15">
      <c r="A88"/>
      <c r="B88"/>
      <c r="C88"/>
      <c r="D88"/>
      <c r="E88"/>
      <c r="F88"/>
      <c r="G88"/>
      <c r="H88" s="973"/>
      <c r="I88" s="973"/>
      <c r="J88" s="973"/>
      <c r="K88" s="973"/>
      <c r="L88" s="973"/>
      <c r="M88" s="973"/>
      <c r="N88" s="973"/>
      <c r="O88" s="973"/>
      <c r="P88"/>
      <c r="Q88"/>
      <c r="R88"/>
    </row>
    <row r="89" spans="1:18" ht="15">
      <c r="A89"/>
      <c r="B89"/>
      <c r="C89"/>
      <c r="D89"/>
      <c r="E89"/>
      <c r="F89"/>
      <c r="G89"/>
      <c r="H89" s="973"/>
      <c r="I89" s="973"/>
      <c r="J89" s="973"/>
      <c r="K89" s="973"/>
      <c r="L89" s="973"/>
      <c r="M89" s="973"/>
      <c r="N89" s="973"/>
      <c r="O89" s="973"/>
      <c r="P89"/>
      <c r="Q89"/>
      <c r="R89"/>
    </row>
    <row r="90" spans="1:18" ht="15">
      <c r="A90"/>
      <c r="B90"/>
      <c r="C90"/>
      <c r="D90"/>
      <c r="E90"/>
      <c r="F90"/>
      <c r="G90"/>
      <c r="H90" s="973"/>
      <c r="I90" s="973"/>
      <c r="J90" s="973"/>
      <c r="K90" s="973"/>
      <c r="L90" s="973"/>
      <c r="M90" s="973"/>
      <c r="N90" s="973"/>
      <c r="O90" s="973"/>
      <c r="P90"/>
      <c r="Q90"/>
      <c r="R90"/>
    </row>
    <row r="91" spans="1:18" ht="15">
      <c r="A91"/>
      <c r="B91"/>
      <c r="C91"/>
      <c r="D91"/>
      <c r="E91"/>
      <c r="F91"/>
      <c r="G91"/>
      <c r="H91" s="973"/>
      <c r="I91" s="973"/>
      <c r="J91" s="973"/>
      <c r="K91" s="973"/>
      <c r="L91" s="973"/>
      <c r="M91" s="973"/>
      <c r="N91" s="973"/>
      <c r="O91" s="973"/>
      <c r="P91"/>
      <c r="Q91"/>
      <c r="R91"/>
    </row>
    <row r="92" spans="1:18" ht="15">
      <c r="A92"/>
      <c r="B92"/>
      <c r="C92"/>
      <c r="D92"/>
      <c r="E92"/>
      <c r="F92"/>
      <c r="G92"/>
      <c r="H92" s="973"/>
      <c r="I92" s="973"/>
      <c r="J92" s="973"/>
      <c r="K92" s="973"/>
      <c r="L92" s="973"/>
      <c r="M92" s="973"/>
      <c r="N92" s="973"/>
      <c r="O92" s="973"/>
      <c r="P92"/>
      <c r="Q92"/>
      <c r="R92"/>
    </row>
    <row r="93" spans="1:18" ht="15">
      <c r="A93"/>
      <c r="B93"/>
      <c r="C93"/>
      <c r="D93"/>
      <c r="E93"/>
      <c r="F93"/>
      <c r="G93"/>
      <c r="H93" s="973"/>
      <c r="I93" s="973"/>
      <c r="J93" s="973"/>
      <c r="K93" s="973"/>
      <c r="L93" s="973"/>
      <c r="M93" s="973"/>
      <c r="N93" s="973"/>
      <c r="O93" s="973"/>
      <c r="P93"/>
      <c r="Q93"/>
      <c r="R93"/>
    </row>
    <row r="94" spans="1:18" ht="15">
      <c r="A94"/>
      <c r="B94"/>
      <c r="C94"/>
      <c r="D94"/>
      <c r="E94"/>
      <c r="F94"/>
      <c r="G94"/>
      <c r="H94" s="973"/>
      <c r="I94" s="973"/>
      <c r="J94" s="973"/>
      <c r="K94" s="973"/>
      <c r="L94" s="973"/>
      <c r="M94" s="973"/>
      <c r="N94" s="973"/>
      <c r="O94" s="973"/>
      <c r="P94"/>
      <c r="Q94"/>
      <c r="R94"/>
    </row>
    <row r="95" spans="1:18" ht="15">
      <c r="A95"/>
      <c r="B95"/>
      <c r="C95"/>
      <c r="D95"/>
      <c r="E95"/>
      <c r="F95"/>
      <c r="G95"/>
      <c r="H95" s="973"/>
      <c r="I95" s="973"/>
      <c r="J95" s="973"/>
      <c r="K95" s="973"/>
      <c r="L95" s="973"/>
      <c r="M95" s="973"/>
      <c r="N95" s="973"/>
      <c r="O95" s="973"/>
      <c r="P95"/>
      <c r="Q95"/>
      <c r="R95"/>
    </row>
    <row r="96" spans="1:18" ht="15">
      <c r="A96"/>
      <c r="B96"/>
      <c r="C96"/>
      <c r="D96"/>
      <c r="E96"/>
      <c r="F96"/>
      <c r="G96"/>
      <c r="H96" s="973"/>
      <c r="I96" s="973"/>
      <c r="J96" s="973"/>
      <c r="K96" s="973"/>
      <c r="L96" s="973"/>
      <c r="M96" s="973"/>
      <c r="N96" s="973"/>
      <c r="O96" s="973"/>
      <c r="P96"/>
      <c r="Q96"/>
      <c r="R96"/>
    </row>
    <row r="97" spans="1:18" ht="15">
      <c r="A97"/>
      <c r="B97"/>
      <c r="C97"/>
      <c r="D97"/>
      <c r="E97"/>
      <c r="F97"/>
      <c r="G97"/>
      <c r="H97" s="973"/>
      <c r="I97" s="973"/>
      <c r="J97" s="973"/>
      <c r="K97" s="973"/>
      <c r="L97" s="973"/>
      <c r="M97" s="973"/>
      <c r="N97" s="973"/>
      <c r="O97" s="973"/>
      <c r="P97"/>
      <c r="Q97"/>
      <c r="R97"/>
    </row>
    <row r="98" spans="1:18" ht="15">
      <c r="A98"/>
      <c r="B98"/>
      <c r="C98"/>
      <c r="D98"/>
      <c r="E98"/>
      <c r="F98"/>
      <c r="G98"/>
      <c r="H98" s="973"/>
      <c r="I98" s="973"/>
      <c r="J98" s="973"/>
      <c r="K98" s="973"/>
      <c r="L98" s="973"/>
      <c r="M98" s="973"/>
      <c r="N98" s="973"/>
      <c r="O98" s="973"/>
      <c r="P98"/>
      <c r="Q98"/>
      <c r="R98"/>
    </row>
    <row r="99" spans="1:18" ht="15">
      <c r="A99"/>
      <c r="B99"/>
      <c r="C99"/>
      <c r="D99"/>
      <c r="E99"/>
      <c r="F99"/>
      <c r="G99"/>
      <c r="H99" s="973"/>
      <c r="I99" s="973"/>
      <c r="J99" s="973"/>
      <c r="K99" s="973"/>
      <c r="L99" s="973"/>
      <c r="M99" s="973"/>
      <c r="N99" s="973"/>
      <c r="O99" s="973"/>
      <c r="P99"/>
      <c r="Q99"/>
      <c r="R99"/>
    </row>
    <row r="100" spans="1:18" ht="15">
      <c r="A100"/>
      <c r="B100"/>
      <c r="C100"/>
      <c r="D100"/>
      <c r="E100"/>
      <c r="F100"/>
      <c r="G100"/>
      <c r="H100" s="973"/>
      <c r="I100" s="973"/>
      <c r="J100" s="973"/>
      <c r="K100" s="973"/>
      <c r="L100" s="973"/>
      <c r="M100" s="973"/>
      <c r="N100" s="973"/>
      <c r="O100" s="973"/>
      <c r="P100"/>
      <c r="Q100"/>
      <c r="R100"/>
    </row>
    <row r="101" spans="1:18" ht="15">
      <c r="A101"/>
      <c r="B101"/>
      <c r="C101"/>
      <c r="D101"/>
      <c r="E101"/>
      <c r="F101"/>
      <c r="G101"/>
      <c r="H101" s="973"/>
      <c r="I101" s="973"/>
      <c r="J101" s="973"/>
      <c r="K101" s="973"/>
      <c r="L101" s="973"/>
      <c r="M101" s="973"/>
      <c r="N101" s="973"/>
      <c r="O101" s="973"/>
      <c r="P101"/>
      <c r="Q101"/>
      <c r="R101"/>
    </row>
    <row r="102" spans="1:18" ht="15">
      <c r="A102"/>
      <c r="B102"/>
      <c r="C102"/>
      <c r="D102"/>
      <c r="E102"/>
      <c r="F102"/>
      <c r="G102"/>
      <c r="H102" s="973"/>
      <c r="I102" s="973"/>
      <c r="J102" s="973"/>
      <c r="K102" s="973"/>
      <c r="L102" s="973"/>
      <c r="M102" s="973"/>
      <c r="N102" s="973"/>
      <c r="O102" s="973"/>
      <c r="P102"/>
      <c r="Q102"/>
      <c r="R102"/>
    </row>
    <row r="103" spans="1:18" ht="15">
      <c r="A103"/>
      <c r="B103"/>
      <c r="C103"/>
      <c r="D103"/>
      <c r="E103"/>
      <c r="F103"/>
      <c r="G103"/>
      <c r="H103" s="973"/>
      <c r="I103" s="973"/>
      <c r="J103" s="973"/>
      <c r="K103" s="973"/>
      <c r="L103" s="973"/>
      <c r="M103" s="973"/>
      <c r="N103" s="973"/>
      <c r="O103" s="973"/>
      <c r="P103"/>
      <c r="Q103"/>
      <c r="R103"/>
    </row>
    <row r="104" spans="1:18" ht="15">
      <c r="A104"/>
      <c r="B104"/>
      <c r="C104"/>
      <c r="D104"/>
      <c r="E104"/>
      <c r="F104"/>
      <c r="G104"/>
      <c r="H104" s="973"/>
      <c r="I104" s="973"/>
      <c r="J104" s="973"/>
      <c r="K104" s="973"/>
      <c r="L104" s="973"/>
      <c r="M104" s="973"/>
      <c r="N104" s="973"/>
      <c r="O104" s="973"/>
      <c r="P104"/>
      <c r="Q104"/>
      <c r="R104"/>
    </row>
    <row r="105" spans="1:18" ht="15">
      <c r="A105"/>
      <c r="B105"/>
      <c r="C105"/>
      <c r="D105"/>
      <c r="E105"/>
      <c r="F105"/>
      <c r="G105"/>
      <c r="H105" s="973"/>
      <c r="I105" s="973"/>
      <c r="J105" s="973"/>
      <c r="K105" s="973"/>
      <c r="L105" s="973"/>
      <c r="M105" s="973"/>
      <c r="N105" s="973"/>
      <c r="O105" s="973"/>
      <c r="P105"/>
      <c r="Q105"/>
      <c r="R105"/>
    </row>
    <row r="106" spans="1:18" ht="15">
      <c r="A106"/>
      <c r="B106"/>
      <c r="C106"/>
      <c r="D106"/>
      <c r="E106"/>
      <c r="F106"/>
      <c r="G106"/>
      <c r="H106"/>
      <c r="I106"/>
      <c r="J106"/>
      <c r="K106"/>
      <c r="L106"/>
      <c r="M106"/>
      <c r="N106"/>
      <c r="O106"/>
      <c r="P106"/>
      <c r="Q106"/>
      <c r="R106"/>
    </row>
    <row r="107" spans="1:18" ht="15">
      <c r="A107"/>
      <c r="B107"/>
      <c r="C107"/>
      <c r="D107"/>
      <c r="E107"/>
      <c r="F107"/>
      <c r="G107"/>
      <c r="H107"/>
      <c r="I107"/>
      <c r="J107"/>
      <c r="K107"/>
      <c r="L107"/>
      <c r="M107"/>
      <c r="N107"/>
      <c r="O107"/>
      <c r="P107"/>
      <c r="Q107"/>
      <c r="R107"/>
    </row>
    <row r="108" spans="1:18" ht="15">
      <c r="A108"/>
      <c r="B108"/>
      <c r="C108"/>
      <c r="D108"/>
      <c r="E108"/>
      <c r="F108"/>
      <c r="G108"/>
      <c r="H108"/>
      <c r="I108"/>
      <c r="J108"/>
      <c r="K108"/>
      <c r="L108"/>
      <c r="M108"/>
      <c r="N108"/>
      <c r="O108"/>
      <c r="P108"/>
      <c r="Q108"/>
      <c r="R108"/>
    </row>
    <row r="109" spans="1:18" ht="15">
      <c r="A109"/>
      <c r="B109"/>
      <c r="C109"/>
      <c r="D109"/>
      <c r="E109"/>
      <c r="F109"/>
      <c r="G109"/>
      <c r="H109"/>
      <c r="I109"/>
      <c r="J109"/>
      <c r="K109"/>
      <c r="L109"/>
      <c r="M109"/>
      <c r="N109"/>
      <c r="O109"/>
      <c r="P109"/>
      <c r="Q109"/>
      <c r="R109"/>
    </row>
    <row r="110" spans="1:18" ht="15">
      <c r="A110"/>
      <c r="B110"/>
      <c r="C110"/>
      <c r="D110"/>
      <c r="E110"/>
      <c r="F110"/>
      <c r="G110"/>
      <c r="H110"/>
      <c r="I110"/>
      <c r="J110"/>
      <c r="K110"/>
      <c r="L110"/>
      <c r="M110"/>
      <c r="N110"/>
      <c r="O110"/>
      <c r="P110"/>
      <c r="Q110"/>
      <c r="R110"/>
    </row>
    <row r="111" spans="1:18" ht="15">
      <c r="A111"/>
      <c r="B111"/>
      <c r="C111"/>
      <c r="D111"/>
      <c r="E111"/>
      <c r="F111"/>
      <c r="G111"/>
      <c r="H111"/>
      <c r="I111"/>
      <c r="J111"/>
      <c r="K111"/>
      <c r="L111"/>
      <c r="M111"/>
      <c r="N111"/>
      <c r="O111"/>
      <c r="P111"/>
      <c r="Q111"/>
      <c r="R111"/>
    </row>
    <row r="112" spans="1:18" ht="15">
      <c r="A112"/>
      <c r="B112"/>
      <c r="C112"/>
      <c r="D112"/>
      <c r="E112"/>
      <c r="F112"/>
      <c r="G112"/>
      <c r="H112"/>
      <c r="I112"/>
      <c r="J112"/>
      <c r="K112"/>
      <c r="L112"/>
      <c r="M112"/>
      <c r="N112"/>
      <c r="O112"/>
      <c r="P112"/>
      <c r="Q112"/>
      <c r="R112"/>
    </row>
    <row r="113" spans="1:18" ht="15">
      <c r="A113"/>
      <c r="B113"/>
      <c r="C113"/>
      <c r="D113"/>
      <c r="E113"/>
      <c r="F113"/>
      <c r="G113"/>
      <c r="H113"/>
      <c r="I113"/>
      <c r="J113"/>
      <c r="K113"/>
      <c r="L113"/>
      <c r="M113"/>
      <c r="N113"/>
      <c r="O113"/>
      <c r="P113"/>
      <c r="Q113"/>
      <c r="R113"/>
    </row>
    <row r="114" spans="1:18" ht="15">
      <c r="A114"/>
      <c r="B114"/>
      <c r="C114"/>
      <c r="D114"/>
      <c r="E114"/>
      <c r="F114"/>
      <c r="G114"/>
      <c r="H114"/>
      <c r="I114"/>
      <c r="J114"/>
      <c r="K114"/>
      <c r="L114"/>
      <c r="M114"/>
      <c r="N114"/>
      <c r="O114"/>
      <c r="P114"/>
      <c r="Q114"/>
      <c r="R114"/>
    </row>
    <row r="115" spans="1:18" ht="15">
      <c r="A115"/>
      <c r="B115"/>
      <c r="C115"/>
      <c r="D115"/>
      <c r="E115"/>
      <c r="F115"/>
      <c r="G115"/>
      <c r="H115"/>
      <c r="I115"/>
      <c r="J115"/>
      <c r="K115"/>
      <c r="L115"/>
      <c r="M115"/>
      <c r="N115"/>
      <c r="O115"/>
      <c r="P115"/>
      <c r="Q115"/>
      <c r="R115"/>
    </row>
    <row r="116" spans="1:18" ht="15">
      <c r="A116"/>
      <c r="B116"/>
      <c r="C116"/>
      <c r="D116"/>
      <c r="E116"/>
      <c r="F116"/>
      <c r="G116"/>
      <c r="H116"/>
      <c r="I116"/>
      <c r="J116"/>
      <c r="K116"/>
      <c r="L116"/>
      <c r="M116"/>
      <c r="N116"/>
      <c r="O116"/>
      <c r="P116"/>
      <c r="Q116"/>
      <c r="R116"/>
    </row>
    <row r="117" spans="1:18" ht="15">
      <c r="A117"/>
      <c r="B117"/>
      <c r="C117"/>
      <c r="D117"/>
      <c r="E117"/>
      <c r="F117"/>
      <c r="G117"/>
      <c r="H117"/>
      <c r="I117"/>
      <c r="J117"/>
      <c r="K117"/>
      <c r="L117"/>
      <c r="M117"/>
      <c r="N117"/>
      <c r="O117"/>
      <c r="P117"/>
      <c r="Q117"/>
      <c r="R117"/>
    </row>
    <row r="118" spans="1:18" ht="15">
      <c r="A118"/>
      <c r="B118"/>
      <c r="C118"/>
      <c r="D118"/>
      <c r="E118"/>
      <c r="F118"/>
      <c r="G118"/>
      <c r="H118"/>
      <c r="I118"/>
      <c r="J118"/>
      <c r="K118"/>
      <c r="L118"/>
      <c r="M118"/>
      <c r="N118"/>
      <c r="O118"/>
      <c r="P118"/>
      <c r="Q118"/>
      <c r="R118"/>
    </row>
    <row r="119" spans="1:18" ht="15">
      <c r="A119"/>
      <c r="B119"/>
      <c r="C119"/>
      <c r="D119"/>
      <c r="E119"/>
      <c r="F119"/>
      <c r="G119"/>
      <c r="H119"/>
      <c r="I119"/>
      <c r="J119"/>
      <c r="K119"/>
      <c r="L119"/>
      <c r="M119"/>
      <c r="N119"/>
      <c r="O119"/>
      <c r="P119"/>
      <c r="Q119"/>
      <c r="R119"/>
    </row>
    <row r="120" spans="1:18">
      <c r="A120" s="7" t="s">
        <v>443</v>
      </c>
    </row>
  </sheetData>
  <mergeCells count="40">
    <mergeCell ref="P2:R2"/>
    <mergeCell ref="H1:O1"/>
    <mergeCell ref="A2:B2"/>
    <mergeCell ref="C2:D2"/>
    <mergeCell ref="E2:F2"/>
    <mergeCell ref="H2:O2"/>
    <mergeCell ref="A3:D3"/>
    <mergeCell ref="H3:O4"/>
    <mergeCell ref="A4:D4"/>
    <mergeCell ref="E4:F4"/>
    <mergeCell ref="A5:D5"/>
    <mergeCell ref="E5:F5"/>
    <mergeCell ref="H5:O6"/>
    <mergeCell ref="A6:D6"/>
    <mergeCell ref="E6:F6"/>
    <mergeCell ref="A7:D7"/>
    <mergeCell ref="E7:F7"/>
    <mergeCell ref="A8:D8"/>
    <mergeCell ref="E8:F8"/>
    <mergeCell ref="A9:D9"/>
    <mergeCell ref="E9:F9"/>
    <mergeCell ref="A12:C12"/>
    <mergeCell ref="H12:O15"/>
    <mergeCell ref="A13:C13"/>
    <mergeCell ref="A14:C14"/>
    <mergeCell ref="A15:C15"/>
    <mergeCell ref="P59:Y61"/>
    <mergeCell ref="D21:F21"/>
    <mergeCell ref="A22:C22"/>
    <mergeCell ref="A23:C23"/>
    <mergeCell ref="H27:O32"/>
    <mergeCell ref="H34:O38"/>
    <mergeCell ref="H40:O50"/>
    <mergeCell ref="H17:O23"/>
    <mergeCell ref="A18:C18"/>
    <mergeCell ref="A52:F58"/>
    <mergeCell ref="H54:O58"/>
    <mergeCell ref="A19:C19"/>
    <mergeCell ref="A20:C20"/>
    <mergeCell ref="A21:C21"/>
  </mergeCells>
  <pageMargins left="0.31496062992125984" right="0.51181102362204722" top="0.74803149606299213" bottom="0.74803149606299213" header="0.31496062992125984" footer="0.31496062992125984"/>
  <pageSetup paperSize="9" orientation="portrait" r:id="rId1"/>
  <headerFooter>
    <oddHeader xml:space="preserve">&amp;LARYAN S KOTHARI&amp;CFERRAGAMMO S.P.A
&amp;RRECOMMENDATION:SELL OR HOLD
Price Target: €7.02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76949-8E46-4297-A713-543F57EB4CE3}">
  <sheetPr>
    <tabColor rgb="FF70AD47"/>
  </sheetPr>
  <dimension ref="A1:T40"/>
  <sheetViews>
    <sheetView zoomScale="108" zoomScaleNormal="108" workbookViewId="0">
      <selection sqref="A1:A2"/>
    </sheetView>
  </sheetViews>
  <sheetFormatPr defaultColWidth="11.42578125" defaultRowHeight="12.75"/>
  <cols>
    <col min="1" max="1" width="49.7109375" style="7" bestFit="1" customWidth="1"/>
    <col min="2" max="2" width="24.28515625" style="7" bestFit="1" customWidth="1"/>
    <col min="3" max="3" width="19.7109375" style="7" bestFit="1" customWidth="1"/>
    <col min="4" max="4" width="17.5703125" style="7" bestFit="1" customWidth="1"/>
    <col min="5" max="5" width="19.140625" style="7" bestFit="1" customWidth="1"/>
    <col min="6" max="6" width="12.140625" style="7" bestFit="1" customWidth="1"/>
    <col min="7" max="7" width="12.5703125" style="7" customWidth="1"/>
    <col min="8" max="16384" width="11.42578125" style="7"/>
  </cols>
  <sheetData>
    <row r="1" spans="1:20" ht="25.5" customHeight="1">
      <c r="A1" s="1086" t="s">
        <v>698</v>
      </c>
      <c r="B1" s="1080" t="s">
        <v>751</v>
      </c>
      <c r="C1" s="1080" t="s">
        <v>750</v>
      </c>
      <c r="D1" s="1080" t="s">
        <v>748</v>
      </c>
      <c r="E1" s="1080" t="s">
        <v>752</v>
      </c>
      <c r="F1" s="1080" t="s">
        <v>749</v>
      </c>
      <c r="G1" s="647" t="s">
        <v>747</v>
      </c>
      <c r="H1" s="1083" t="s">
        <v>746</v>
      </c>
      <c r="I1" s="1084"/>
      <c r="J1" s="1084"/>
    </row>
    <row r="2" spans="1:20" ht="4.5" hidden="1" customHeight="1">
      <c r="A2" s="1087"/>
      <c r="B2" s="1080"/>
      <c r="C2" s="1080"/>
      <c r="D2" s="1080"/>
      <c r="E2" s="1080"/>
      <c r="F2" s="1080"/>
      <c r="G2" s="647"/>
      <c r="H2" s="1083"/>
      <c r="I2" s="1084"/>
      <c r="J2" s="1084"/>
    </row>
    <row r="3" spans="1:20" ht="15.75" customHeight="1">
      <c r="A3" s="643" t="s">
        <v>745</v>
      </c>
      <c r="B3" s="645" t="s">
        <v>774</v>
      </c>
      <c r="C3" s="646" t="s">
        <v>775</v>
      </c>
      <c r="D3" s="645" t="s">
        <v>776</v>
      </c>
      <c r="E3" s="645" t="s">
        <v>777</v>
      </c>
      <c r="F3" s="645" t="s">
        <v>778</v>
      </c>
      <c r="G3" s="645" t="s">
        <v>779</v>
      </c>
      <c r="H3" s="1084"/>
      <c r="I3" s="1084"/>
      <c r="J3" s="1084"/>
    </row>
    <row r="4" spans="1:20" ht="15.75" customHeight="1">
      <c r="A4" s="643" t="s">
        <v>693</v>
      </c>
      <c r="B4" s="645" t="s">
        <v>774</v>
      </c>
      <c r="C4" s="644" t="s">
        <v>780</v>
      </c>
      <c r="D4" s="645" t="s">
        <v>781</v>
      </c>
      <c r="E4" s="645" t="s">
        <v>782</v>
      </c>
      <c r="F4" s="645" t="s">
        <v>783</v>
      </c>
      <c r="G4" s="645" t="s">
        <v>784</v>
      </c>
    </row>
    <row r="5" spans="1:20" ht="15.75" customHeight="1">
      <c r="A5" s="643" t="s">
        <v>677</v>
      </c>
      <c r="B5" s="627" t="s">
        <v>753</v>
      </c>
      <c r="C5" s="638" t="s">
        <v>754</v>
      </c>
      <c r="D5" s="637" t="s">
        <v>755</v>
      </c>
      <c r="E5" s="637" t="s">
        <v>756</v>
      </c>
      <c r="F5" s="637" t="s">
        <v>757</v>
      </c>
      <c r="G5" s="637" t="s">
        <v>758</v>
      </c>
      <c r="H5" s="1085" t="s">
        <v>744</v>
      </c>
      <c r="I5" s="1085"/>
    </row>
    <row r="6" spans="1:20" ht="15.75" customHeight="1">
      <c r="A6" s="632" t="s">
        <v>743</v>
      </c>
      <c r="B6" s="642" t="s">
        <v>759</v>
      </c>
      <c r="C6" s="641" t="s">
        <v>804</v>
      </c>
      <c r="D6" s="640" t="s">
        <v>765</v>
      </c>
      <c r="E6" s="637" t="s">
        <v>805</v>
      </c>
      <c r="F6" s="637" t="s">
        <v>760</v>
      </c>
      <c r="G6" s="637" t="s">
        <v>761</v>
      </c>
      <c r="H6" s="1085"/>
      <c r="I6" s="1085"/>
      <c r="J6" s="639"/>
    </row>
    <row r="7" spans="1:20" ht="15.75" customHeight="1">
      <c r="A7" s="632" t="s">
        <v>742</v>
      </c>
      <c r="B7" s="627" t="s">
        <v>762</v>
      </c>
      <c r="C7" s="638" t="s">
        <v>804</v>
      </c>
      <c r="D7" s="637" t="s">
        <v>765</v>
      </c>
      <c r="E7" s="637" t="s">
        <v>805</v>
      </c>
      <c r="F7" s="637" t="s">
        <v>763</v>
      </c>
      <c r="G7" s="637" t="s">
        <v>761</v>
      </c>
      <c r="H7" s="1085"/>
      <c r="I7" s="1085"/>
      <c r="N7" s="626"/>
      <c r="O7" s="626"/>
      <c r="P7" s="626"/>
      <c r="Q7" s="626"/>
      <c r="R7" s="626"/>
      <c r="S7" s="626"/>
    </row>
    <row r="8" spans="1:20" ht="15.75" customHeight="1">
      <c r="A8" s="632" t="s">
        <v>697</v>
      </c>
      <c r="B8" s="652">
        <v>2.1000000000000001E-2</v>
      </c>
      <c r="C8" s="653">
        <v>3.7999999999999999E-2</v>
      </c>
      <c r="D8" s="654">
        <v>1.4E-2</v>
      </c>
      <c r="E8" s="654" t="s">
        <v>806</v>
      </c>
      <c r="F8" s="654" t="s">
        <v>764</v>
      </c>
      <c r="G8" s="654">
        <v>1.4E-2</v>
      </c>
      <c r="H8" s="1085"/>
      <c r="I8" s="1085"/>
    </row>
    <row r="9" spans="1:20" ht="15.75" customHeight="1">
      <c r="A9" s="632" t="s">
        <v>696</v>
      </c>
      <c r="B9" s="652">
        <v>2.3E-2</v>
      </c>
      <c r="C9" s="653">
        <v>3.1E-2</v>
      </c>
      <c r="D9" s="654">
        <v>1.0999999999999999E-2</v>
      </c>
      <c r="E9" s="654">
        <v>1.4999999999999999E-2</v>
      </c>
      <c r="F9" s="654">
        <v>0.02</v>
      </c>
      <c r="G9" s="654">
        <v>0.02</v>
      </c>
      <c r="N9" s="626"/>
      <c r="O9" s="626"/>
      <c r="P9" s="626"/>
      <c r="R9" s="626"/>
      <c r="S9" s="626"/>
    </row>
    <row r="10" spans="1:20" ht="12.75" customHeight="1">
      <c r="A10" s="1080" t="s">
        <v>741</v>
      </c>
      <c r="B10" s="1080" t="str">
        <f>B1</f>
        <v>Moncler S.p.A.</v>
      </c>
      <c r="C10" s="1080" t="str">
        <f t="shared" ref="C10:E10" si="0">C1</f>
        <v>Prada S.p.A.</v>
      </c>
      <c r="D10" s="1080" t="str">
        <f t="shared" si="0"/>
        <v>Brunello Cucinelli</v>
      </c>
      <c r="E10" s="1080" t="str">
        <f t="shared" si="0"/>
        <v>Ermenegildo Zegna</v>
      </c>
      <c r="F10" s="1080" t="str">
        <f>F1</f>
        <v>Kering</v>
      </c>
      <c r="G10" s="1080" t="str">
        <f>G1</f>
        <v>Average</v>
      </c>
      <c r="N10" s="626"/>
      <c r="O10" s="626"/>
      <c r="P10" s="626"/>
      <c r="Q10" s="626"/>
      <c r="R10" s="626"/>
      <c r="S10" s="626"/>
      <c r="T10" s="626"/>
    </row>
    <row r="11" spans="1:20" ht="9" customHeight="1">
      <c r="A11" s="1080"/>
      <c r="B11" s="1080"/>
      <c r="C11" s="1080"/>
      <c r="D11" s="1080"/>
      <c r="E11" s="1080"/>
      <c r="F11" s="1080"/>
      <c r="G11" s="1080"/>
    </row>
    <row r="12" spans="1:20" ht="15.75" customHeight="1">
      <c r="A12" s="632" t="s">
        <v>740</v>
      </c>
      <c r="B12" s="648" t="s">
        <v>766</v>
      </c>
      <c r="C12" s="649">
        <v>0.52200000000000002</v>
      </c>
      <c r="D12" s="650" t="s">
        <v>767</v>
      </c>
      <c r="E12" s="650">
        <v>0.83799999999999997</v>
      </c>
      <c r="F12" s="650">
        <v>1.0589999999999999</v>
      </c>
      <c r="G12" s="650">
        <v>0.88600000000000001</v>
      </c>
    </row>
    <row r="13" spans="1:20" ht="15.75" customHeight="1">
      <c r="A13" s="632" t="s">
        <v>692</v>
      </c>
      <c r="B13" s="634" t="s">
        <v>768</v>
      </c>
      <c r="C13" s="636" t="s">
        <v>769</v>
      </c>
      <c r="D13" s="635" t="s">
        <v>770</v>
      </c>
      <c r="E13" s="635" t="s">
        <v>771</v>
      </c>
      <c r="F13" s="635" t="s">
        <v>772</v>
      </c>
      <c r="G13" s="635" t="s">
        <v>773</v>
      </c>
    </row>
    <row r="14" spans="1:20" ht="12.75" customHeight="1">
      <c r="A14" s="1080" t="s">
        <v>739</v>
      </c>
      <c r="B14" s="1080" t="str">
        <f t="shared" ref="B14:G14" si="1">B10</f>
        <v>Moncler S.p.A.</v>
      </c>
      <c r="C14" s="1080" t="str">
        <f t="shared" si="1"/>
        <v>Prada S.p.A.</v>
      </c>
      <c r="D14" s="1080" t="str">
        <f t="shared" si="1"/>
        <v>Brunello Cucinelli</v>
      </c>
      <c r="E14" s="1080" t="str">
        <f t="shared" si="1"/>
        <v>Ermenegildo Zegna</v>
      </c>
      <c r="F14" s="1080" t="str">
        <f t="shared" si="1"/>
        <v>Kering</v>
      </c>
      <c r="G14" s="1080" t="str">
        <f t="shared" si="1"/>
        <v>Average</v>
      </c>
      <c r="O14" s="626"/>
      <c r="Q14" s="626"/>
      <c r="R14" s="626"/>
      <c r="S14" s="626"/>
    </row>
    <row r="15" spans="1:20" ht="15" customHeight="1">
      <c r="A15" s="1080"/>
      <c r="B15" s="1080"/>
      <c r="C15" s="1080"/>
      <c r="D15" s="1080"/>
      <c r="E15" s="1080"/>
      <c r="F15" s="1080"/>
      <c r="G15" s="1080"/>
    </row>
    <row r="16" spans="1:20" ht="15.75" customHeight="1">
      <c r="A16" s="632" t="s">
        <v>738</v>
      </c>
      <c r="B16" s="652">
        <v>0.20899999999999999</v>
      </c>
      <c r="C16" s="663">
        <v>0.14000000000000001</v>
      </c>
      <c r="D16" s="663">
        <v>0.23799999999999999</v>
      </c>
      <c r="E16" s="663">
        <v>9.5000000000000001E-2</v>
      </c>
      <c r="F16" s="663">
        <v>1.0999999999999999E-2</v>
      </c>
      <c r="G16" s="663">
        <v>0.13900000000000001</v>
      </c>
    </row>
    <row r="17" spans="1:20" ht="15.75" customHeight="1">
      <c r="A17" s="632" t="s">
        <v>737</v>
      </c>
      <c r="B17" s="634" t="s">
        <v>785</v>
      </c>
      <c r="C17" s="634" t="s">
        <v>785</v>
      </c>
      <c r="D17" s="634" t="s">
        <v>786</v>
      </c>
      <c r="E17" s="634" t="s">
        <v>787</v>
      </c>
      <c r="F17" s="634" t="s">
        <v>785</v>
      </c>
      <c r="G17" s="633"/>
    </row>
    <row r="18" spans="1:20" ht="15.75" customHeight="1">
      <c r="A18" s="632" t="s">
        <v>736</v>
      </c>
      <c r="B18" s="627">
        <v>2.36</v>
      </c>
      <c r="C18" s="627">
        <v>0.9</v>
      </c>
      <c r="D18" s="627">
        <v>0.96</v>
      </c>
      <c r="E18" s="627">
        <v>0.44</v>
      </c>
      <c r="F18" s="627">
        <v>12.98</v>
      </c>
      <c r="G18" s="633"/>
    </row>
    <row r="19" spans="1:20" ht="12.75" customHeight="1">
      <c r="A19" s="1080" t="s">
        <v>735</v>
      </c>
      <c r="B19" s="1081" t="str">
        <f>B14</f>
        <v>Moncler S.p.A.</v>
      </c>
      <c r="C19" s="1081" t="str">
        <f>C14</f>
        <v>Prada S.p.A.</v>
      </c>
      <c r="D19" s="1081" t="str">
        <f>D14</f>
        <v>Brunello Cucinelli</v>
      </c>
      <c r="E19" s="1081" t="str">
        <f>E14</f>
        <v>Ermenegildo Zegna</v>
      </c>
      <c r="F19" s="1081" t="str">
        <f>F14</f>
        <v>Kering</v>
      </c>
      <c r="G19" s="1080" t="str">
        <f>G10</f>
        <v>Average</v>
      </c>
      <c r="N19" s="626"/>
      <c r="O19" s="626"/>
      <c r="P19" s="626"/>
      <c r="Q19" s="626"/>
      <c r="T19" s="626"/>
    </row>
    <row r="20" spans="1:20" ht="12.75" customHeight="1">
      <c r="A20" s="1080"/>
      <c r="B20" s="1082"/>
      <c r="C20" s="1082"/>
      <c r="D20" s="1082"/>
      <c r="E20" s="1082"/>
      <c r="F20" s="1082"/>
      <c r="G20" s="1080"/>
      <c r="N20" s="651"/>
      <c r="O20" s="626"/>
      <c r="P20" s="651"/>
      <c r="Q20" s="626"/>
      <c r="R20" s="626"/>
      <c r="S20" s="626"/>
      <c r="T20" s="626"/>
    </row>
    <row r="21" spans="1:20" ht="15.75" customHeight="1">
      <c r="A21" s="632" t="s">
        <v>695</v>
      </c>
      <c r="B21" s="627" t="s">
        <v>788</v>
      </c>
      <c r="C21" s="627" t="s">
        <v>772</v>
      </c>
      <c r="D21" s="627" t="s">
        <v>789</v>
      </c>
      <c r="E21" s="627" t="s">
        <v>790</v>
      </c>
      <c r="F21" s="627" t="s">
        <v>791</v>
      </c>
      <c r="G21" s="627" t="s">
        <v>792</v>
      </c>
      <c r="N21" s="651"/>
      <c r="P21" s="651"/>
      <c r="R21" s="626"/>
      <c r="S21" s="626"/>
      <c r="T21" s="626"/>
    </row>
    <row r="22" spans="1:20" ht="15.75" customHeight="1">
      <c r="A22" s="632" t="s">
        <v>694</v>
      </c>
      <c r="B22" s="627" t="s">
        <v>793</v>
      </c>
      <c r="C22" s="627" t="s">
        <v>794</v>
      </c>
      <c r="D22" s="627" t="s">
        <v>795</v>
      </c>
      <c r="E22" s="627" t="s">
        <v>796</v>
      </c>
      <c r="F22" s="627" t="s">
        <v>797</v>
      </c>
      <c r="G22" s="627" t="s">
        <v>798</v>
      </c>
      <c r="N22" s="651"/>
      <c r="P22" s="651"/>
    </row>
    <row r="23" spans="1:20" ht="15.75" customHeight="1">
      <c r="A23" s="632" t="s">
        <v>734</v>
      </c>
      <c r="B23" s="627" t="s">
        <v>799</v>
      </c>
      <c r="C23" s="627" t="s">
        <v>800</v>
      </c>
      <c r="D23" s="627" t="s">
        <v>788</v>
      </c>
      <c r="E23" s="627" t="s">
        <v>801</v>
      </c>
      <c r="F23" s="627" t="s">
        <v>802</v>
      </c>
      <c r="G23" s="627" t="s">
        <v>803</v>
      </c>
      <c r="N23" s="651"/>
      <c r="P23" s="651"/>
    </row>
    <row r="24" spans="1:20">
      <c r="A24" s="631"/>
      <c r="B24" s="630"/>
      <c r="C24" s="629"/>
      <c r="D24" s="628"/>
      <c r="E24" s="628"/>
      <c r="F24" s="628"/>
      <c r="G24" s="628"/>
      <c r="N24" s="651"/>
      <c r="P24" s="651"/>
    </row>
    <row r="39" spans="14:20">
      <c r="N39" s="626"/>
      <c r="O39" s="626"/>
      <c r="P39" s="626"/>
      <c r="S39" s="626"/>
    </row>
    <row r="40" spans="14:20">
      <c r="N40" s="626"/>
      <c r="O40" s="626"/>
      <c r="P40" s="626"/>
      <c r="Q40" s="626"/>
      <c r="R40" s="626"/>
      <c r="S40" s="626"/>
      <c r="T40" s="626"/>
    </row>
  </sheetData>
  <mergeCells count="29">
    <mergeCell ref="H1:J3"/>
    <mergeCell ref="H5:I8"/>
    <mergeCell ref="A10:A11"/>
    <mergeCell ref="B10:B11"/>
    <mergeCell ref="C10:C11"/>
    <mergeCell ref="D10:D11"/>
    <mergeCell ref="E10:E11"/>
    <mergeCell ref="F10:F11"/>
    <mergeCell ref="G10:G11"/>
    <mergeCell ref="A1:A2"/>
    <mergeCell ref="B1:B2"/>
    <mergeCell ref="C1:C2"/>
    <mergeCell ref="D1:D2"/>
    <mergeCell ref="E1:E2"/>
    <mergeCell ref="F1:F2"/>
    <mergeCell ref="G19:G20"/>
    <mergeCell ref="A14:A15"/>
    <mergeCell ref="B14:B15"/>
    <mergeCell ref="C14:C15"/>
    <mergeCell ref="D14:D15"/>
    <mergeCell ref="E14:E15"/>
    <mergeCell ref="F14:F15"/>
    <mergeCell ref="A19:A20"/>
    <mergeCell ref="B19:B20"/>
    <mergeCell ref="C19:C20"/>
    <mergeCell ref="D19:D20"/>
    <mergeCell ref="E19:E20"/>
    <mergeCell ref="F19:F20"/>
    <mergeCell ref="G14:G1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6C6FD-70F1-49BF-AE18-88116ACE9460}">
  <dimension ref="B3:O33"/>
  <sheetViews>
    <sheetView topLeftCell="D4" zoomScale="130" zoomScaleNormal="130" workbookViewId="0">
      <selection activeCell="B5" sqref="B5:E15"/>
    </sheetView>
  </sheetViews>
  <sheetFormatPr defaultColWidth="9.140625" defaultRowHeight="12.75"/>
  <cols>
    <col min="1" max="16384" width="9.140625" style="581"/>
  </cols>
  <sheetData>
    <row r="3" spans="2:15" ht="13.5" thickBot="1">
      <c r="B3" s="1088" t="s">
        <v>813</v>
      </c>
      <c r="C3" s="1088"/>
      <c r="D3" s="1088"/>
      <c r="E3" s="1088"/>
      <c r="G3" s="1088" t="s">
        <v>812</v>
      </c>
      <c r="H3" s="1088"/>
      <c r="I3" s="1088"/>
      <c r="J3" s="1088"/>
      <c r="L3" s="1088" t="s">
        <v>812</v>
      </c>
      <c r="M3" s="1088"/>
      <c r="N3" s="1088"/>
      <c r="O3" s="1088"/>
    </row>
    <row r="4" spans="2:15" s="587" customFormat="1" ht="21.75" customHeight="1" thickBot="1">
      <c r="B4" s="1095" t="s">
        <v>705</v>
      </c>
      <c r="C4" s="1096"/>
      <c r="D4" s="1096"/>
      <c r="E4" s="1097"/>
      <c r="F4" s="588"/>
      <c r="G4" s="1095" t="s">
        <v>704</v>
      </c>
      <c r="H4" s="1096"/>
      <c r="I4" s="1096"/>
      <c r="J4" s="1097"/>
      <c r="K4" s="588"/>
      <c r="L4" s="1095" t="s">
        <v>703</v>
      </c>
      <c r="M4" s="1096"/>
      <c r="N4" s="1096"/>
      <c r="O4" s="1097"/>
    </row>
    <row r="5" spans="2:15">
      <c r="B5" s="1105" t="s">
        <v>807</v>
      </c>
      <c r="C5" s="1106"/>
      <c r="D5" s="1106"/>
      <c r="E5" s="1107"/>
      <c r="F5" s="586"/>
      <c r="G5" s="1105" t="s">
        <v>808</v>
      </c>
      <c r="H5" s="1106"/>
      <c r="I5" s="1106"/>
      <c r="J5" s="1107"/>
      <c r="K5" s="586"/>
      <c r="L5" s="1105" t="s">
        <v>809</v>
      </c>
      <c r="M5" s="1106"/>
      <c r="N5" s="1106"/>
      <c r="O5" s="1107"/>
    </row>
    <row r="6" spans="2:15">
      <c r="B6" s="1101"/>
      <c r="C6" s="1099"/>
      <c r="D6" s="1099"/>
      <c r="E6" s="1100"/>
      <c r="F6" s="586"/>
      <c r="G6" s="1101"/>
      <c r="H6" s="1099"/>
      <c r="I6" s="1099"/>
      <c r="J6" s="1100"/>
      <c r="K6" s="586"/>
      <c r="L6" s="1101"/>
      <c r="M6" s="1099"/>
      <c r="N6" s="1099"/>
      <c r="O6" s="1100"/>
    </row>
    <row r="7" spans="2:15">
      <c r="B7" s="1101"/>
      <c r="C7" s="1099"/>
      <c r="D7" s="1099"/>
      <c r="E7" s="1100"/>
      <c r="F7" s="586"/>
      <c r="G7" s="1101"/>
      <c r="H7" s="1099"/>
      <c r="I7" s="1099"/>
      <c r="J7" s="1100"/>
      <c r="K7" s="586"/>
      <c r="L7" s="1101"/>
      <c r="M7" s="1099"/>
      <c r="N7" s="1099"/>
      <c r="O7" s="1100"/>
    </row>
    <row r="8" spans="2:15">
      <c r="B8" s="1101"/>
      <c r="C8" s="1099"/>
      <c r="D8" s="1099"/>
      <c r="E8" s="1100"/>
      <c r="F8" s="586"/>
      <c r="G8" s="1101"/>
      <c r="H8" s="1099"/>
      <c r="I8" s="1099"/>
      <c r="J8" s="1100"/>
      <c r="K8" s="586"/>
      <c r="L8" s="1101"/>
      <c r="M8" s="1099"/>
      <c r="N8" s="1099"/>
      <c r="O8" s="1100"/>
    </row>
    <row r="9" spans="2:15">
      <c r="B9" s="1101"/>
      <c r="C9" s="1099"/>
      <c r="D9" s="1099"/>
      <c r="E9" s="1100"/>
      <c r="F9" s="586"/>
      <c r="G9" s="1101"/>
      <c r="H9" s="1099"/>
      <c r="I9" s="1099"/>
      <c r="J9" s="1100"/>
      <c r="K9" s="586"/>
      <c r="L9" s="1101"/>
      <c r="M9" s="1099"/>
      <c r="N9" s="1099"/>
      <c r="O9" s="1100"/>
    </row>
    <row r="10" spans="2:15">
      <c r="B10" s="1101"/>
      <c r="C10" s="1099"/>
      <c r="D10" s="1099"/>
      <c r="E10" s="1100"/>
      <c r="F10" s="586"/>
      <c r="G10" s="1101"/>
      <c r="H10" s="1099"/>
      <c r="I10" s="1099"/>
      <c r="J10" s="1100"/>
      <c r="K10" s="586"/>
      <c r="L10" s="1101"/>
      <c r="M10" s="1099"/>
      <c r="N10" s="1099"/>
      <c r="O10" s="1100"/>
    </row>
    <row r="11" spans="2:15">
      <c r="B11" s="1101"/>
      <c r="C11" s="1099"/>
      <c r="D11" s="1099"/>
      <c r="E11" s="1100"/>
      <c r="F11" s="586"/>
      <c r="G11" s="1101"/>
      <c r="H11" s="1099"/>
      <c r="I11" s="1099"/>
      <c r="J11" s="1100"/>
      <c r="K11" s="586"/>
      <c r="L11" s="1101"/>
      <c r="M11" s="1099"/>
      <c r="N11" s="1099"/>
      <c r="O11" s="1100"/>
    </row>
    <row r="12" spans="2:15">
      <c r="B12" s="1101"/>
      <c r="C12" s="1099"/>
      <c r="D12" s="1099"/>
      <c r="E12" s="1100"/>
      <c r="F12" s="586"/>
      <c r="G12" s="1101"/>
      <c r="H12" s="1099"/>
      <c r="I12" s="1099"/>
      <c r="J12" s="1100"/>
      <c r="K12" s="586"/>
      <c r="L12" s="1101"/>
      <c r="M12" s="1099"/>
      <c r="N12" s="1099"/>
      <c r="O12" s="1100"/>
    </row>
    <row r="13" spans="2:15">
      <c r="B13" s="1101"/>
      <c r="C13" s="1099"/>
      <c r="D13" s="1099"/>
      <c r="E13" s="1100"/>
      <c r="F13" s="586"/>
      <c r="G13" s="1101"/>
      <c r="H13" s="1099"/>
      <c r="I13" s="1099"/>
      <c r="J13" s="1100"/>
      <c r="K13" s="586"/>
      <c r="L13" s="1101"/>
      <c r="M13" s="1099"/>
      <c r="N13" s="1099"/>
      <c r="O13" s="1100"/>
    </row>
    <row r="14" spans="2:15">
      <c r="B14" s="1101"/>
      <c r="C14" s="1099"/>
      <c r="D14" s="1099"/>
      <c r="E14" s="1100"/>
      <c r="F14" s="586"/>
      <c r="G14" s="1101"/>
      <c r="H14" s="1099"/>
      <c r="I14" s="1099"/>
      <c r="J14" s="1100"/>
      <c r="K14" s="586"/>
      <c r="L14" s="1101"/>
      <c r="M14" s="1099"/>
      <c r="N14" s="1099"/>
      <c r="O14" s="1100"/>
    </row>
    <row r="15" spans="2:15" ht="13.5" thickBot="1">
      <c r="B15" s="1102"/>
      <c r="C15" s="1103"/>
      <c r="D15" s="1103"/>
      <c r="E15" s="1104"/>
      <c r="F15" s="586"/>
      <c r="G15" s="1102"/>
      <c r="H15" s="1103"/>
      <c r="I15" s="1103"/>
      <c r="J15" s="1104"/>
      <c r="K15" s="586"/>
      <c r="L15" s="1102"/>
      <c r="M15" s="1103"/>
      <c r="N15" s="1103"/>
      <c r="O15" s="1104"/>
    </row>
    <row r="19" spans="4:13">
      <c r="D19" s="586"/>
      <c r="E19" s="586"/>
      <c r="F19" s="1089" t="s">
        <v>702</v>
      </c>
      <c r="G19" s="1090"/>
      <c r="H19" s="1090"/>
      <c r="I19" s="1090"/>
      <c r="J19" s="1090"/>
      <c r="K19" s="1091"/>
      <c r="L19" s="586"/>
      <c r="M19" s="586"/>
    </row>
    <row r="20" spans="4:13" ht="13.5" thickBot="1">
      <c r="D20" s="586"/>
      <c r="E20" s="586"/>
      <c r="F20" s="1092"/>
      <c r="G20" s="1093"/>
      <c r="H20" s="1093"/>
      <c r="I20" s="1093"/>
      <c r="J20" s="1093"/>
      <c r="K20" s="1094"/>
      <c r="L20" s="586"/>
      <c r="M20" s="586"/>
    </row>
    <row r="21" spans="4:13">
      <c r="D21" s="586"/>
      <c r="E21" s="586"/>
      <c r="F21" s="586"/>
      <c r="G21" s="586"/>
      <c r="H21" s="586"/>
      <c r="I21" s="586"/>
      <c r="J21" s="586"/>
      <c r="K21" s="586"/>
      <c r="L21" s="586"/>
      <c r="M21" s="586"/>
    </row>
    <row r="22" spans="4:13" ht="13.5" thickBot="1">
      <c r="D22" s="1088" t="s">
        <v>812</v>
      </c>
      <c r="E22" s="1088"/>
      <c r="F22" s="1088"/>
      <c r="G22" s="1088"/>
      <c r="H22" s="586"/>
      <c r="I22" s="586"/>
      <c r="J22" s="1088" t="s">
        <v>814</v>
      </c>
      <c r="K22" s="1088"/>
      <c r="L22" s="1088"/>
      <c r="M22" s="1088"/>
    </row>
    <row r="23" spans="4:13" s="587" customFormat="1" ht="21.75" customHeight="1" thickBot="1">
      <c r="D23" s="1095" t="s">
        <v>701</v>
      </c>
      <c r="E23" s="1096"/>
      <c r="F23" s="1096"/>
      <c r="G23" s="1097"/>
      <c r="H23" s="588"/>
      <c r="I23" s="588"/>
      <c r="J23" s="1095" t="s">
        <v>700</v>
      </c>
      <c r="K23" s="1096"/>
      <c r="L23" s="1096"/>
      <c r="M23" s="1097"/>
    </row>
    <row r="24" spans="4:13">
      <c r="D24" s="1098" t="s">
        <v>810</v>
      </c>
      <c r="E24" s="1099"/>
      <c r="F24" s="1099"/>
      <c r="G24" s="1100"/>
      <c r="H24" s="586"/>
      <c r="I24" s="586"/>
      <c r="J24" s="1105" t="s">
        <v>811</v>
      </c>
      <c r="K24" s="1106"/>
      <c r="L24" s="1106"/>
      <c r="M24" s="1107"/>
    </row>
    <row r="25" spans="4:13">
      <c r="D25" s="1101"/>
      <c r="E25" s="1099"/>
      <c r="F25" s="1099"/>
      <c r="G25" s="1100"/>
      <c r="H25" s="586"/>
      <c r="I25" s="586"/>
      <c r="J25" s="1101"/>
      <c r="K25" s="1099"/>
      <c r="L25" s="1099"/>
      <c r="M25" s="1100"/>
    </row>
    <row r="26" spans="4:13">
      <c r="D26" s="1101"/>
      <c r="E26" s="1099"/>
      <c r="F26" s="1099"/>
      <c r="G26" s="1100"/>
      <c r="H26" s="586"/>
      <c r="I26" s="586"/>
      <c r="J26" s="1101"/>
      <c r="K26" s="1099"/>
      <c r="L26" s="1099"/>
      <c r="M26" s="1100"/>
    </row>
    <row r="27" spans="4:13">
      <c r="D27" s="1101"/>
      <c r="E27" s="1099"/>
      <c r="F27" s="1099"/>
      <c r="G27" s="1100"/>
      <c r="H27" s="586"/>
      <c r="I27" s="586"/>
      <c r="J27" s="1101"/>
      <c r="K27" s="1099"/>
      <c r="L27" s="1099"/>
      <c r="M27" s="1100"/>
    </row>
    <row r="28" spans="4:13">
      <c r="D28" s="1101"/>
      <c r="E28" s="1099"/>
      <c r="F28" s="1099"/>
      <c r="G28" s="1100"/>
      <c r="H28" s="586"/>
      <c r="I28" s="586"/>
      <c r="J28" s="1101"/>
      <c r="K28" s="1099"/>
      <c r="L28" s="1099"/>
      <c r="M28" s="1100"/>
    </row>
    <row r="29" spans="4:13">
      <c r="D29" s="1101"/>
      <c r="E29" s="1099"/>
      <c r="F29" s="1099"/>
      <c r="G29" s="1100"/>
      <c r="H29" s="586"/>
      <c r="I29" s="586"/>
      <c r="J29" s="1101"/>
      <c r="K29" s="1099"/>
      <c r="L29" s="1099"/>
      <c r="M29" s="1100"/>
    </row>
    <row r="30" spans="4:13">
      <c r="D30" s="1101"/>
      <c r="E30" s="1099"/>
      <c r="F30" s="1099"/>
      <c r="G30" s="1100"/>
      <c r="H30" s="586"/>
      <c r="I30" s="586"/>
      <c r="J30" s="1101"/>
      <c r="K30" s="1099"/>
      <c r="L30" s="1099"/>
      <c r="M30" s="1100"/>
    </row>
    <row r="31" spans="4:13">
      <c r="D31" s="1101"/>
      <c r="E31" s="1099"/>
      <c r="F31" s="1099"/>
      <c r="G31" s="1100"/>
      <c r="H31" s="586"/>
      <c r="I31" s="586"/>
      <c r="J31" s="1101"/>
      <c r="K31" s="1099"/>
      <c r="L31" s="1099"/>
      <c r="M31" s="1100"/>
    </row>
    <row r="32" spans="4:13">
      <c r="D32" s="1101"/>
      <c r="E32" s="1099"/>
      <c r="F32" s="1099"/>
      <c r="G32" s="1100"/>
      <c r="H32" s="586"/>
      <c r="I32" s="586"/>
      <c r="J32" s="1101"/>
      <c r="K32" s="1099"/>
      <c r="L32" s="1099"/>
      <c r="M32" s="1100"/>
    </row>
    <row r="33" spans="4:13" ht="13.5" thickBot="1">
      <c r="D33" s="1102"/>
      <c r="E33" s="1103"/>
      <c r="F33" s="1103"/>
      <c r="G33" s="1104"/>
      <c r="H33" s="586"/>
      <c r="I33" s="586"/>
      <c r="J33" s="1102"/>
      <c r="K33" s="1103"/>
      <c r="L33" s="1103"/>
      <c r="M33" s="1104"/>
    </row>
  </sheetData>
  <mergeCells count="16">
    <mergeCell ref="D23:G23"/>
    <mergeCell ref="J23:M23"/>
    <mergeCell ref="D24:G33"/>
    <mergeCell ref="J24:M33"/>
    <mergeCell ref="B4:E4"/>
    <mergeCell ref="G4:J4"/>
    <mergeCell ref="L4:O4"/>
    <mergeCell ref="B5:E15"/>
    <mergeCell ref="G5:J15"/>
    <mergeCell ref="L5:O15"/>
    <mergeCell ref="B3:E3"/>
    <mergeCell ref="G3:J3"/>
    <mergeCell ref="L3:O3"/>
    <mergeCell ref="D22:G22"/>
    <mergeCell ref="J22:M22"/>
    <mergeCell ref="F19:K2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BF4FC-A76D-42BA-BA77-6FC4B50CC14A}">
  <dimension ref="B3:J16"/>
  <sheetViews>
    <sheetView topLeftCell="B3" zoomScale="130" zoomScaleNormal="184" workbookViewId="0">
      <selection activeCell="F10" sqref="F10"/>
    </sheetView>
  </sheetViews>
  <sheetFormatPr defaultColWidth="8.7109375" defaultRowHeight="12.75"/>
  <cols>
    <col min="1" max="1" width="13.85546875" style="581" customWidth="1"/>
    <col min="2" max="2" width="75.5703125" style="581" bestFit="1" customWidth="1"/>
    <col min="3" max="10" width="10.28515625" style="581" customWidth="1"/>
    <col min="11" max="13" width="8.7109375" style="581" customWidth="1"/>
    <col min="14" max="14" width="47" style="581" customWidth="1"/>
    <col min="15" max="16384" width="8.7109375" style="581"/>
  </cols>
  <sheetData>
    <row r="3" spans="2:10" ht="13.5" thickBot="1"/>
    <row r="4" spans="2:10">
      <c r="B4" s="1108" t="s">
        <v>710</v>
      </c>
      <c r="C4" s="1109"/>
      <c r="D4" s="1109"/>
      <c r="E4" s="1110"/>
    </row>
    <row r="5" spans="2:10">
      <c r="B5" s="602" t="s">
        <v>709</v>
      </c>
      <c r="C5" s="601"/>
      <c r="D5" s="600"/>
      <c r="E5" s="599">
        <f>'Valuation '!F27</f>
        <v>0.82449761276794331</v>
      </c>
    </row>
    <row r="6" spans="2:10">
      <c r="B6" s="597" t="s">
        <v>543</v>
      </c>
      <c r="C6" s="585"/>
      <c r="D6" s="598"/>
      <c r="E6" s="594">
        <f>'Valuation '!F28</f>
        <v>3.15E-2</v>
      </c>
    </row>
    <row r="7" spans="2:10">
      <c r="B7" s="597" t="s">
        <v>708</v>
      </c>
      <c r="C7" s="585"/>
      <c r="D7" s="598"/>
      <c r="E7" s="594">
        <f>'Valuation '!F29</f>
        <v>0.05</v>
      </c>
    </row>
    <row r="8" spans="2:10">
      <c r="B8" s="597" t="s">
        <v>707</v>
      </c>
      <c r="C8" s="585"/>
      <c r="D8" s="585"/>
      <c r="E8" s="594">
        <v>7.2499999999999995E-2</v>
      </c>
    </row>
    <row r="9" spans="2:10">
      <c r="B9" s="597" t="s">
        <v>536</v>
      </c>
      <c r="C9" s="585"/>
      <c r="D9" s="585"/>
      <c r="E9" s="594">
        <f>'Valuation '!F36</f>
        <v>5.0699999999999995E-2</v>
      </c>
    </row>
    <row r="10" spans="2:10" ht="15">
      <c r="B10" s="596" t="s">
        <v>706</v>
      </c>
      <c r="C10" s="595"/>
      <c r="D10" s="595"/>
      <c r="E10" s="594">
        <f>'Valuation '!F53</f>
        <v>6.5455950706601679E-2</v>
      </c>
      <c r="F10"/>
    </row>
    <row r="11" spans="2:10" ht="13.5" thickBot="1">
      <c r="B11" s="593" t="s">
        <v>1088</v>
      </c>
      <c r="C11" s="592"/>
      <c r="D11" s="591"/>
      <c r="E11" s="590">
        <v>5.3800000000000001E-2</v>
      </c>
    </row>
    <row r="12" spans="2:10">
      <c r="B12" s="589"/>
      <c r="C12" s="582"/>
      <c r="D12" s="582"/>
      <c r="E12" s="582"/>
    </row>
    <row r="14" spans="2:10" ht="15">
      <c r="H14" s="603"/>
      <c r="I14" s="603"/>
      <c r="J14" s="603"/>
    </row>
    <row r="15" spans="2:10" ht="15">
      <c r="H15" s="603"/>
      <c r="I15" s="603"/>
      <c r="J15" s="603"/>
    </row>
    <row r="16" spans="2:10" ht="15">
      <c r="H16" s="603"/>
      <c r="I16" s="603"/>
      <c r="J16" s="603"/>
    </row>
  </sheetData>
  <mergeCells count="1">
    <mergeCell ref="B4:E4"/>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7366B-5C4C-46F4-87CC-EED6ECDDD324}">
  <dimension ref="A1:L265"/>
  <sheetViews>
    <sheetView topLeftCell="A92" workbookViewId="0">
      <selection activeCell="L114" sqref="L114"/>
    </sheetView>
  </sheetViews>
  <sheetFormatPr defaultColWidth="8.7109375" defaultRowHeight="12.75"/>
  <cols>
    <col min="1" max="1" width="12.28515625" style="581" bestFit="1" customWidth="1"/>
    <col min="2" max="2" width="8.7109375" style="581"/>
    <col min="3" max="3" width="19.7109375" style="581" bestFit="1" customWidth="1"/>
    <col min="4" max="4" width="11.140625" style="581" customWidth="1"/>
    <col min="5" max="5" width="10.140625" style="581" customWidth="1"/>
    <col min="6" max="6" width="8.7109375" style="581"/>
    <col min="7" max="7" width="8.7109375" style="581" customWidth="1"/>
    <col min="8" max="8" width="15.7109375" style="581" bestFit="1" customWidth="1"/>
    <col min="9" max="9" width="13.140625" style="581" bestFit="1" customWidth="1"/>
    <col min="10" max="16384" width="8.7109375" style="581"/>
  </cols>
  <sheetData>
    <row r="1" spans="1:12" ht="13.5" thickBot="1"/>
    <row r="2" spans="1:12" ht="39" customHeight="1" thickBot="1">
      <c r="A2" s="852" t="s">
        <v>716</v>
      </c>
      <c r="B2" s="852" t="s">
        <v>1073</v>
      </c>
      <c r="C2" s="853" t="s">
        <v>1074</v>
      </c>
      <c r="D2" s="852" t="s">
        <v>815</v>
      </c>
      <c r="E2" s="852" t="s">
        <v>816</v>
      </c>
      <c r="F2" s="852" t="s">
        <v>817</v>
      </c>
      <c r="G2" s="852" t="s">
        <v>818</v>
      </c>
      <c r="H2" s="852" t="s">
        <v>1214</v>
      </c>
      <c r="I2" s="852" t="s">
        <v>715</v>
      </c>
      <c r="J2" s="657"/>
      <c r="K2" s="657"/>
      <c r="L2" s="657"/>
    </row>
    <row r="3" spans="1:12" ht="13.5" thickBot="1">
      <c r="A3" s="658" t="s">
        <v>1072</v>
      </c>
      <c r="B3" s="658">
        <v>5.66</v>
      </c>
      <c r="C3" s="659">
        <v>33260.129999999997</v>
      </c>
      <c r="D3" s="658">
        <f>(B3/B4)-1</f>
        <v>2.1660649819494671E-2</v>
      </c>
      <c r="E3" s="658">
        <f>(C3/C4)-1</f>
        <v>-4.6216379925397844E-3</v>
      </c>
      <c r="F3" s="659">
        <f>D3-$D$256</f>
        <v>2.2536525189891788E-2</v>
      </c>
      <c r="G3" s="658">
        <f>E3-$E$256</f>
        <v>-3.6365906564507287E-3</v>
      </c>
      <c r="H3" s="658">
        <f>G3^2</f>
        <v>1.3224791602584742E-5</v>
      </c>
      <c r="I3" s="659">
        <f>F3*G3</f>
        <v>-8.1956116934426957E-5</v>
      </c>
      <c r="J3" s="655"/>
    </row>
    <row r="4" spans="1:12" ht="13.5" thickBot="1">
      <c r="A4" s="658" t="s">
        <v>1071</v>
      </c>
      <c r="B4" s="658">
        <v>5.54</v>
      </c>
      <c r="C4" s="659">
        <v>33414.559999999998</v>
      </c>
      <c r="D4" s="658">
        <f t="shared" ref="D4:D67" si="0">(B4/B5)-1</f>
        <v>-3.1468531468531458E-2</v>
      </c>
      <c r="E4" s="658">
        <f t="shared" ref="E4:E67" si="1">(C4/C5)-1</f>
        <v>-2.0490891394094879E-3</v>
      </c>
      <c r="F4" s="659">
        <f t="shared" ref="F4:F67" si="2">D4-$D$256</f>
        <v>-3.059265609813434E-2</v>
      </c>
      <c r="G4" s="658">
        <f t="shared" ref="G4:G67" si="3">E4-$E$256</f>
        <v>-1.0640418033204323E-3</v>
      </c>
      <c r="H4" s="658">
        <f t="shared" ref="H4:H67" si="4">G4^2</f>
        <v>1.1321849592133974E-6</v>
      </c>
      <c r="I4" s="659">
        <f t="shared" ref="I4:I67" si="5">F4*G4</f>
        <v>3.2551864963020683E-5</v>
      </c>
      <c r="J4" s="655"/>
    </row>
    <row r="5" spans="1:12" ht="13.5" thickBot="1">
      <c r="A5" s="658" t="s">
        <v>1070</v>
      </c>
      <c r="B5" s="658">
        <v>5.72</v>
      </c>
      <c r="C5" s="659">
        <v>33483.17</v>
      </c>
      <c r="D5" s="658">
        <f t="shared" si="0"/>
        <v>-6.6122448979591852E-2</v>
      </c>
      <c r="E5" s="658">
        <f t="shared" si="1"/>
        <v>-1.0232833392552099E-2</v>
      </c>
      <c r="F5" s="659">
        <f t="shared" si="2"/>
        <v>-6.5246573609194738E-2</v>
      </c>
      <c r="G5" s="658">
        <f t="shared" si="3"/>
        <v>-9.2477860564630435E-3</v>
      </c>
      <c r="H5" s="658">
        <f t="shared" si="4"/>
        <v>8.5521546946112285E-5</v>
      </c>
      <c r="I5" s="659">
        <f>F5*G5</f>
        <v>6.0338635365510067E-4</v>
      </c>
      <c r="J5" s="655"/>
    </row>
    <row r="6" spans="1:12" ht="13.5" thickBot="1">
      <c r="A6" s="658" t="s">
        <v>1069</v>
      </c>
      <c r="B6" s="658">
        <v>6.125</v>
      </c>
      <c r="C6" s="659">
        <v>33829.339999999997</v>
      </c>
      <c r="D6" s="658">
        <f t="shared" si="0"/>
        <v>1.6353229762877675E-3</v>
      </c>
      <c r="E6" s="658">
        <f t="shared" si="1"/>
        <v>-7.4689200857532834E-3</v>
      </c>
      <c r="F6" s="659">
        <f t="shared" si="2"/>
        <v>2.5111983466848857E-3</v>
      </c>
      <c r="G6" s="658">
        <f t="shared" si="3"/>
        <v>-6.4838727496642282E-3</v>
      </c>
      <c r="H6" s="658">
        <f t="shared" si="4"/>
        <v>4.2040605833838362E-5</v>
      </c>
      <c r="I6" s="659">
        <f t="shared" si="5"/>
        <v>-1.6282290529071993E-5</v>
      </c>
      <c r="J6" s="655"/>
    </row>
    <row r="7" spans="1:12" ht="13.5" thickBot="1">
      <c r="A7" s="658" t="s">
        <v>1068</v>
      </c>
      <c r="B7" s="658">
        <v>6.1150000000000002</v>
      </c>
      <c r="C7" s="659">
        <v>34083.910000000003</v>
      </c>
      <c r="D7" s="658">
        <f t="shared" si="0"/>
        <v>8.1833060556468773E-4</v>
      </c>
      <c r="E7" s="658">
        <f t="shared" si="1"/>
        <v>-1.5663536481539286E-2</v>
      </c>
      <c r="F7" s="659">
        <f t="shared" si="2"/>
        <v>1.694205975961806E-3</v>
      </c>
      <c r="G7" s="658">
        <f t="shared" si="3"/>
        <v>-1.4678489145450231E-2</v>
      </c>
      <c r="H7" s="658">
        <f t="shared" si="4"/>
        <v>2.1545804359310026E-4</v>
      </c>
      <c r="I7" s="659">
        <f t="shared" si="5"/>
        <v>-2.4868384028312283E-5</v>
      </c>
      <c r="J7" s="655"/>
    </row>
    <row r="8" spans="1:12" ht="13.5" thickBot="1">
      <c r="A8" s="658" t="s">
        <v>1067</v>
      </c>
      <c r="B8" s="658">
        <v>6.11</v>
      </c>
      <c r="C8" s="659">
        <v>34626.28</v>
      </c>
      <c r="D8" s="658">
        <f t="shared" si="0"/>
        <v>-3.7037037037036979E-2</v>
      </c>
      <c r="E8" s="658">
        <f t="shared" si="1"/>
        <v>-3.5459503014432237E-3</v>
      </c>
      <c r="F8" s="659">
        <f t="shared" si="2"/>
        <v>-3.6161161666639859E-2</v>
      </c>
      <c r="G8" s="658">
        <f t="shared" si="3"/>
        <v>-2.560902965354168E-3</v>
      </c>
      <c r="H8" s="658">
        <f t="shared" si="4"/>
        <v>6.5582239979597712E-6</v>
      </c>
      <c r="I8" s="659">
        <f t="shared" si="5"/>
        <v>9.2605226142749477E-5</v>
      </c>
      <c r="J8" s="655"/>
    </row>
    <row r="9" spans="1:12" ht="13.5" thickBot="1">
      <c r="A9" s="658" t="s">
        <v>1066</v>
      </c>
      <c r="B9" s="658">
        <v>6.3449999999999998</v>
      </c>
      <c r="C9" s="659">
        <v>34749.5</v>
      </c>
      <c r="D9" s="658">
        <f t="shared" si="0"/>
        <v>-6.2776957163958591E-2</v>
      </c>
      <c r="E9" s="658">
        <f t="shared" si="1"/>
        <v>5.4881635702490605E-3</v>
      </c>
      <c r="F9" s="659">
        <f t="shared" si="2"/>
        <v>-6.190108179356147E-2</v>
      </c>
      <c r="G9" s="658">
        <f t="shared" si="3"/>
        <v>6.4732109063381157E-3</v>
      </c>
      <c r="H9" s="658">
        <f t="shared" si="4"/>
        <v>4.1902459437934731E-5</v>
      </c>
      <c r="I9" s="659">
        <f t="shared" si="5"/>
        <v>-4.006987577802099E-4</v>
      </c>
      <c r="J9" s="655"/>
    </row>
    <row r="10" spans="1:12" ht="13.5" thickBot="1">
      <c r="A10" s="658" t="s">
        <v>1065</v>
      </c>
      <c r="B10" s="658">
        <v>6.77</v>
      </c>
      <c r="C10" s="659">
        <v>34559.83</v>
      </c>
      <c r="D10" s="658">
        <f t="shared" si="0"/>
        <v>5.9435364041604544E-3</v>
      </c>
      <c r="E10" s="658">
        <f t="shared" si="1"/>
        <v>1.0175323753720544E-3</v>
      </c>
      <c r="F10" s="659">
        <f t="shared" si="2"/>
        <v>6.8194117745575726E-3</v>
      </c>
      <c r="G10" s="658">
        <f t="shared" si="3"/>
        <v>2.0025797114611101E-3</v>
      </c>
      <c r="H10" s="658">
        <f t="shared" si="4"/>
        <v>4.0103255007556628E-6</v>
      </c>
      <c r="I10" s="659">
        <f t="shared" si="5"/>
        <v>1.3656415663828001E-5</v>
      </c>
      <c r="J10" s="655"/>
    </row>
    <row r="11" spans="1:12" ht="13.5" thickBot="1">
      <c r="A11" s="658" t="s">
        <v>1064</v>
      </c>
      <c r="B11" s="658">
        <v>6.73</v>
      </c>
      <c r="C11" s="659">
        <v>34524.699999999997</v>
      </c>
      <c r="D11" s="658">
        <f t="shared" si="0"/>
        <v>-1.247248716067495E-2</v>
      </c>
      <c r="E11" s="658">
        <f t="shared" si="1"/>
        <v>-5.9488110295868868E-3</v>
      </c>
      <c r="F11" s="659">
        <f t="shared" si="2"/>
        <v>-1.1596611790277832E-2</v>
      </c>
      <c r="G11" s="658">
        <f t="shared" si="3"/>
        <v>-4.9637636934978316E-3</v>
      </c>
      <c r="H11" s="658">
        <f t="shared" si="4"/>
        <v>2.4638950004887233E-5</v>
      </c>
      <c r="I11" s="659">
        <f t="shared" si="5"/>
        <v>5.7562840572169997E-5</v>
      </c>
      <c r="J11" s="655"/>
    </row>
    <row r="12" spans="1:12" ht="13.5" thickBot="1">
      <c r="A12" s="658" t="s">
        <v>1063</v>
      </c>
      <c r="B12" s="658">
        <v>6.8150000000000004</v>
      </c>
      <c r="C12" s="659">
        <v>34731.31</v>
      </c>
      <c r="D12" s="658">
        <f t="shared" si="0"/>
        <v>8.8823094004442105E-3</v>
      </c>
      <c r="E12" s="658">
        <f t="shared" si="1"/>
        <v>-3.6164518436131443E-3</v>
      </c>
      <c r="F12" s="659">
        <f t="shared" si="2"/>
        <v>9.7581847708413279E-3</v>
      </c>
      <c r="G12" s="658">
        <f t="shared" si="3"/>
        <v>-2.6314045075240887E-3</v>
      </c>
      <c r="H12" s="658">
        <f t="shared" si="4"/>
        <v>6.9242896822180919E-6</v>
      </c>
      <c r="I12" s="659">
        <f t="shared" si="5"/>
        <v>-2.5677731391244787E-5</v>
      </c>
      <c r="J12" s="655"/>
    </row>
    <row r="13" spans="1:12" ht="13.5" thickBot="1">
      <c r="A13" s="658" t="s">
        <v>1062</v>
      </c>
      <c r="B13" s="658">
        <v>6.7549999999999999</v>
      </c>
      <c r="C13" s="659">
        <v>34857.370000000003</v>
      </c>
      <c r="D13" s="658">
        <f t="shared" si="0"/>
        <v>-3.6873156342183133E-3</v>
      </c>
      <c r="E13" s="658">
        <f t="shared" si="1"/>
        <v>-9.0057580099500711E-4</v>
      </c>
      <c r="F13" s="659">
        <f t="shared" si="2"/>
        <v>-2.811440263821195E-3</v>
      </c>
      <c r="G13" s="658">
        <f t="shared" si="3"/>
        <v>8.4471535094048523E-5</v>
      </c>
      <c r="H13" s="658">
        <f t="shared" si="4"/>
        <v>7.1354402411450708E-9</v>
      </c>
      <c r="I13" s="659">
        <f t="shared" si="5"/>
        <v>-2.3748667491019312E-7</v>
      </c>
      <c r="J13" s="655"/>
    </row>
    <row r="14" spans="1:12" ht="13.5" thickBot="1">
      <c r="A14" s="658" t="s">
        <v>1061</v>
      </c>
      <c r="B14" s="658">
        <v>6.78</v>
      </c>
      <c r="C14" s="659">
        <v>34888.79</v>
      </c>
      <c r="D14" s="658">
        <f t="shared" si="0"/>
        <v>-5.8651026392961825E-3</v>
      </c>
      <c r="E14" s="658">
        <f t="shared" si="1"/>
        <v>4.2757320399249288E-3</v>
      </c>
      <c r="F14" s="659">
        <f t="shared" si="2"/>
        <v>-4.9892272688990642E-3</v>
      </c>
      <c r="G14" s="658">
        <f t="shared" si="3"/>
        <v>5.260779376013984E-3</v>
      </c>
      <c r="H14" s="658">
        <f t="shared" si="4"/>
        <v>2.7675799643094082E-5</v>
      </c>
      <c r="I14" s="659">
        <f t="shared" si="5"/>
        <v>-2.6247223918470772E-5</v>
      </c>
      <c r="J14" s="655"/>
    </row>
    <row r="15" spans="1:12" ht="13.5" thickBot="1">
      <c r="A15" s="658" t="s">
        <v>1060</v>
      </c>
      <c r="B15" s="658">
        <v>6.82</v>
      </c>
      <c r="C15" s="659">
        <v>34740.25</v>
      </c>
      <c r="D15" s="658">
        <f t="shared" si="0"/>
        <v>-6.5549890750181694E-3</v>
      </c>
      <c r="E15" s="658">
        <f t="shared" si="1"/>
        <v>1.238545905551014E-2</v>
      </c>
      <c r="F15" s="659">
        <f t="shared" si="2"/>
        <v>-5.6791137046210511E-3</v>
      </c>
      <c r="G15" s="658">
        <f t="shared" si="3"/>
        <v>1.3370506391599195E-2</v>
      </c>
      <c r="H15" s="658">
        <f t="shared" si="4"/>
        <v>1.7877044116779492E-4</v>
      </c>
      <c r="I15" s="659">
        <f t="shared" si="5"/>
        <v>-7.5932626086254351E-5</v>
      </c>
      <c r="J15" s="655"/>
    </row>
    <row r="16" spans="1:12" ht="13.5" thickBot="1">
      <c r="A16" s="658" t="s">
        <v>1059</v>
      </c>
      <c r="B16" s="658">
        <v>6.8650000000000002</v>
      </c>
      <c r="C16" s="659">
        <v>34315.24</v>
      </c>
      <c r="D16" s="658">
        <f t="shared" si="0"/>
        <v>3.3107599699021995E-2</v>
      </c>
      <c r="E16" s="658">
        <f t="shared" si="1"/>
        <v>-2.4926608216798707E-3</v>
      </c>
      <c r="F16" s="659">
        <f t="shared" si="2"/>
        <v>3.3983475069419115E-2</v>
      </c>
      <c r="G16" s="658">
        <f t="shared" si="3"/>
        <v>-1.507613485590815E-3</v>
      </c>
      <c r="H16" s="658">
        <f t="shared" si="4"/>
        <v>2.2728984219352865E-6</v>
      </c>
      <c r="I16" s="659">
        <f t="shared" si="5"/>
        <v>-5.123394530189552E-5</v>
      </c>
      <c r="J16" s="655"/>
    </row>
    <row r="17" spans="1:10" ht="13.5" thickBot="1">
      <c r="A17" s="658" t="s">
        <v>1058</v>
      </c>
      <c r="B17" s="658">
        <v>6.6449999999999996</v>
      </c>
      <c r="C17" s="659">
        <v>34400.99</v>
      </c>
      <c r="D17" s="658">
        <f t="shared" si="0"/>
        <v>0</v>
      </c>
      <c r="E17" s="658">
        <f t="shared" si="1"/>
        <v>1.817237398999616E-2</v>
      </c>
      <c r="F17" s="659">
        <f t="shared" si="2"/>
        <v>8.7587537039711817E-4</v>
      </c>
      <c r="G17" s="658">
        <f t="shared" si="3"/>
        <v>1.9157421326085215E-2</v>
      </c>
      <c r="H17" s="658">
        <f t="shared" si="4"/>
        <v>3.670067918651446E-4</v>
      </c>
      <c r="I17" s="659">
        <f t="shared" si="5"/>
        <v>1.677951349983854E-5</v>
      </c>
      <c r="J17" s="655"/>
    </row>
    <row r="18" spans="1:10" ht="13.5" thickBot="1">
      <c r="A18" s="658" t="s">
        <v>1057</v>
      </c>
      <c r="B18" s="658">
        <v>6.6449999999999996</v>
      </c>
      <c r="C18" s="659">
        <v>33787</v>
      </c>
      <c r="D18" s="658">
        <f t="shared" si="0"/>
        <v>-1.0424422933730471E-2</v>
      </c>
      <c r="E18" s="658">
        <f t="shared" si="1"/>
        <v>6.1333359394821763E-4</v>
      </c>
      <c r="F18" s="659">
        <f t="shared" si="2"/>
        <v>-9.5485475633333532E-3</v>
      </c>
      <c r="G18" s="658">
        <f t="shared" si="3"/>
        <v>1.5983809300372733E-3</v>
      </c>
      <c r="H18" s="658">
        <f t="shared" si="4"/>
        <v>2.5548215975068187E-6</v>
      </c>
      <c r="I18" s="659">
        <f t="shared" si="5"/>
        <v>-1.5262216334785905E-5</v>
      </c>
      <c r="J18" s="655"/>
    </row>
    <row r="19" spans="1:10" ht="13.5" thickBot="1">
      <c r="A19" s="658" t="s">
        <v>1056</v>
      </c>
      <c r="B19" s="658">
        <v>6.7149999999999999</v>
      </c>
      <c r="C19" s="659">
        <v>33766.29</v>
      </c>
      <c r="D19" s="658">
        <f t="shared" si="0"/>
        <v>5.2395209580837765E-3</v>
      </c>
      <c r="E19" s="658">
        <f t="shared" si="1"/>
        <v>7.8215999454656071E-4</v>
      </c>
      <c r="F19" s="659">
        <f t="shared" si="2"/>
        <v>6.1153963284808948E-3</v>
      </c>
      <c r="G19" s="658">
        <f t="shared" si="3"/>
        <v>1.7672073306356163E-3</v>
      </c>
      <c r="H19" s="658">
        <f t="shared" si="4"/>
        <v>3.1230217494522606E-6</v>
      </c>
      <c r="I19" s="659">
        <f t="shared" si="5"/>
        <v>1.0807173221433571E-5</v>
      </c>
      <c r="J19" s="655"/>
    </row>
    <row r="20" spans="1:10" ht="13.5" thickBot="1">
      <c r="A20" s="658" t="s">
        <v>1055</v>
      </c>
      <c r="B20" s="658">
        <v>6.68</v>
      </c>
      <c r="C20" s="659">
        <v>33739.9</v>
      </c>
      <c r="D20" s="658">
        <f t="shared" si="0"/>
        <v>-1.9809244314013319E-2</v>
      </c>
      <c r="E20" s="658">
        <f t="shared" si="1"/>
        <v>-1.2326055144218695E-2</v>
      </c>
      <c r="F20" s="659">
        <f t="shared" si="2"/>
        <v>-1.8933368943616202E-2</v>
      </c>
      <c r="G20" s="658">
        <f t="shared" si="3"/>
        <v>-1.134100780812964E-2</v>
      </c>
      <c r="H20" s="658">
        <f t="shared" si="4"/>
        <v>1.2861845810405745E-4</v>
      </c>
      <c r="I20" s="659">
        <f t="shared" si="5"/>
        <v>2.1472348502375057E-4</v>
      </c>
      <c r="J20" s="655"/>
    </row>
    <row r="21" spans="1:10" ht="13.5" thickBot="1">
      <c r="A21" s="658" t="s">
        <v>1054</v>
      </c>
      <c r="B21" s="658">
        <v>6.8150000000000004</v>
      </c>
      <c r="C21" s="659">
        <v>34160.97</v>
      </c>
      <c r="D21" s="658">
        <f t="shared" si="0"/>
        <v>6.6469719350075174E-3</v>
      </c>
      <c r="E21" s="658">
        <f t="shared" si="1"/>
        <v>-7.3743249465130223E-4</v>
      </c>
      <c r="F21" s="659">
        <f t="shared" si="2"/>
        <v>7.5228473054046356E-3</v>
      </c>
      <c r="G21" s="658">
        <f t="shared" si="3"/>
        <v>2.4761484143775341E-4</v>
      </c>
      <c r="H21" s="658">
        <f t="shared" si="4"/>
        <v>6.1313109700243765E-8</v>
      </c>
      <c r="I21" s="659">
        <f t="shared" si="5"/>
        <v>1.8627686426881994E-6</v>
      </c>
      <c r="J21" s="655"/>
    </row>
    <row r="22" spans="1:10" ht="13.5" thickBot="1">
      <c r="A22" s="658" t="s">
        <v>1053</v>
      </c>
      <c r="B22" s="658">
        <v>6.77</v>
      </c>
      <c r="C22" s="659">
        <v>34186.18</v>
      </c>
      <c r="D22" s="658">
        <f t="shared" si="0"/>
        <v>-2.2107590272660849E-3</v>
      </c>
      <c r="E22" s="658">
        <f t="shared" si="1"/>
        <v>-5.4862912537304576E-3</v>
      </c>
      <c r="F22" s="659">
        <f t="shared" si="2"/>
        <v>-1.3348836568689666E-3</v>
      </c>
      <c r="G22" s="658">
        <f t="shared" si="3"/>
        <v>-4.5012439176414024E-3</v>
      </c>
      <c r="H22" s="658">
        <f t="shared" si="4"/>
        <v>2.026119680610372E-5</v>
      </c>
      <c r="I22" s="659">
        <f t="shared" si="5"/>
        <v>6.0086369412403486E-6</v>
      </c>
      <c r="J22" s="655"/>
    </row>
    <row r="23" spans="1:10" ht="13.5" thickBot="1">
      <c r="A23" s="658" t="s">
        <v>1052</v>
      </c>
      <c r="B23" s="658">
        <v>6.7850000000000001</v>
      </c>
      <c r="C23" s="659">
        <v>34374.769999999997</v>
      </c>
      <c r="D23" s="658">
        <f t="shared" si="0"/>
        <v>3.0372057706909761E-2</v>
      </c>
      <c r="E23" s="658">
        <f t="shared" si="1"/>
        <v>7.241934831669905E-3</v>
      </c>
      <c r="F23" s="659">
        <f t="shared" si="2"/>
        <v>3.1247933077306878E-2</v>
      </c>
      <c r="G23" s="658">
        <f t="shared" si="3"/>
        <v>8.2269821677589602E-3</v>
      </c>
      <c r="H23" s="658">
        <f t="shared" si="4"/>
        <v>6.7683235588623922E-5</v>
      </c>
      <c r="I23" s="659">
        <f t="shared" si="5"/>
        <v>2.5707618820632906E-4</v>
      </c>
      <c r="J23" s="655"/>
    </row>
    <row r="24" spans="1:10" ht="13.5" thickBot="1">
      <c r="A24" s="658" t="s">
        <v>1051</v>
      </c>
      <c r="B24" s="658">
        <v>6.585</v>
      </c>
      <c r="C24" s="659">
        <v>34127.620000000003</v>
      </c>
      <c r="D24" s="658">
        <f t="shared" si="0"/>
        <v>-2.5166543301258337E-2</v>
      </c>
      <c r="E24" s="658">
        <f t="shared" si="1"/>
        <v>-1.8780183670247919E-2</v>
      </c>
      <c r="F24" s="659">
        <f t="shared" si="2"/>
        <v>-2.429066793086122E-2</v>
      </c>
      <c r="G24" s="658">
        <f t="shared" si="3"/>
        <v>-1.7795136334158863E-2</v>
      </c>
      <c r="H24" s="658">
        <f t="shared" si="4"/>
        <v>3.1666687715130093E-4</v>
      </c>
      <c r="I24" s="659">
        <f t="shared" si="5"/>
        <v>4.32255747477456E-4</v>
      </c>
      <c r="J24" s="655"/>
    </row>
    <row r="25" spans="1:10" ht="13.5" thickBot="1">
      <c r="A25" s="658" t="s">
        <v>1050</v>
      </c>
      <c r="B25" s="658">
        <v>6.7549999999999999</v>
      </c>
      <c r="C25" s="659">
        <v>34780.81</v>
      </c>
      <c r="D25" s="658">
        <f t="shared" si="0"/>
        <v>-1.0256410256410331E-2</v>
      </c>
      <c r="E25" s="658">
        <f t="shared" si="1"/>
        <v>-4.5247560741753512E-3</v>
      </c>
      <c r="F25" s="659">
        <f t="shared" si="2"/>
        <v>-9.3805348860132136E-3</v>
      </c>
      <c r="G25" s="658">
        <f t="shared" si="3"/>
        <v>-3.5397087380862956E-3</v>
      </c>
      <c r="H25" s="658">
        <f t="shared" si="4"/>
        <v>1.2529537950484475E-5</v>
      </c>
      <c r="I25" s="659">
        <f t="shared" si="5"/>
        <v>3.3204361303944305E-5</v>
      </c>
      <c r="J25" s="655"/>
    </row>
    <row r="26" spans="1:10" ht="13.5" thickBot="1">
      <c r="A26" s="658" t="s">
        <v>1049</v>
      </c>
      <c r="B26" s="658">
        <v>6.8250000000000002</v>
      </c>
      <c r="C26" s="659">
        <v>34938.9</v>
      </c>
      <c r="D26" s="658">
        <f t="shared" si="0"/>
        <v>2.2471910112359605E-2</v>
      </c>
      <c r="E26" s="658">
        <f t="shared" si="1"/>
        <v>-4.8375418770367773E-3</v>
      </c>
      <c r="F26" s="659">
        <f t="shared" si="2"/>
        <v>2.3347785482756723E-2</v>
      </c>
      <c r="G26" s="658">
        <f t="shared" si="3"/>
        <v>-3.8524945409477217E-3</v>
      </c>
      <c r="H26" s="658">
        <f t="shared" si="4"/>
        <v>1.4841714188031997E-5</v>
      </c>
      <c r="I26" s="659">
        <f t="shared" si="5"/>
        <v>-8.9947216115538738E-5</v>
      </c>
      <c r="J26" s="655"/>
    </row>
    <row r="27" spans="1:10" ht="13.5" thickBot="1">
      <c r="A27" s="658" t="s">
        <v>1048</v>
      </c>
      <c r="B27" s="658">
        <v>6.6749999999999998</v>
      </c>
      <c r="C27" s="659">
        <v>35108.74</v>
      </c>
      <c r="D27" s="658">
        <f t="shared" si="0"/>
        <v>-1.6936671575846884E-2</v>
      </c>
      <c r="E27" s="658">
        <f t="shared" si="1"/>
        <v>-5.854934559914482E-3</v>
      </c>
      <c r="F27" s="659">
        <f t="shared" si="2"/>
        <v>-1.6060796205449767E-2</v>
      </c>
      <c r="G27" s="658">
        <f t="shared" si="3"/>
        <v>-4.8698872238254268E-3</v>
      </c>
      <c r="H27" s="658">
        <f t="shared" si="4"/>
        <v>2.3715801572778123E-5</v>
      </c>
      <c r="I27" s="659">
        <f t="shared" si="5"/>
        <v>7.8214266245383711E-5</v>
      </c>
      <c r="J27" s="655"/>
    </row>
    <row r="28" spans="1:10" ht="13.5" thickBot="1">
      <c r="A28" s="658" t="s">
        <v>1047</v>
      </c>
      <c r="B28" s="658">
        <v>6.79</v>
      </c>
      <c r="C28" s="659">
        <v>35315.51</v>
      </c>
      <c r="D28" s="658">
        <f t="shared" si="0"/>
        <v>7.3691967575539863E-4</v>
      </c>
      <c r="E28" s="658">
        <f t="shared" si="1"/>
        <v>6.420020615424793E-3</v>
      </c>
      <c r="F28" s="659">
        <f t="shared" si="2"/>
        <v>1.6127950461525169E-3</v>
      </c>
      <c r="G28" s="658">
        <f t="shared" si="3"/>
        <v>7.4050679515138482E-3</v>
      </c>
      <c r="H28" s="658">
        <f t="shared" si="4"/>
        <v>5.48350313665375E-5</v>
      </c>
      <c r="I28" s="659">
        <f t="shared" si="5"/>
        <v>1.1942856908624301E-5</v>
      </c>
      <c r="J28" s="655"/>
    </row>
    <row r="29" spans="1:10" ht="13.5" thickBot="1">
      <c r="A29" s="658" t="s">
        <v>1046</v>
      </c>
      <c r="B29" s="658">
        <v>6.7850000000000001</v>
      </c>
      <c r="C29" s="659">
        <v>35090.230000000003</v>
      </c>
      <c r="D29" s="658">
        <f t="shared" si="0"/>
        <v>-1.4716703458425018E-3</v>
      </c>
      <c r="E29" s="658">
        <f t="shared" si="1"/>
        <v>8.3610949310144456E-3</v>
      </c>
      <c r="F29" s="659">
        <f t="shared" si="2"/>
        <v>-5.9579497544538361E-4</v>
      </c>
      <c r="G29" s="658">
        <f t="shared" si="3"/>
        <v>9.3461422671035008E-3</v>
      </c>
      <c r="H29" s="658">
        <f t="shared" si="4"/>
        <v>8.7350375276938562E-5</v>
      </c>
      <c r="I29" s="659">
        <f t="shared" si="5"/>
        <v>-5.5683846025379919E-6</v>
      </c>
      <c r="J29" s="655"/>
    </row>
    <row r="30" spans="1:10" ht="13.5" thickBot="1">
      <c r="A30" s="658" t="s">
        <v>1045</v>
      </c>
      <c r="B30" s="658">
        <v>6.7949999999999999</v>
      </c>
      <c r="C30" s="659">
        <v>34799.269999999997</v>
      </c>
      <c r="D30" s="658">
        <f t="shared" si="0"/>
        <v>2.1036814425244188E-2</v>
      </c>
      <c r="E30" s="658">
        <f t="shared" si="1"/>
        <v>-9.261887469718455E-3</v>
      </c>
      <c r="F30" s="659">
        <f t="shared" si="2"/>
        <v>2.1912689795641305E-2</v>
      </c>
      <c r="G30" s="658">
        <f t="shared" si="3"/>
        <v>-8.2768401336293998E-3</v>
      </c>
      <c r="H30" s="658">
        <f t="shared" si="4"/>
        <v>6.8506082597658338E-5</v>
      </c>
      <c r="I30" s="659">
        <f t="shared" si="5"/>
        <v>-1.8136783033633537E-4</v>
      </c>
      <c r="J30" s="655"/>
    </row>
    <row r="31" spans="1:10" ht="13.5" thickBot="1">
      <c r="A31" s="658" t="s">
        <v>1044</v>
      </c>
      <c r="B31" s="658">
        <v>6.6550000000000002</v>
      </c>
      <c r="C31" s="659">
        <v>35124.589999999997</v>
      </c>
      <c r="D31" s="658">
        <f t="shared" si="0"/>
        <v>-6.7164179104477473E-3</v>
      </c>
      <c r="E31" s="658">
        <f t="shared" si="1"/>
        <v>-1.4653984519297114E-2</v>
      </c>
      <c r="F31" s="659">
        <f t="shared" si="2"/>
        <v>-5.840542540050629E-3</v>
      </c>
      <c r="G31" s="658">
        <f t="shared" si="3"/>
        <v>-1.3668937183208059E-2</v>
      </c>
      <c r="H31" s="658">
        <f t="shared" si="4"/>
        <v>1.8683984371848787E-4</v>
      </c>
      <c r="I31" s="659">
        <f t="shared" si="5"/>
        <v>7.9834009095806487E-5</v>
      </c>
      <c r="J31" s="655"/>
    </row>
    <row r="32" spans="1:10" ht="13.5" thickBot="1">
      <c r="A32" s="658" t="s">
        <v>1043</v>
      </c>
      <c r="B32" s="658">
        <v>6.7</v>
      </c>
      <c r="C32" s="659">
        <v>35646.959999999999</v>
      </c>
      <c r="D32" s="658">
        <f t="shared" si="0"/>
        <v>-2.6162790697674354E-2</v>
      </c>
      <c r="E32" s="658">
        <f t="shared" si="1"/>
        <v>-4.8249864111431506E-3</v>
      </c>
      <c r="F32" s="659">
        <f t="shared" si="2"/>
        <v>-2.5286915327277237E-2</v>
      </c>
      <c r="G32" s="658">
        <f t="shared" si="3"/>
        <v>-3.839939075054095E-3</v>
      </c>
      <c r="H32" s="658">
        <f t="shared" si="4"/>
        <v>1.4745132100127299E-5</v>
      </c>
      <c r="I32" s="659">
        <f t="shared" si="5"/>
        <v>9.7100214252796171E-5</v>
      </c>
      <c r="J32" s="655"/>
    </row>
    <row r="33" spans="1:10" ht="13.5" thickBot="1">
      <c r="A33" s="658" t="s">
        <v>1042</v>
      </c>
      <c r="B33" s="658">
        <v>6.88</v>
      </c>
      <c r="C33" s="659">
        <v>35819.79</v>
      </c>
      <c r="D33" s="658">
        <f t="shared" si="0"/>
        <v>2.1849963583393528E-3</v>
      </c>
      <c r="E33" s="658">
        <f t="shared" si="1"/>
        <v>-1.2348201412664572E-2</v>
      </c>
      <c r="F33" s="659">
        <f t="shared" si="2"/>
        <v>3.0608717287364711E-3</v>
      </c>
      <c r="G33" s="658">
        <f t="shared" si="3"/>
        <v>-1.1363154076575517E-2</v>
      </c>
      <c r="H33" s="658">
        <f t="shared" si="4"/>
        <v>1.2912127056799479E-4</v>
      </c>
      <c r="I33" s="659">
        <f t="shared" si="5"/>
        <v>-3.4781157062266578E-5</v>
      </c>
      <c r="J33" s="655"/>
    </row>
    <row r="34" spans="1:10" ht="13.5" thickBot="1">
      <c r="A34" s="658" t="s">
        <v>1041</v>
      </c>
      <c r="B34" s="658">
        <v>6.8650000000000002</v>
      </c>
      <c r="C34" s="659">
        <v>36267.629999999997</v>
      </c>
      <c r="D34" s="658">
        <f t="shared" si="0"/>
        <v>2.7694610778443263E-2</v>
      </c>
      <c r="E34" s="658">
        <f t="shared" si="1"/>
        <v>3.4252042464784083E-3</v>
      </c>
      <c r="F34" s="659">
        <f t="shared" si="2"/>
        <v>2.857048614884038E-2</v>
      </c>
      <c r="G34" s="658">
        <f t="shared" si="3"/>
        <v>4.4102515825674635E-3</v>
      </c>
      <c r="H34" s="658">
        <f t="shared" si="4"/>
        <v>1.9450319021538816E-5</v>
      </c>
      <c r="I34" s="659">
        <f t="shared" si="5"/>
        <v>1.2600303175264508E-4</v>
      </c>
      <c r="J34" s="655"/>
    </row>
    <row r="35" spans="1:10" ht="13.5" thickBot="1">
      <c r="A35" s="658" t="s">
        <v>1040</v>
      </c>
      <c r="B35" s="658">
        <v>6.68</v>
      </c>
      <c r="C35" s="659">
        <v>36143.83</v>
      </c>
      <c r="D35" s="658">
        <f t="shared" si="0"/>
        <v>-2.7656477438136928E-2</v>
      </c>
      <c r="E35" s="658">
        <f t="shared" si="1"/>
        <v>2.3478077837066902E-3</v>
      </c>
      <c r="F35" s="659">
        <f t="shared" si="2"/>
        <v>-2.6780602067739811E-2</v>
      </c>
      <c r="G35" s="658">
        <f t="shared" si="3"/>
        <v>3.3328551197957458E-3</v>
      </c>
      <c r="H35" s="658">
        <f t="shared" si="4"/>
        <v>1.1107923249548716E-5</v>
      </c>
      <c r="I35" s="659">
        <f t="shared" si="5"/>
        <v>-8.9255866712679164E-5</v>
      </c>
      <c r="J35" s="655"/>
    </row>
    <row r="36" spans="1:10" ht="13.5" thickBot="1">
      <c r="A36" s="658" t="s">
        <v>1039</v>
      </c>
      <c r="B36" s="658">
        <v>6.87</v>
      </c>
      <c r="C36" s="659">
        <v>36059.17</v>
      </c>
      <c r="D36" s="658">
        <f t="shared" si="0"/>
        <v>-7.2727272727268755E-4</v>
      </c>
      <c r="E36" s="658">
        <f t="shared" si="1"/>
        <v>5.7204105419552675E-3</v>
      </c>
      <c r="F36" s="659">
        <f t="shared" si="2"/>
        <v>1.4860264312443062E-4</v>
      </c>
      <c r="G36" s="658">
        <f t="shared" si="3"/>
        <v>6.7054578780443228E-3</v>
      </c>
      <c r="H36" s="658">
        <f t="shared" si="4"/>
        <v>4.4963165354226672E-5</v>
      </c>
      <c r="I36" s="659">
        <f t="shared" si="5"/>
        <v>9.9644876403692235E-7</v>
      </c>
      <c r="J36" s="655"/>
    </row>
    <row r="37" spans="1:10" ht="13.5" thickBot="1">
      <c r="A37" s="658" t="s">
        <v>1038</v>
      </c>
      <c r="B37" s="658">
        <v>6.875</v>
      </c>
      <c r="C37" s="659">
        <v>35854.07</v>
      </c>
      <c r="D37" s="658">
        <f t="shared" si="0"/>
        <v>-1.3629842180774676E-2</v>
      </c>
      <c r="E37" s="658">
        <f t="shared" si="1"/>
        <v>-7.1655953948788209E-3</v>
      </c>
      <c r="F37" s="659">
        <f t="shared" si="2"/>
        <v>-1.2753966810377559E-2</v>
      </c>
      <c r="G37" s="658">
        <f t="shared" si="3"/>
        <v>-6.1805480587897657E-3</v>
      </c>
      <c r="H37" s="658">
        <f t="shared" si="4"/>
        <v>3.8199174307009938E-5</v>
      </c>
      <c r="I37" s="659">
        <f t="shared" si="5"/>
        <v>7.8826504811748115E-5</v>
      </c>
      <c r="J37" s="655"/>
    </row>
    <row r="38" spans="1:10" ht="13.5" thickBot="1">
      <c r="A38" s="658" t="s">
        <v>1037</v>
      </c>
      <c r="B38" s="658">
        <v>6.97</v>
      </c>
      <c r="C38" s="659">
        <v>36112.839999999997</v>
      </c>
      <c r="D38" s="658">
        <f t="shared" si="0"/>
        <v>-4.1924398625429626E-2</v>
      </c>
      <c r="E38" s="658">
        <f t="shared" si="1"/>
        <v>-2.4275760261123214E-3</v>
      </c>
      <c r="F38" s="659">
        <f t="shared" si="2"/>
        <v>-4.1048523255032505E-2</v>
      </c>
      <c r="G38" s="658">
        <f t="shared" si="3"/>
        <v>-1.4425286900232657E-3</v>
      </c>
      <c r="H38" s="658">
        <f t="shared" si="4"/>
        <v>2.080889021540239E-6</v>
      </c>
      <c r="I38" s="659">
        <f t="shared" si="5"/>
        <v>5.9213672478471601E-5</v>
      </c>
      <c r="J38" s="655"/>
    </row>
    <row r="39" spans="1:10" ht="13.5" thickBot="1">
      <c r="A39" s="658" t="s">
        <v>1036</v>
      </c>
      <c r="B39" s="658">
        <v>7.2750000000000004</v>
      </c>
      <c r="C39" s="659">
        <v>36200.720000000001</v>
      </c>
      <c r="D39" s="658">
        <f t="shared" si="0"/>
        <v>5.5286800276435066E-3</v>
      </c>
      <c r="E39" s="658">
        <f t="shared" si="1"/>
        <v>2.6387652015680274E-4</v>
      </c>
      <c r="F39" s="659">
        <f t="shared" si="2"/>
        <v>6.4045553980406249E-3</v>
      </c>
      <c r="G39" s="658">
        <f t="shared" si="3"/>
        <v>1.2489238562458584E-3</v>
      </c>
      <c r="H39" s="658">
        <f t="shared" si="4"/>
        <v>1.5598107987000256E-6</v>
      </c>
      <c r="I39" s="659">
        <f t="shared" si="5"/>
        <v>7.9988020252611254E-6</v>
      </c>
      <c r="J39" s="655"/>
    </row>
    <row r="40" spans="1:10" ht="13.5" thickBot="1">
      <c r="A40" s="658" t="s">
        <v>1035</v>
      </c>
      <c r="B40" s="658">
        <v>7.2350000000000003</v>
      </c>
      <c r="C40" s="659">
        <v>36191.17</v>
      </c>
      <c r="D40" s="658">
        <f t="shared" si="0"/>
        <v>3.4674063800277377E-3</v>
      </c>
      <c r="E40" s="658">
        <f t="shared" si="1"/>
        <v>1.2202928813573877E-3</v>
      </c>
      <c r="F40" s="659">
        <f t="shared" si="2"/>
        <v>4.343281750424856E-3</v>
      </c>
      <c r="G40" s="658">
        <f t="shared" si="3"/>
        <v>2.2053402174464433E-3</v>
      </c>
      <c r="H40" s="658">
        <f t="shared" si="4"/>
        <v>4.863525474686726E-6</v>
      </c>
      <c r="I40" s="659">
        <f t="shared" si="5"/>
        <v>9.5784139199131208E-6</v>
      </c>
      <c r="J40" s="655"/>
    </row>
    <row r="41" spans="1:10" ht="13.5" thickBot="1">
      <c r="A41" s="658" t="s">
        <v>1034</v>
      </c>
      <c r="B41" s="658">
        <v>7.21</v>
      </c>
      <c r="C41" s="659">
        <v>36147.06</v>
      </c>
      <c r="D41" s="658">
        <f t="shared" si="0"/>
        <v>2.1246458923512845E-2</v>
      </c>
      <c r="E41" s="658">
        <f t="shared" si="1"/>
        <v>-6.1754106973916922E-3</v>
      </c>
      <c r="F41" s="659">
        <f t="shared" si="2"/>
        <v>2.2122334293909963E-2</v>
      </c>
      <c r="G41" s="658">
        <f t="shared" si="3"/>
        <v>-5.190363361302637E-3</v>
      </c>
      <c r="H41" s="658">
        <f t="shared" si="4"/>
        <v>2.6939871822352809E-5</v>
      </c>
      <c r="I41" s="659">
        <f t="shared" si="5"/>
        <v>-1.1482295338559911E-4</v>
      </c>
      <c r="J41" s="655"/>
    </row>
    <row r="42" spans="1:10" ht="13.5" thickBot="1">
      <c r="A42" s="658" t="s">
        <v>1033</v>
      </c>
      <c r="B42" s="658">
        <v>7.06</v>
      </c>
      <c r="C42" s="659">
        <v>36371.67</v>
      </c>
      <c r="D42" s="658">
        <f t="shared" si="0"/>
        <v>-2.9553264604811114E-2</v>
      </c>
      <c r="E42" s="658">
        <f t="shared" si="1"/>
        <v>-1.5934791703038353E-3</v>
      </c>
      <c r="F42" s="659">
        <f t="shared" si="2"/>
        <v>-2.8677389234413996E-2</v>
      </c>
      <c r="G42" s="658">
        <f t="shared" si="3"/>
        <v>-6.0843183421477971E-4</v>
      </c>
      <c r="H42" s="658">
        <f t="shared" si="4"/>
        <v>3.701892968859612E-7</v>
      </c>
      <c r="I42" s="659">
        <f t="shared" si="5"/>
        <v>1.7448236532385685E-5</v>
      </c>
      <c r="J42" s="655"/>
    </row>
    <row r="43" spans="1:10" ht="13.5" thickBot="1">
      <c r="A43" s="658" t="s">
        <v>1032</v>
      </c>
      <c r="B43" s="658">
        <v>7.2750000000000004</v>
      </c>
      <c r="C43" s="659">
        <v>36429.72</v>
      </c>
      <c r="D43" s="658">
        <f t="shared" si="0"/>
        <v>-5.7031756318859261E-2</v>
      </c>
      <c r="E43" s="658">
        <f t="shared" si="1"/>
        <v>-1.1523987743938813E-3</v>
      </c>
      <c r="F43" s="659">
        <f t="shared" si="2"/>
        <v>-5.615588094846214E-2</v>
      </c>
      <c r="G43" s="658">
        <f t="shared" si="3"/>
        <v>-1.6735143830482564E-4</v>
      </c>
      <c r="H43" s="658">
        <f t="shared" si="4"/>
        <v>2.8006503902693862E-8</v>
      </c>
      <c r="I43" s="659">
        <f t="shared" si="5"/>
        <v>9.3977674459996958E-6</v>
      </c>
      <c r="J43" s="655"/>
    </row>
    <row r="44" spans="1:10" ht="13.5" thickBot="1">
      <c r="A44" s="658" t="s">
        <v>1031</v>
      </c>
      <c r="B44" s="658">
        <v>7.7149999999999999</v>
      </c>
      <c r="C44" s="659">
        <v>36471.75</v>
      </c>
      <c r="D44" s="658">
        <f t="shared" si="0"/>
        <v>8.4967320261437607E-3</v>
      </c>
      <c r="E44" s="658">
        <f t="shared" si="1"/>
        <v>6.9789375625706196E-3</v>
      </c>
      <c r="F44" s="659">
        <f t="shared" si="2"/>
        <v>9.3726073965408781E-3</v>
      </c>
      <c r="G44" s="658">
        <f t="shared" si="3"/>
        <v>7.9639848986596748E-3</v>
      </c>
      <c r="H44" s="658">
        <f t="shared" si="4"/>
        <v>6.3425055466079344E-5</v>
      </c>
      <c r="I44" s="659">
        <f t="shared" si="5"/>
        <v>7.4643303767117522E-5</v>
      </c>
      <c r="J44" s="655"/>
    </row>
    <row r="45" spans="1:10" ht="13.5" thickBot="1">
      <c r="A45" s="658" t="s">
        <v>1030</v>
      </c>
      <c r="B45" s="658">
        <v>7.65</v>
      </c>
      <c r="C45" s="659">
        <v>36218.980000000003</v>
      </c>
      <c r="D45" s="658">
        <f t="shared" si="0"/>
        <v>4.081632653061229E-2</v>
      </c>
      <c r="E45" s="658">
        <f t="shared" si="1"/>
        <v>-1.3626875203400779E-2</v>
      </c>
      <c r="F45" s="659">
        <f t="shared" si="2"/>
        <v>4.1692201901009411E-2</v>
      </c>
      <c r="G45" s="658">
        <f t="shared" si="3"/>
        <v>-1.2641827867311724E-2</v>
      </c>
      <c r="H45" s="658">
        <f t="shared" si="4"/>
        <v>1.598158118267393E-4</v>
      </c>
      <c r="I45" s="659">
        <f t="shared" si="5"/>
        <v>-5.2706563984176763E-4</v>
      </c>
      <c r="J45" s="655"/>
    </row>
    <row r="46" spans="1:10" ht="13.5" thickBot="1">
      <c r="A46" s="658" t="s">
        <v>1029</v>
      </c>
      <c r="B46" s="658">
        <v>7.35</v>
      </c>
      <c r="C46" s="659">
        <v>36719.35</v>
      </c>
      <c r="D46" s="658">
        <f t="shared" si="0"/>
        <v>2.1542738012508611E-2</v>
      </c>
      <c r="E46" s="658">
        <f t="shared" si="1"/>
        <v>3.7688469684657999E-3</v>
      </c>
      <c r="F46" s="659">
        <f t="shared" si="2"/>
        <v>2.2418613382905728E-2</v>
      </c>
      <c r="G46" s="658">
        <f t="shared" si="3"/>
        <v>4.7538943045548551E-3</v>
      </c>
      <c r="H46" s="658">
        <f t="shared" si="4"/>
        <v>2.2599511058879089E-5</v>
      </c>
      <c r="I46" s="659">
        <f t="shared" si="5"/>
        <v>1.0657571847701279E-4</v>
      </c>
      <c r="J46" s="655"/>
    </row>
    <row r="47" spans="1:10" ht="13.5" thickBot="1">
      <c r="A47" s="658" t="s">
        <v>1028</v>
      </c>
      <c r="B47" s="658">
        <v>7.1950000000000003</v>
      </c>
      <c r="C47" s="659">
        <v>36581.480000000003</v>
      </c>
      <c r="D47" s="658">
        <f t="shared" si="0"/>
        <v>-3.6813922356090933E-2</v>
      </c>
      <c r="E47" s="658">
        <f t="shared" si="1"/>
        <v>-1.455453228657988E-2</v>
      </c>
      <c r="F47" s="659">
        <f t="shared" si="2"/>
        <v>-3.5938046985693813E-2</v>
      </c>
      <c r="G47" s="658">
        <f t="shared" si="3"/>
        <v>-1.3569484950490825E-2</v>
      </c>
      <c r="H47" s="658">
        <f t="shared" si="4"/>
        <v>1.8413092182159699E-4</v>
      </c>
      <c r="I47" s="659">
        <f t="shared" si="5"/>
        <v>4.8766078772240434E-4</v>
      </c>
      <c r="J47" s="655"/>
    </row>
    <row r="48" spans="1:10" ht="13.5" thickBot="1">
      <c r="A48" s="658" t="s">
        <v>1027</v>
      </c>
      <c r="B48" s="658">
        <v>7.47</v>
      </c>
      <c r="C48" s="659">
        <v>37121.769999999997</v>
      </c>
      <c r="D48" s="658">
        <f t="shared" si="0"/>
        <v>4.2568039078855424E-2</v>
      </c>
      <c r="E48" s="658">
        <f t="shared" si="1"/>
        <v>1.782991550557611E-3</v>
      </c>
      <c r="F48" s="659">
        <f t="shared" si="2"/>
        <v>4.3443914449252545E-2</v>
      </c>
      <c r="G48" s="658">
        <f t="shared" si="3"/>
        <v>2.7680388866466667E-3</v>
      </c>
      <c r="H48" s="658">
        <f t="shared" si="4"/>
        <v>7.6620392779881179E-6</v>
      </c>
      <c r="I48" s="659">
        <f t="shared" si="5"/>
        <v>1.2025444458368205E-4</v>
      </c>
      <c r="J48" s="655"/>
    </row>
    <row r="49" spans="1:10" ht="13.5" thickBot="1">
      <c r="A49" s="658" t="s">
        <v>1026</v>
      </c>
      <c r="B49" s="658">
        <v>7.165</v>
      </c>
      <c r="C49" s="659">
        <v>37055.699999999997</v>
      </c>
      <c r="D49" s="658">
        <f t="shared" si="0"/>
        <v>1.2005649717514055E-2</v>
      </c>
      <c r="E49" s="658">
        <f t="shared" si="1"/>
        <v>-5.0069585096679248E-3</v>
      </c>
      <c r="F49" s="659">
        <f t="shared" si="2"/>
        <v>1.2881525087911173E-2</v>
      </c>
      <c r="G49" s="658">
        <f t="shared" si="3"/>
        <v>-4.0219111735788696E-3</v>
      </c>
      <c r="H49" s="658">
        <f t="shared" si="4"/>
        <v>1.6175769488158559E-5</v>
      </c>
      <c r="I49" s="659">
        <f t="shared" si="5"/>
        <v>-5.1808349683806477E-5</v>
      </c>
      <c r="J49" s="655"/>
    </row>
    <row r="50" spans="1:10" ht="13.5" thickBot="1">
      <c r="A50" s="658" t="s">
        <v>1025</v>
      </c>
      <c r="B50" s="658">
        <v>7.08</v>
      </c>
      <c r="C50" s="659">
        <v>37242.17</v>
      </c>
      <c r="D50" s="658">
        <f t="shared" si="0"/>
        <v>-1.1173184357541888E-2</v>
      </c>
      <c r="E50" s="658">
        <f t="shared" si="1"/>
        <v>-9.0436790968030367E-3</v>
      </c>
      <c r="F50" s="659">
        <f t="shared" si="2"/>
        <v>-1.029730898714477E-2</v>
      </c>
      <c r="G50" s="658">
        <f t="shared" si="3"/>
        <v>-8.0586317607139815E-3</v>
      </c>
      <c r="H50" s="658">
        <f t="shared" si="4"/>
        <v>6.4941545854788128E-5</v>
      </c>
      <c r="I50" s="659">
        <f t="shared" si="5"/>
        <v>8.2982221253690363E-5</v>
      </c>
      <c r="J50" s="655"/>
    </row>
    <row r="51" spans="1:10" ht="13.5" thickBot="1">
      <c r="A51" s="658" t="s">
        <v>1024</v>
      </c>
      <c r="B51" s="658">
        <v>7.16</v>
      </c>
      <c r="C51" s="659">
        <v>37582.050000000003</v>
      </c>
      <c r="D51" s="658">
        <f t="shared" si="0"/>
        <v>-1.4452856159669625E-2</v>
      </c>
      <c r="E51" s="658">
        <f t="shared" si="1"/>
        <v>1.3551395519300069E-3</v>
      </c>
      <c r="F51" s="659">
        <f t="shared" si="2"/>
        <v>-1.3576980789272507E-2</v>
      </c>
      <c r="G51" s="658">
        <f t="shared" si="3"/>
        <v>2.3401868880190625E-3</v>
      </c>
      <c r="H51" s="658">
        <f t="shared" si="4"/>
        <v>5.4764746708563442E-6</v>
      </c>
      <c r="I51" s="659">
        <f t="shared" si="5"/>
        <v>-3.1772672421942224E-5</v>
      </c>
      <c r="J51" s="655"/>
    </row>
    <row r="52" spans="1:10" ht="13.5" thickBot="1">
      <c r="A52" s="658" t="s">
        <v>1023</v>
      </c>
      <c r="B52" s="658">
        <v>7.2649999999999997</v>
      </c>
      <c r="C52" s="659">
        <v>37531.19</v>
      </c>
      <c r="D52" s="658">
        <f t="shared" si="0"/>
        <v>-7.7460317460317452E-2</v>
      </c>
      <c r="E52" s="658">
        <f t="shared" si="1"/>
        <v>-9.941424051092107E-3</v>
      </c>
      <c r="F52" s="659">
        <f t="shared" si="2"/>
        <v>-7.6584442089920338E-2</v>
      </c>
      <c r="G52" s="658">
        <f t="shared" si="3"/>
        <v>-8.9563767150030518E-3</v>
      </c>
      <c r="H52" s="658">
        <f t="shared" si="4"/>
        <v>8.0216683861048863E-5</v>
      </c>
      <c r="I52" s="659">
        <f t="shared" si="5"/>
        <v>6.8591911386566213E-4</v>
      </c>
      <c r="J52" s="655"/>
    </row>
    <row r="53" spans="1:10" ht="13.5" thickBot="1">
      <c r="A53" s="658" t="s">
        <v>1022</v>
      </c>
      <c r="B53" s="658">
        <v>7.875</v>
      </c>
      <c r="C53" s="659">
        <v>37908.050000000003</v>
      </c>
      <c r="D53" s="658">
        <f t="shared" si="0"/>
        <v>-2.5974025974026094E-2</v>
      </c>
      <c r="E53" s="658">
        <f t="shared" si="1"/>
        <v>-1.8310798552513274E-3</v>
      </c>
      <c r="F53" s="659">
        <f t="shared" si="2"/>
        <v>-2.5098150603628976E-2</v>
      </c>
      <c r="G53" s="658">
        <f t="shared" si="3"/>
        <v>-8.460325191622718E-4</v>
      </c>
      <c r="H53" s="658">
        <f t="shared" si="4"/>
        <v>7.1577102348005975E-7</v>
      </c>
      <c r="I53" s="659">
        <f t="shared" si="5"/>
        <v>2.1233851581502314E-5</v>
      </c>
      <c r="J53" s="655"/>
    </row>
    <row r="54" spans="1:10" ht="13.5" thickBot="1">
      <c r="A54" s="658" t="s">
        <v>1021</v>
      </c>
      <c r="B54" s="658">
        <v>8.0850000000000009</v>
      </c>
      <c r="C54" s="659">
        <v>37977.589999999997</v>
      </c>
      <c r="D54" s="658">
        <f t="shared" si="0"/>
        <v>1.5703517587939864E-2</v>
      </c>
      <c r="E54" s="658">
        <f t="shared" si="1"/>
        <v>-9.1351637926807561E-3</v>
      </c>
      <c r="F54" s="659">
        <f t="shared" si="2"/>
        <v>1.6579392958336981E-2</v>
      </c>
      <c r="G54" s="658">
        <f t="shared" si="3"/>
        <v>-8.1501164565917009E-3</v>
      </c>
      <c r="H54" s="658">
        <f t="shared" si="4"/>
        <v>6.6424398256006867E-5</v>
      </c>
      <c r="I54" s="659">
        <f t="shared" si="5"/>
        <v>-1.351239833900428E-4</v>
      </c>
      <c r="J54" s="655"/>
    </row>
    <row r="55" spans="1:10" ht="13.5" thickBot="1">
      <c r="A55" s="658" t="s">
        <v>1020</v>
      </c>
      <c r="B55" s="658">
        <v>7.96</v>
      </c>
      <c r="C55" s="659">
        <v>38327.72</v>
      </c>
      <c r="D55" s="658">
        <f t="shared" si="0"/>
        <v>5.5702917771883298E-2</v>
      </c>
      <c r="E55" s="658">
        <f t="shared" si="1"/>
        <v>-5.8730383110507933E-3</v>
      </c>
      <c r="F55" s="659">
        <f t="shared" si="2"/>
        <v>5.6578793142280419E-2</v>
      </c>
      <c r="G55" s="658">
        <f t="shared" si="3"/>
        <v>-4.8879909749617381E-3</v>
      </c>
      <c r="H55" s="658">
        <f t="shared" si="4"/>
        <v>2.3892455771307404E-5</v>
      </c>
      <c r="I55" s="659">
        <f t="shared" si="5"/>
        <v>-2.7655663025369376E-4</v>
      </c>
      <c r="J55" s="655"/>
    </row>
    <row r="56" spans="1:10" ht="13.5" thickBot="1">
      <c r="A56" s="658" t="s">
        <v>1019</v>
      </c>
      <c r="B56" s="658">
        <v>7.54</v>
      </c>
      <c r="C56" s="659">
        <v>38554.15</v>
      </c>
      <c r="D56" s="658">
        <f t="shared" si="0"/>
        <v>6.6357000663574972E-4</v>
      </c>
      <c r="E56" s="658">
        <f t="shared" si="1"/>
        <v>5.3715745422986405E-3</v>
      </c>
      <c r="F56" s="659">
        <f t="shared" si="2"/>
        <v>1.539445377032868E-3</v>
      </c>
      <c r="G56" s="658">
        <f t="shared" si="3"/>
        <v>6.3566218783876957E-3</v>
      </c>
      <c r="H56" s="658">
        <f t="shared" si="4"/>
        <v>4.0406641704797114E-5</v>
      </c>
      <c r="I56" s="659">
        <f t="shared" si="5"/>
        <v>9.7856721642299241E-6</v>
      </c>
      <c r="J56" s="655"/>
    </row>
    <row r="57" spans="1:10" ht="13.5" thickBot="1">
      <c r="A57" s="658" t="s">
        <v>1018</v>
      </c>
      <c r="B57" s="658">
        <v>7.5350000000000001</v>
      </c>
      <c r="C57" s="659">
        <v>38348.160000000003</v>
      </c>
      <c r="D57" s="658">
        <f t="shared" si="0"/>
        <v>1.9946808510638014E-3</v>
      </c>
      <c r="E57" s="658">
        <f t="shared" si="1"/>
        <v>2.5916997110777551E-3</v>
      </c>
      <c r="F57" s="659">
        <f t="shared" si="2"/>
        <v>2.8705562214609197E-3</v>
      </c>
      <c r="G57" s="658">
        <f t="shared" si="3"/>
        <v>3.5767470471668107E-3</v>
      </c>
      <c r="H57" s="658">
        <f t="shared" si="4"/>
        <v>1.27931194394165E-5</v>
      </c>
      <c r="I57" s="659">
        <f t="shared" si="5"/>
        <v>1.0267253488836662E-5</v>
      </c>
      <c r="J57" s="655"/>
    </row>
    <row r="58" spans="1:10" ht="13.5" thickBot="1">
      <c r="A58" s="658" t="s">
        <v>1017</v>
      </c>
      <c r="B58" s="658">
        <v>7.52</v>
      </c>
      <c r="C58" s="659">
        <v>38249.03</v>
      </c>
      <c r="D58" s="658">
        <f t="shared" si="0"/>
        <v>-1.4416775884665833E-2</v>
      </c>
      <c r="E58" s="658">
        <f t="shared" si="1"/>
        <v>-4.4772331833722312E-3</v>
      </c>
      <c r="F58" s="659">
        <f t="shared" si="2"/>
        <v>-1.3540900514268716E-2</v>
      </c>
      <c r="G58" s="658">
        <f t="shared" si="3"/>
        <v>-3.4921858472831756E-3</v>
      </c>
      <c r="H58" s="658">
        <f t="shared" si="4"/>
        <v>1.2195361991964911E-5</v>
      </c>
      <c r="I58" s="659">
        <f t="shared" si="5"/>
        <v>4.7287341135398687E-5</v>
      </c>
      <c r="J58" s="655"/>
    </row>
    <row r="59" spans="1:10" ht="13.5" thickBot="1">
      <c r="A59" s="658" t="s">
        <v>1016</v>
      </c>
      <c r="B59" s="658">
        <v>7.63</v>
      </c>
      <c r="C59" s="659">
        <v>38421.050000000003</v>
      </c>
      <c r="D59" s="658">
        <f t="shared" si="0"/>
        <v>-8.4470435347628881E-3</v>
      </c>
      <c r="E59" s="658">
        <f t="shared" si="1"/>
        <v>-1.3388763315982377E-3</v>
      </c>
      <c r="F59" s="659">
        <f t="shared" si="2"/>
        <v>-7.5711681643657698E-3</v>
      </c>
      <c r="G59" s="658">
        <f t="shared" si="3"/>
        <v>-3.5382899550918208E-4</v>
      </c>
      <c r="H59" s="658">
        <f t="shared" si="4"/>
        <v>1.2519495806303678E-7</v>
      </c>
      <c r="I59" s="659">
        <f t="shared" si="5"/>
        <v>2.6788988264286381E-6</v>
      </c>
      <c r="J59" s="655"/>
    </row>
    <row r="60" spans="1:10" ht="13.5" thickBot="1">
      <c r="A60" s="658" t="s">
        <v>1015</v>
      </c>
      <c r="B60" s="658">
        <v>7.6950000000000003</v>
      </c>
      <c r="C60" s="659">
        <v>38472.559999999998</v>
      </c>
      <c r="D60" s="658">
        <f t="shared" si="0"/>
        <v>1.651254953764858E-2</v>
      </c>
      <c r="E60" s="658">
        <f t="shared" si="1"/>
        <v>-6.2498514769135927E-3</v>
      </c>
      <c r="F60" s="659">
        <f t="shared" si="2"/>
        <v>1.7388424908045697E-2</v>
      </c>
      <c r="G60" s="658">
        <f t="shared" si="3"/>
        <v>-5.2648041408245375E-3</v>
      </c>
      <c r="H60" s="658">
        <f t="shared" si="4"/>
        <v>2.7718162641243197E-5</v>
      </c>
      <c r="I60" s="659">
        <f t="shared" si="5"/>
        <v>-9.1546651458295519E-5</v>
      </c>
      <c r="J60" s="655"/>
    </row>
    <row r="61" spans="1:10" ht="13.5" thickBot="1">
      <c r="A61" s="658" t="s">
        <v>1014</v>
      </c>
      <c r="B61" s="658">
        <v>7.57</v>
      </c>
      <c r="C61" s="659">
        <v>38714.519999999997</v>
      </c>
      <c r="D61" s="658">
        <f t="shared" si="0"/>
        <v>-4.7199496538703589E-2</v>
      </c>
      <c r="E61" s="658">
        <f t="shared" si="1"/>
        <v>-1.3006852058307206E-2</v>
      </c>
      <c r="F61" s="659">
        <f t="shared" si="2"/>
        <v>-4.6323621168306468E-2</v>
      </c>
      <c r="G61" s="658">
        <f t="shared" si="3"/>
        <v>-1.202180472221815E-2</v>
      </c>
      <c r="H61" s="658">
        <f t="shared" si="4"/>
        <v>1.4452378877914663E-4</v>
      </c>
      <c r="I61" s="659">
        <f t="shared" si="5"/>
        <v>5.5689352771139133E-4</v>
      </c>
      <c r="J61" s="655"/>
    </row>
    <row r="62" spans="1:10" ht="13.5" thickBot="1">
      <c r="A62" s="658" t="s">
        <v>1013</v>
      </c>
      <c r="B62" s="658">
        <v>7.9450000000000003</v>
      </c>
      <c r="C62" s="659">
        <v>39224.71</v>
      </c>
      <c r="D62" s="658">
        <f t="shared" si="0"/>
        <v>1.0171646535282797E-2</v>
      </c>
      <c r="E62" s="658">
        <f t="shared" si="1"/>
        <v>1.5583266274567187E-2</v>
      </c>
      <c r="F62" s="659">
        <f t="shared" si="2"/>
        <v>1.1047521905679914E-2</v>
      </c>
      <c r="G62" s="658">
        <f t="shared" si="3"/>
        <v>1.6568313610656242E-2</v>
      </c>
      <c r="H62" s="658">
        <f t="shared" si="4"/>
        <v>2.7450901590105688E-4</v>
      </c>
      <c r="I62" s="659">
        <f t="shared" si="5"/>
        <v>1.8303880755389952E-4</v>
      </c>
      <c r="J62" s="655"/>
    </row>
    <row r="63" spans="1:10" ht="13.5" thickBot="1">
      <c r="A63" s="658" t="s">
        <v>1012</v>
      </c>
      <c r="B63" s="658">
        <v>7.8650000000000002</v>
      </c>
      <c r="C63" s="659">
        <v>38622.839999999997</v>
      </c>
      <c r="D63" s="658">
        <f t="shared" si="0"/>
        <v>-2.901234567901223E-2</v>
      </c>
      <c r="E63" s="658">
        <f t="shared" si="1"/>
        <v>-8.3430151113350615E-4</v>
      </c>
      <c r="F63" s="659">
        <f t="shared" si="2"/>
        <v>-2.8136470308615113E-2</v>
      </c>
      <c r="G63" s="658">
        <f t="shared" si="3"/>
        <v>1.5074582495554949E-4</v>
      </c>
      <c r="H63" s="658">
        <f t="shared" si="4"/>
        <v>2.2724303741529167E-8</v>
      </c>
      <c r="I63" s="659">
        <f t="shared" si="5"/>
        <v>-4.2414554280095093E-6</v>
      </c>
      <c r="J63" s="655"/>
    </row>
    <row r="64" spans="1:10" ht="13.5" thickBot="1">
      <c r="A64" s="658" t="s">
        <v>1011</v>
      </c>
      <c r="B64" s="658">
        <v>8.1</v>
      </c>
      <c r="C64" s="659">
        <v>38655.089999999997</v>
      </c>
      <c r="D64" s="658">
        <f t="shared" si="0"/>
        <v>3.514376996805102E-2</v>
      </c>
      <c r="E64" s="658">
        <f t="shared" si="1"/>
        <v>-1.0604462827686234E-2</v>
      </c>
      <c r="F64" s="659">
        <f t="shared" si="2"/>
        <v>3.601964533844814E-2</v>
      </c>
      <c r="G64" s="658">
        <f t="shared" si="3"/>
        <v>-9.6194154915971788E-3</v>
      </c>
      <c r="H64" s="658">
        <f t="shared" si="4"/>
        <v>9.2533154399979797E-5</v>
      </c>
      <c r="I64" s="659">
        <f t="shared" si="5"/>
        <v>-3.4648793437050418E-4</v>
      </c>
      <c r="J64" s="655"/>
    </row>
    <row r="65" spans="1:10" ht="13.5" thickBot="1">
      <c r="A65" s="658" t="s">
        <v>1010</v>
      </c>
      <c r="B65" s="658">
        <v>7.8250000000000002</v>
      </c>
      <c r="C65" s="659">
        <v>39069.4</v>
      </c>
      <c r="D65" s="658">
        <f t="shared" si="0"/>
        <v>5.8863328822733596E-2</v>
      </c>
      <c r="E65" s="658">
        <f t="shared" si="1"/>
        <v>3.53305688761123E-2</v>
      </c>
      <c r="F65" s="659">
        <f t="shared" si="2"/>
        <v>5.9739204193130717E-2</v>
      </c>
      <c r="G65" s="658">
        <f t="shared" si="3"/>
        <v>3.6315616212201356E-2</v>
      </c>
      <c r="H65" s="658">
        <f t="shared" si="4"/>
        <v>1.3188239808719019E-3</v>
      </c>
      <c r="I65" s="659">
        <f t="shared" si="5"/>
        <v>2.1694660123000651E-3</v>
      </c>
      <c r="J65" s="655"/>
    </row>
    <row r="66" spans="1:10" ht="13.5" thickBot="1">
      <c r="A66" s="658" t="s">
        <v>1009</v>
      </c>
      <c r="B66" s="658">
        <v>7.39</v>
      </c>
      <c r="C66" s="659">
        <v>37736.160000000003</v>
      </c>
      <c r="D66" s="658">
        <f t="shared" si="0"/>
        <v>-3.3986928104575265E-2</v>
      </c>
      <c r="E66" s="658">
        <f t="shared" si="1"/>
        <v>-2.0333650056854391E-2</v>
      </c>
      <c r="F66" s="659">
        <f t="shared" si="2"/>
        <v>-3.3111052734178144E-2</v>
      </c>
      <c r="G66" s="658">
        <f t="shared" si="3"/>
        <v>-1.9348602720765336E-2</v>
      </c>
      <c r="H66" s="658">
        <f t="shared" si="4"/>
        <v>3.7436842724600776E-4</v>
      </c>
      <c r="I66" s="659">
        <f t="shared" si="5"/>
        <v>6.4065260501992372E-4</v>
      </c>
      <c r="J66" s="655"/>
    </row>
    <row r="67" spans="1:10" ht="13.5" thickBot="1">
      <c r="A67" s="658" t="s">
        <v>1008</v>
      </c>
      <c r="B67" s="658">
        <v>7.65</v>
      </c>
      <c r="C67" s="659">
        <v>38519.4</v>
      </c>
      <c r="D67" s="658">
        <f t="shared" si="0"/>
        <v>1.7964071856287456E-2</v>
      </c>
      <c r="E67" s="658">
        <f t="shared" si="1"/>
        <v>-6.7115063124569829E-3</v>
      </c>
      <c r="F67" s="659">
        <f t="shared" si="2"/>
        <v>1.8839947226684573E-2</v>
      </c>
      <c r="G67" s="658">
        <f t="shared" si="3"/>
        <v>-5.7264589763679277E-3</v>
      </c>
      <c r="H67" s="658">
        <f t="shared" si="4"/>
        <v>3.2792332408024812E-5</v>
      </c>
      <c r="I67" s="659">
        <f t="shared" si="5"/>
        <v>-1.0788618491054592E-4</v>
      </c>
      <c r="J67" s="655"/>
    </row>
    <row r="68" spans="1:10" ht="13.5" thickBot="1">
      <c r="A68" s="658" t="s">
        <v>1007</v>
      </c>
      <c r="B68" s="658">
        <v>7.5149999999999997</v>
      </c>
      <c r="C68" s="659">
        <v>38779.67</v>
      </c>
      <c r="D68" s="658">
        <f t="shared" ref="D68:D131" si="6">(B68/B69)-1</f>
        <v>0.18908227848101244</v>
      </c>
      <c r="E68" s="658">
        <f t="shared" ref="E68:E131" si="7">(C68/C69)-1</f>
        <v>4.8418345282450481E-3</v>
      </c>
      <c r="F68" s="659">
        <f t="shared" ref="F68:F131" si="8">D68-$D$256</f>
        <v>0.18995815385140957</v>
      </c>
      <c r="G68" s="658">
        <f t="shared" ref="G68:G131" si="9">E68-$E$256</f>
        <v>5.8268818643341033E-3</v>
      </c>
      <c r="H68" s="658">
        <f t="shared" ref="H68:H131" si="10">G68^2</f>
        <v>3.3952552260905676E-5</v>
      </c>
      <c r="I68" s="659">
        <f t="shared" ref="I68:I131" si="11">F68*G68</f>
        <v>1.1068637216591658E-3</v>
      </c>
      <c r="J68" s="655"/>
    </row>
    <row r="69" spans="1:10" ht="13.5" thickBot="1">
      <c r="A69" s="658" t="s">
        <v>1006</v>
      </c>
      <c r="B69" s="658">
        <v>6.32</v>
      </c>
      <c r="C69" s="659">
        <v>38592.81</v>
      </c>
      <c r="D69" s="658">
        <f t="shared" si="6"/>
        <v>-7.1271124173401867E-2</v>
      </c>
      <c r="E69" s="658">
        <f t="shared" si="7"/>
        <v>9.6005788757440591E-3</v>
      </c>
      <c r="F69" s="659">
        <f t="shared" si="8"/>
        <v>-7.0395248803004754E-2</v>
      </c>
      <c r="G69" s="658">
        <f t="shared" si="9"/>
        <v>1.0585626211833114E-2</v>
      </c>
      <c r="H69" s="658">
        <f t="shared" si="10"/>
        <v>1.1205548229664829E-4</v>
      </c>
      <c r="I69" s="659">
        <f t="shared" si="11"/>
        <v>-7.4517779091760081E-4</v>
      </c>
      <c r="J69" s="655"/>
    </row>
    <row r="70" spans="1:10" ht="13.5" thickBot="1">
      <c r="A70" s="658" t="s">
        <v>1005</v>
      </c>
      <c r="B70" s="658">
        <v>6.8049999999999997</v>
      </c>
      <c r="C70" s="659">
        <v>38225.82</v>
      </c>
      <c r="D70" s="658">
        <f t="shared" si="6"/>
        <v>-8.7399854333576332E-3</v>
      </c>
      <c r="E70" s="658">
        <f t="shared" si="7"/>
        <v>1.3992934961805981E-2</v>
      </c>
      <c r="F70" s="659">
        <f t="shared" si="8"/>
        <v>-7.8641100629605158E-3</v>
      </c>
      <c r="G70" s="658">
        <f t="shared" si="9"/>
        <v>1.4977982297895036E-2</v>
      </c>
      <c r="H70" s="658">
        <f t="shared" si="10"/>
        <v>2.2433995371605705E-4</v>
      </c>
      <c r="I70" s="659">
        <f t="shared" si="11"/>
        <v>-1.1778850131172082E-4</v>
      </c>
      <c r="J70" s="655"/>
    </row>
    <row r="71" spans="1:10" ht="13.5" thickBot="1">
      <c r="A71" s="658" t="s">
        <v>1004</v>
      </c>
      <c r="B71" s="658">
        <v>6.8650000000000002</v>
      </c>
      <c r="C71" s="659">
        <v>37698.31</v>
      </c>
      <c r="D71" s="658">
        <f t="shared" si="6"/>
        <v>3.7792894935751997E-2</v>
      </c>
      <c r="E71" s="658">
        <f t="shared" si="7"/>
        <v>-1.5892611058364925E-2</v>
      </c>
      <c r="F71" s="659">
        <f t="shared" si="8"/>
        <v>3.8668770306149118E-2</v>
      </c>
      <c r="G71" s="658">
        <f t="shared" si="9"/>
        <v>-1.490756372227587E-2</v>
      </c>
      <c r="H71" s="658">
        <f t="shared" si="10"/>
        <v>2.2223545613371559E-4</v>
      </c>
      <c r="I71" s="659">
        <f t="shared" si="11"/>
        <v>-5.7645715740096699E-4</v>
      </c>
      <c r="J71" s="655"/>
    </row>
    <row r="72" spans="1:10" ht="13.5" thickBot="1">
      <c r="A72" s="658" t="s">
        <v>1003</v>
      </c>
      <c r="B72" s="658">
        <v>6.6150000000000002</v>
      </c>
      <c r="C72" s="659">
        <v>38307.11</v>
      </c>
      <c r="D72" s="658">
        <f t="shared" si="6"/>
        <v>-2.6490066225165476E-2</v>
      </c>
      <c r="E72" s="658">
        <f t="shared" si="7"/>
        <v>8.0890048429291816E-3</v>
      </c>
      <c r="F72" s="659">
        <f t="shared" si="8"/>
        <v>-2.5614190854768359E-2</v>
      </c>
      <c r="G72" s="658">
        <f t="shared" si="9"/>
        <v>9.0740521790182369E-3</v>
      </c>
      <c r="H72" s="658">
        <f t="shared" si="10"/>
        <v>8.2338422947545608E-5</v>
      </c>
      <c r="I72" s="659">
        <f t="shared" si="11"/>
        <v>-2.3242450433949983E-4</v>
      </c>
      <c r="J72" s="655"/>
    </row>
    <row r="73" spans="1:10" ht="13.5" thickBot="1">
      <c r="A73" s="658" t="s">
        <v>1002</v>
      </c>
      <c r="B73" s="658">
        <v>6.7949999999999999</v>
      </c>
      <c r="C73" s="659">
        <v>37999.730000000003</v>
      </c>
      <c r="D73" s="658">
        <f t="shared" si="6"/>
        <v>-1.1636363636363667E-2</v>
      </c>
      <c r="E73" s="658">
        <f t="shared" si="7"/>
        <v>-1.6959382025233283E-2</v>
      </c>
      <c r="F73" s="659">
        <f t="shared" si="8"/>
        <v>-1.0760488265966549E-2</v>
      </c>
      <c r="G73" s="658">
        <f t="shared" si="9"/>
        <v>-1.5974334689144228E-2</v>
      </c>
      <c r="H73" s="658">
        <f t="shared" si="10"/>
        <v>2.551793687607966E-4</v>
      </c>
      <c r="I73" s="659">
        <f t="shared" si="11"/>
        <v>1.7189164097915888E-4</v>
      </c>
      <c r="J73" s="655"/>
    </row>
    <row r="74" spans="1:10" ht="13.5" thickBot="1">
      <c r="A74" s="658" t="s">
        <v>1001</v>
      </c>
      <c r="B74" s="658">
        <v>6.875</v>
      </c>
      <c r="C74" s="659">
        <v>38655.300000000003</v>
      </c>
      <c r="D74" s="658">
        <f t="shared" si="6"/>
        <v>5.1169590643274088E-3</v>
      </c>
      <c r="E74" s="658">
        <f t="shared" si="7"/>
        <v>-9.4074172782812049E-3</v>
      </c>
      <c r="F74" s="659">
        <f t="shared" si="8"/>
        <v>5.992834434724527E-3</v>
      </c>
      <c r="G74" s="658">
        <f t="shared" si="9"/>
        <v>-8.4223699421921497E-3</v>
      </c>
      <c r="H74" s="658">
        <f t="shared" si="10"/>
        <v>7.0936315443141795E-5</v>
      </c>
      <c r="I74" s="659">
        <f t="shared" si="11"/>
        <v>-5.0473868611557941E-5</v>
      </c>
      <c r="J74" s="655"/>
    </row>
    <row r="75" spans="1:10" ht="13.5" thickBot="1">
      <c r="A75" s="658" t="s">
        <v>1000</v>
      </c>
      <c r="B75" s="658">
        <v>6.84</v>
      </c>
      <c r="C75" s="659">
        <v>39022.400000000001</v>
      </c>
      <c r="D75" s="658">
        <f t="shared" si="6"/>
        <v>-4.6689895470383269E-2</v>
      </c>
      <c r="E75" s="658">
        <f t="shared" si="7"/>
        <v>-1.2933519267480764E-2</v>
      </c>
      <c r="F75" s="659">
        <f t="shared" si="8"/>
        <v>-4.5814020099986148E-2</v>
      </c>
      <c r="G75" s="658">
        <f t="shared" si="9"/>
        <v>-1.1948471931391709E-2</v>
      </c>
      <c r="H75" s="658">
        <f t="shared" si="10"/>
        <v>1.4276598149525551E-4</v>
      </c>
      <c r="I75" s="659">
        <f t="shared" si="11"/>
        <v>5.4740753322890003E-4</v>
      </c>
      <c r="J75" s="655"/>
    </row>
    <row r="76" spans="1:10" ht="13.5" thickBot="1">
      <c r="A76" s="658" t="s">
        <v>999</v>
      </c>
      <c r="B76" s="658">
        <v>7.1749999999999998</v>
      </c>
      <c r="C76" s="659">
        <v>39533.71</v>
      </c>
      <c r="D76" s="658">
        <f t="shared" si="6"/>
        <v>3.6849710982658879E-2</v>
      </c>
      <c r="E76" s="658">
        <f t="shared" si="7"/>
        <v>-4.5061197109437234E-3</v>
      </c>
      <c r="F76" s="659">
        <f t="shared" si="8"/>
        <v>3.7725586353056E-2</v>
      </c>
      <c r="G76" s="658">
        <f t="shared" si="9"/>
        <v>-3.5210723748546678E-3</v>
      </c>
      <c r="H76" s="658">
        <f t="shared" si="10"/>
        <v>1.2397950668964691E-5</v>
      </c>
      <c r="I76" s="659">
        <f t="shared" si="11"/>
        <v>-1.3283451993293974E-4</v>
      </c>
      <c r="J76" s="655"/>
    </row>
    <row r="77" spans="1:10" ht="13.5" thickBot="1">
      <c r="A77" s="658" t="s">
        <v>998</v>
      </c>
      <c r="B77" s="658">
        <v>6.92</v>
      </c>
      <c r="C77" s="659">
        <v>39712.660000000003</v>
      </c>
      <c r="D77" s="658">
        <f t="shared" si="6"/>
        <v>1.6899338721528379E-2</v>
      </c>
      <c r="E77" s="658">
        <f t="shared" si="7"/>
        <v>1.3383886004373347E-2</v>
      </c>
      <c r="F77" s="659">
        <f t="shared" si="8"/>
        <v>1.7775214091925496E-2</v>
      </c>
      <c r="G77" s="658">
        <f t="shared" si="9"/>
        <v>1.4368933340462402E-2</v>
      </c>
      <c r="H77" s="658">
        <f t="shared" si="10"/>
        <v>2.0646624534265199E-4</v>
      </c>
      <c r="I77" s="659">
        <f t="shared" si="11"/>
        <v>2.5541086639932535E-4</v>
      </c>
      <c r="J77" s="655"/>
    </row>
    <row r="78" spans="1:10" ht="13.5" thickBot="1">
      <c r="A78" s="658" t="s">
        <v>997</v>
      </c>
      <c r="B78" s="658">
        <v>6.8049999999999997</v>
      </c>
      <c r="C78" s="659">
        <v>39188.17</v>
      </c>
      <c r="D78" s="658">
        <f t="shared" si="6"/>
        <v>7.3529411764705621E-4</v>
      </c>
      <c r="E78" s="658">
        <f t="shared" si="7"/>
        <v>3.9056545916547059E-3</v>
      </c>
      <c r="F78" s="659">
        <f t="shared" si="8"/>
        <v>1.6111694880441745E-3</v>
      </c>
      <c r="G78" s="658">
        <f t="shared" si="9"/>
        <v>4.8907019277437611E-3</v>
      </c>
      <c r="H78" s="658">
        <f t="shared" si="10"/>
        <v>2.391896534603654E-5</v>
      </c>
      <c r="I78" s="659">
        <f t="shared" si="11"/>
        <v>7.8797497210995725E-6</v>
      </c>
      <c r="J78" s="655"/>
    </row>
    <row r="79" spans="1:10" ht="13.5" thickBot="1">
      <c r="A79" s="658" t="s">
        <v>996</v>
      </c>
      <c r="B79" s="658">
        <v>6.8</v>
      </c>
      <c r="C79" s="659">
        <v>39035.71</v>
      </c>
      <c r="D79" s="658">
        <f t="shared" si="6"/>
        <v>3.0303030303030276E-2</v>
      </c>
      <c r="E79" s="658">
        <f t="shared" si="7"/>
        <v>1.6139457226718168E-3</v>
      </c>
      <c r="F79" s="659">
        <f t="shared" si="8"/>
        <v>3.1178905673427394E-2</v>
      </c>
      <c r="G79" s="658">
        <f t="shared" si="9"/>
        <v>2.5989930587608724E-3</v>
      </c>
      <c r="H79" s="658">
        <f t="shared" si="10"/>
        <v>6.754764919487196E-6</v>
      </c>
      <c r="I79" s="659">
        <f t="shared" si="11"/>
        <v>8.1033759424997776E-5</v>
      </c>
      <c r="J79" s="655"/>
    </row>
    <row r="80" spans="1:10" ht="13.5" thickBot="1">
      <c r="A80" s="658" t="s">
        <v>995</v>
      </c>
      <c r="B80" s="658">
        <v>6.6</v>
      </c>
      <c r="C80" s="659">
        <v>38972.81</v>
      </c>
      <c r="D80" s="658">
        <f t="shared" si="6"/>
        <v>2.2779043280181099E-3</v>
      </c>
      <c r="E80" s="658">
        <f t="shared" si="7"/>
        <v>-1.0464403280948664E-2</v>
      </c>
      <c r="F80" s="659">
        <f t="shared" si="8"/>
        <v>3.1537796984152282E-3</v>
      </c>
      <c r="G80" s="658">
        <f t="shared" si="9"/>
        <v>-9.479355944859609E-3</v>
      </c>
      <c r="H80" s="658">
        <f t="shared" si="10"/>
        <v>8.9858189129345207E-5</v>
      </c>
      <c r="I80" s="659">
        <f t="shared" si="11"/>
        <v>-2.9895800332949938E-5</v>
      </c>
      <c r="J80" s="655"/>
    </row>
    <row r="81" spans="1:10" ht="13.5" thickBot="1">
      <c r="A81" s="658" t="s">
        <v>994</v>
      </c>
      <c r="B81" s="658">
        <v>6.585</v>
      </c>
      <c r="C81" s="659">
        <v>39384.949999999997</v>
      </c>
      <c r="D81" s="658">
        <f t="shared" si="6"/>
        <v>9.1954022988505191E-3</v>
      </c>
      <c r="E81" s="658">
        <f t="shared" si="7"/>
        <v>8.3683026056053933E-3</v>
      </c>
      <c r="F81" s="659">
        <f t="shared" si="8"/>
        <v>1.0071277669247636E-2</v>
      </c>
      <c r="G81" s="658">
        <f t="shared" si="9"/>
        <v>9.3533499416944485E-3</v>
      </c>
      <c r="H81" s="658">
        <f t="shared" si="10"/>
        <v>8.7485155131795546E-5</v>
      </c>
      <c r="I81" s="659">
        <f t="shared" si="11"/>
        <v>9.4200184400445975E-5</v>
      </c>
      <c r="J81" s="655"/>
    </row>
    <row r="82" spans="1:10" ht="13.5" thickBot="1">
      <c r="A82" s="658" t="s">
        <v>993</v>
      </c>
      <c r="B82" s="658">
        <v>6.5250000000000004</v>
      </c>
      <c r="C82" s="659">
        <v>39058.1</v>
      </c>
      <c r="D82" s="658">
        <f t="shared" si="6"/>
        <v>-3.8167938931297218E-3</v>
      </c>
      <c r="E82" s="658">
        <f t="shared" si="7"/>
        <v>-1.042485637688717E-3</v>
      </c>
      <c r="F82" s="659">
        <f t="shared" si="8"/>
        <v>-2.9409185227326036E-3</v>
      </c>
      <c r="G82" s="658">
        <f t="shared" si="9"/>
        <v>-5.7438301599661411E-5</v>
      </c>
      <c r="H82" s="658">
        <f t="shared" si="10"/>
        <v>3.2991584906536668E-9</v>
      </c>
      <c r="I82" s="659">
        <f t="shared" si="11"/>
        <v>1.6892136508874598E-7</v>
      </c>
      <c r="J82" s="655"/>
    </row>
    <row r="83" spans="1:10" ht="13.5" thickBot="1">
      <c r="A83" s="658" t="s">
        <v>992</v>
      </c>
      <c r="B83" s="658">
        <v>6.55</v>
      </c>
      <c r="C83" s="659">
        <v>39098.86</v>
      </c>
      <c r="D83" s="658">
        <f t="shared" si="6"/>
        <v>4.5490822027134836E-2</v>
      </c>
      <c r="E83" s="658">
        <f t="shared" si="7"/>
        <v>9.2815306420095389E-3</v>
      </c>
      <c r="F83" s="659">
        <f t="shared" si="8"/>
        <v>4.6366697397531957E-2</v>
      </c>
      <c r="G83" s="658">
        <f t="shared" si="9"/>
        <v>1.0266577978098594E-2</v>
      </c>
      <c r="H83" s="658">
        <f t="shared" si="10"/>
        <v>1.0540262338037902E-4</v>
      </c>
      <c r="I83" s="659">
        <f t="shared" si="11"/>
        <v>4.76027314418663E-4</v>
      </c>
      <c r="J83" s="655"/>
    </row>
    <row r="84" spans="1:10" ht="13.5" thickBot="1">
      <c r="A84" s="658" t="s">
        <v>991</v>
      </c>
      <c r="B84" s="658">
        <v>6.2649999999999997</v>
      </c>
      <c r="C84" s="659">
        <v>38739.300000000003</v>
      </c>
      <c r="D84" s="658">
        <f t="shared" si="6"/>
        <v>1.0483870967741948E-2</v>
      </c>
      <c r="E84" s="658">
        <f t="shared" si="7"/>
        <v>1.8062393057498571E-2</v>
      </c>
      <c r="F84" s="659">
        <f t="shared" si="8"/>
        <v>1.1359746338139066E-2</v>
      </c>
      <c r="G84" s="658">
        <f t="shared" si="9"/>
        <v>1.9047440393587627E-2</v>
      </c>
      <c r="H84" s="658">
        <f t="shared" si="10"/>
        <v>3.6280498554727356E-4</v>
      </c>
      <c r="I84" s="659">
        <f t="shared" si="11"/>
        <v>2.1637409126197917E-4</v>
      </c>
      <c r="J84" s="655"/>
    </row>
    <row r="85" spans="1:10" ht="13.5" thickBot="1">
      <c r="A85" s="658" t="s">
        <v>990</v>
      </c>
      <c r="B85" s="658">
        <v>6.2</v>
      </c>
      <c r="C85" s="659">
        <v>38051.99</v>
      </c>
      <c r="D85" s="658">
        <f t="shared" si="6"/>
        <v>1.2244897959183598E-2</v>
      </c>
      <c r="E85" s="658">
        <f t="shared" si="7"/>
        <v>-1.3107477738373285E-2</v>
      </c>
      <c r="F85" s="659">
        <f t="shared" si="8"/>
        <v>1.3120773329580716E-2</v>
      </c>
      <c r="G85" s="658">
        <f t="shared" si="9"/>
        <v>-1.212243040228423E-2</v>
      </c>
      <c r="H85" s="658">
        <f t="shared" si="10"/>
        <v>1.4695331885822499E-4</v>
      </c>
      <c r="I85" s="659">
        <f t="shared" si="11"/>
        <v>-1.5905566151198935E-4</v>
      </c>
      <c r="J85" s="655"/>
    </row>
    <row r="86" spans="1:10" ht="13.5" thickBot="1">
      <c r="A86" s="658" t="s">
        <v>989</v>
      </c>
      <c r="B86" s="658">
        <v>6.125</v>
      </c>
      <c r="C86" s="659">
        <v>38557.379999999997</v>
      </c>
      <c r="D86" s="658">
        <f t="shared" si="6"/>
        <v>9.8928276999175058E-3</v>
      </c>
      <c r="E86" s="658">
        <f t="shared" si="7"/>
        <v>2.6831919530245774E-3</v>
      </c>
      <c r="F86" s="659">
        <f t="shared" si="8"/>
        <v>1.0768703070314623E-2</v>
      </c>
      <c r="G86" s="658">
        <f t="shared" si="9"/>
        <v>3.668239289113633E-3</v>
      </c>
      <c r="H86" s="658">
        <f t="shared" si="10"/>
        <v>1.3455979482196892E-5</v>
      </c>
      <c r="I86" s="659">
        <f t="shared" si="11"/>
        <v>3.9502179695326709E-5</v>
      </c>
      <c r="J86" s="655"/>
    </row>
    <row r="87" spans="1:10" ht="13.5" thickBot="1">
      <c r="A87" s="658" t="s">
        <v>988</v>
      </c>
      <c r="B87" s="658">
        <v>6.0650000000000004</v>
      </c>
      <c r="C87" s="659">
        <v>38454.199999999997</v>
      </c>
      <c r="D87" s="658">
        <f t="shared" si="6"/>
        <v>7.9181494661921814E-2</v>
      </c>
      <c r="E87" s="658">
        <f t="shared" si="7"/>
        <v>3.7316941649269575E-2</v>
      </c>
      <c r="F87" s="659">
        <f t="shared" si="8"/>
        <v>8.0057370032318928E-2</v>
      </c>
      <c r="G87" s="658">
        <f t="shared" si="9"/>
        <v>3.830198898535863E-2</v>
      </c>
      <c r="H87" s="658">
        <f t="shared" si="10"/>
        <v>1.4670423602345338E-3</v>
      </c>
      <c r="I87" s="659">
        <f t="shared" si="11"/>
        <v>3.0663565051746596E-3</v>
      </c>
      <c r="J87" s="655"/>
    </row>
    <row r="88" spans="1:10" ht="13.5" thickBot="1">
      <c r="A88" s="658" t="s">
        <v>987</v>
      </c>
      <c r="B88" s="658">
        <v>5.62</v>
      </c>
      <c r="C88" s="659">
        <v>37070.83</v>
      </c>
      <c r="D88" s="658">
        <f t="shared" si="6"/>
        <v>1.7825311942958333E-3</v>
      </c>
      <c r="E88" s="658">
        <f t="shared" si="7"/>
        <v>6.9889307753536745E-2</v>
      </c>
      <c r="F88" s="659">
        <f t="shared" si="8"/>
        <v>2.6584065646929516E-3</v>
      </c>
      <c r="G88" s="658">
        <f t="shared" si="9"/>
        <v>7.0874355089625807E-2</v>
      </c>
      <c r="H88" s="658">
        <f t="shared" si="10"/>
        <v>5.0231742093703674E-3</v>
      </c>
      <c r="I88" s="659">
        <f t="shared" si="11"/>
        <v>1.8841285083864056E-4</v>
      </c>
      <c r="J88" s="655"/>
    </row>
    <row r="89" spans="1:10" ht="13.5" thickBot="1">
      <c r="A89" s="658" t="s">
        <v>986</v>
      </c>
      <c r="B89" s="658">
        <v>5.61</v>
      </c>
      <c r="C89" s="659">
        <v>34649.22</v>
      </c>
      <c r="D89" s="658">
        <f t="shared" si="6"/>
        <v>8.7209302325581328E-2</v>
      </c>
      <c r="E89" s="658">
        <f t="shared" si="7"/>
        <v>5.4642999113045043E-2</v>
      </c>
      <c r="F89" s="659">
        <f t="shared" si="8"/>
        <v>8.8085177695978442E-2</v>
      </c>
      <c r="G89" s="658">
        <f t="shared" si="9"/>
        <v>5.5628046449134098E-2</v>
      </c>
      <c r="H89" s="658">
        <f t="shared" si="10"/>
        <v>3.0944795517470207E-3</v>
      </c>
      <c r="I89" s="659">
        <f t="shared" si="11"/>
        <v>4.9000063563521198E-3</v>
      </c>
      <c r="J89" s="655"/>
    </row>
    <row r="90" spans="1:10" ht="13.5" thickBot="1">
      <c r="A90" s="658" t="s">
        <v>985</v>
      </c>
      <c r="B90" s="658">
        <v>5.16</v>
      </c>
      <c r="C90" s="659">
        <v>32853.980000000003</v>
      </c>
      <c r="D90" s="658">
        <f t="shared" si="6"/>
        <v>-4.8847926267281072E-2</v>
      </c>
      <c r="E90" s="658">
        <f t="shared" si="7"/>
        <v>-2.3860379920403019E-2</v>
      </c>
      <c r="F90" s="659">
        <f t="shared" si="8"/>
        <v>-4.7972050896883951E-2</v>
      </c>
      <c r="G90" s="658">
        <f t="shared" si="9"/>
        <v>-2.2875332584313963E-2</v>
      </c>
      <c r="H90" s="658">
        <f t="shared" si="10"/>
        <v>5.2328084084297618E-4</v>
      </c>
      <c r="I90" s="659">
        <f t="shared" si="11"/>
        <v>1.0973766190178573E-3</v>
      </c>
      <c r="J90" s="655"/>
    </row>
    <row r="91" spans="1:10" ht="13.5" thickBot="1">
      <c r="A91" s="658" t="s">
        <v>984</v>
      </c>
      <c r="B91" s="658">
        <v>5.4249999999999998</v>
      </c>
      <c r="C91" s="659">
        <v>33657.050000000003</v>
      </c>
      <c r="D91" s="658">
        <f t="shared" si="6"/>
        <v>6.1643835616438158E-2</v>
      </c>
      <c r="E91" s="658">
        <f t="shared" si="7"/>
        <v>2.830625925549124E-2</v>
      </c>
      <c r="F91" s="659">
        <f t="shared" si="8"/>
        <v>6.2519710986835272E-2</v>
      </c>
      <c r="G91" s="658">
        <f t="shared" si="9"/>
        <v>2.9291306591580295E-2</v>
      </c>
      <c r="H91" s="658">
        <f t="shared" si="10"/>
        <v>8.5798064184195518E-4</v>
      </c>
      <c r="I91" s="659">
        <f t="shared" si="11"/>
        <v>1.8312840225323829E-3</v>
      </c>
      <c r="J91" s="655"/>
    </row>
    <row r="92" spans="1:10" ht="13.5" thickBot="1">
      <c r="A92" s="658" t="s">
        <v>983</v>
      </c>
      <c r="B92" s="658">
        <v>5.1100000000000003</v>
      </c>
      <c r="C92" s="659">
        <v>32730.57</v>
      </c>
      <c r="D92" s="658">
        <f t="shared" si="6"/>
        <v>-3.5849056603773466E-2</v>
      </c>
      <c r="E92" s="658">
        <f t="shared" si="7"/>
        <v>-4.5118182436140186E-2</v>
      </c>
      <c r="F92" s="659">
        <f t="shared" si="8"/>
        <v>-3.4973181233376345E-2</v>
      </c>
      <c r="G92" s="658">
        <f t="shared" si="9"/>
        <v>-4.4133135100051131E-2</v>
      </c>
      <c r="H92" s="658">
        <f t="shared" si="10"/>
        <v>1.947733613759365E-3</v>
      </c>
      <c r="I92" s="659">
        <f t="shared" si="11"/>
        <v>1.5434761322511712E-3</v>
      </c>
      <c r="J92" s="655"/>
    </row>
    <row r="93" spans="1:10" ht="13.5" thickBot="1">
      <c r="A93" s="658" t="s">
        <v>982</v>
      </c>
      <c r="B93" s="658">
        <v>5.3</v>
      </c>
      <c r="C93" s="659">
        <v>34277.089999999997</v>
      </c>
      <c r="D93" s="658">
        <f t="shared" si="6"/>
        <v>-4.6948356807512415E-3</v>
      </c>
      <c r="E93" s="658">
        <f t="shared" si="7"/>
        <v>7.3251805948246762E-3</v>
      </c>
      <c r="F93" s="659">
        <f t="shared" si="8"/>
        <v>-3.8189603103541232E-3</v>
      </c>
      <c r="G93" s="658">
        <f t="shared" si="9"/>
        <v>8.3102279309137314E-3</v>
      </c>
      <c r="H93" s="658">
        <f t="shared" si="10"/>
        <v>6.9059888263738717E-5</v>
      </c>
      <c r="I93" s="659">
        <f t="shared" si="11"/>
        <v>-3.1736430638155807E-5</v>
      </c>
      <c r="J93" s="655"/>
    </row>
    <row r="94" spans="1:10" ht="13.5" thickBot="1">
      <c r="A94" s="658" t="s">
        <v>981</v>
      </c>
      <c r="B94" s="658">
        <v>5.3250000000000002</v>
      </c>
      <c r="C94" s="659">
        <v>34027.83</v>
      </c>
      <c r="D94" s="658">
        <f t="shared" si="6"/>
        <v>2.7000964320154308E-2</v>
      </c>
      <c r="E94" s="658">
        <f t="shared" si="7"/>
        <v>-2.7974578900190061E-2</v>
      </c>
      <c r="F94" s="659">
        <f t="shared" si="8"/>
        <v>2.7876839690551426E-2</v>
      </c>
      <c r="G94" s="658">
        <f t="shared" si="9"/>
        <v>-2.6989531564101006E-2</v>
      </c>
      <c r="H94" s="658">
        <f t="shared" si="10"/>
        <v>7.2843481404960455E-4</v>
      </c>
      <c r="I94" s="659">
        <f t="shared" si="11"/>
        <v>-7.5238284473552145E-4</v>
      </c>
      <c r="J94" s="655"/>
    </row>
    <row r="95" spans="1:10" ht="13.5" thickBot="1">
      <c r="A95" s="658" t="s">
        <v>980</v>
      </c>
      <c r="B95" s="658">
        <v>5.1849999999999996</v>
      </c>
      <c r="C95" s="659">
        <v>35007.14</v>
      </c>
      <c r="D95" s="658">
        <f t="shared" si="6"/>
        <v>4.9595141700404799E-2</v>
      </c>
      <c r="E95" s="658">
        <f t="shared" si="7"/>
        <v>-2.3342378128224039E-2</v>
      </c>
      <c r="F95" s="659">
        <f t="shared" si="8"/>
        <v>5.047101707080192E-2</v>
      </c>
      <c r="G95" s="658">
        <f t="shared" si="9"/>
        <v>-2.2357330792134984E-2</v>
      </c>
      <c r="H95" s="658">
        <f t="shared" si="10"/>
        <v>4.9985024014894709E-4</v>
      </c>
      <c r="I95" s="659">
        <f t="shared" si="11"/>
        <v>-1.1283972240674102E-3</v>
      </c>
      <c r="J95" s="655"/>
    </row>
    <row r="96" spans="1:10" ht="13.5" thickBot="1">
      <c r="A96" s="658" t="s">
        <v>979</v>
      </c>
      <c r="B96" s="658">
        <v>4.9400000000000004</v>
      </c>
      <c r="C96" s="659">
        <v>35843.82</v>
      </c>
      <c r="D96" s="658">
        <f t="shared" si="6"/>
        <v>-4.0322580645160144E-3</v>
      </c>
      <c r="E96" s="658">
        <f t="shared" si="7"/>
        <v>-6.2036339015908437E-3</v>
      </c>
      <c r="F96" s="659">
        <f t="shared" si="8"/>
        <v>-3.1563826941188962E-3</v>
      </c>
      <c r="G96" s="658">
        <f t="shared" si="9"/>
        <v>-5.2185865655017885E-3</v>
      </c>
      <c r="H96" s="658">
        <f t="shared" si="10"/>
        <v>2.7233645741635753E-5</v>
      </c>
      <c r="I96" s="659">
        <f t="shared" si="11"/>
        <v>1.6471856323111211E-5</v>
      </c>
      <c r="J96" s="655"/>
    </row>
    <row r="97" spans="1:10" ht="13.5" thickBot="1">
      <c r="A97" s="658" t="s">
        <v>978</v>
      </c>
      <c r="B97" s="658">
        <v>4.96</v>
      </c>
      <c r="C97" s="659">
        <v>36067.57</v>
      </c>
      <c r="D97" s="658">
        <f t="shared" si="6"/>
        <v>3.5490605427974886E-2</v>
      </c>
      <c r="E97" s="658">
        <f t="shared" si="7"/>
        <v>2.4218721121453957E-3</v>
      </c>
      <c r="F97" s="659">
        <f t="shared" si="8"/>
        <v>3.6366480798372007E-2</v>
      </c>
      <c r="G97" s="658">
        <f t="shared" si="9"/>
        <v>3.4069194482344513E-3</v>
      </c>
      <c r="H97" s="658">
        <f t="shared" si="10"/>
        <v>1.1607100126758138E-5</v>
      </c>
      <c r="I97" s="659">
        <f t="shared" si="11"/>
        <v>1.2389767069581834E-4</v>
      </c>
      <c r="J97" s="655"/>
    </row>
    <row r="98" spans="1:10" ht="13.5" thickBot="1">
      <c r="A98" s="658" t="s">
        <v>977</v>
      </c>
      <c r="B98" s="658">
        <v>4.79</v>
      </c>
      <c r="C98" s="659">
        <v>35980.43</v>
      </c>
      <c r="D98" s="658">
        <f t="shared" si="6"/>
        <v>-6.6276803118908378E-2</v>
      </c>
      <c r="E98" s="658">
        <f t="shared" si="7"/>
        <v>9.05199164679793E-4</v>
      </c>
      <c r="F98" s="659">
        <f t="shared" si="8"/>
        <v>-6.5400927748511264E-2</v>
      </c>
      <c r="G98" s="658">
        <f t="shared" si="9"/>
        <v>1.8902465007688486E-3</v>
      </c>
      <c r="H98" s="658">
        <f t="shared" si="10"/>
        <v>3.573031833668877E-6</v>
      </c>
      <c r="I98" s="659">
        <f t="shared" si="11"/>
        <v>-1.236238748236597E-4</v>
      </c>
      <c r="J98" s="655"/>
    </row>
    <row r="99" spans="1:10" ht="13.5" thickBot="1">
      <c r="A99" s="658" t="s">
        <v>976</v>
      </c>
      <c r="B99" s="658">
        <v>5.13</v>
      </c>
      <c r="C99" s="659">
        <v>35947.89</v>
      </c>
      <c r="D99" s="658">
        <f t="shared" si="6"/>
        <v>-5.1756007393715442E-2</v>
      </c>
      <c r="E99" s="658">
        <f t="shared" si="7"/>
        <v>-1.3983062005042624E-2</v>
      </c>
      <c r="F99" s="659">
        <f t="shared" si="8"/>
        <v>-5.0880132023318321E-2</v>
      </c>
      <c r="G99" s="658">
        <f t="shared" si="9"/>
        <v>-1.2998014668953568E-2</v>
      </c>
      <c r="H99" s="658">
        <f t="shared" si="10"/>
        <v>1.6894838533433213E-4</v>
      </c>
      <c r="I99" s="659">
        <f t="shared" si="11"/>
        <v>6.6134070239738576E-4</v>
      </c>
      <c r="J99" s="655"/>
    </row>
    <row r="100" spans="1:10" ht="13.5" thickBot="1">
      <c r="A100" s="658" t="s">
        <v>975</v>
      </c>
      <c r="B100" s="658">
        <v>5.41</v>
      </c>
      <c r="C100" s="659">
        <v>36457.68</v>
      </c>
      <c r="D100" s="658">
        <f t="shared" si="6"/>
        <v>-1.6363636363636358E-2</v>
      </c>
      <c r="E100" s="658">
        <f t="shared" si="7"/>
        <v>-9.5360633589514077E-3</v>
      </c>
      <c r="F100" s="659">
        <f t="shared" si="8"/>
        <v>-1.5487760993239241E-2</v>
      </c>
      <c r="G100" s="658">
        <f t="shared" si="9"/>
        <v>-8.5510160228623525E-3</v>
      </c>
      <c r="H100" s="658">
        <f t="shared" si="10"/>
        <v>7.3119875023248685E-5</v>
      </c>
      <c r="I100" s="659">
        <f t="shared" si="11"/>
        <v>1.3243609241145128E-4</v>
      </c>
      <c r="J100" s="655"/>
    </row>
    <row r="101" spans="1:10" ht="13.5" thickBot="1">
      <c r="A101" s="658" t="s">
        <v>974</v>
      </c>
      <c r="B101" s="658">
        <v>5.5</v>
      </c>
      <c r="C101" s="659">
        <v>36808.69</v>
      </c>
      <c r="D101" s="658">
        <f t="shared" si="6"/>
        <v>-1.0791366906474753E-2</v>
      </c>
      <c r="E101" s="658">
        <f t="shared" si="7"/>
        <v>-1.4450158213020092E-2</v>
      </c>
      <c r="F101" s="659">
        <f t="shared" si="8"/>
        <v>-9.9154915360776356E-3</v>
      </c>
      <c r="G101" s="658">
        <f t="shared" si="9"/>
        <v>-1.3465110876931037E-2</v>
      </c>
      <c r="H101" s="658">
        <f t="shared" si="10"/>
        <v>1.8130921092804654E-4</v>
      </c>
      <c r="I101" s="659">
        <f t="shared" si="11"/>
        <v>1.335131929325566E-4</v>
      </c>
      <c r="J101" s="655"/>
    </row>
    <row r="102" spans="1:10" ht="13.5" thickBot="1">
      <c r="A102" s="658" t="s">
        <v>973</v>
      </c>
      <c r="B102" s="658">
        <v>5.56</v>
      </c>
      <c r="C102" s="659">
        <v>37348.379999999997</v>
      </c>
      <c r="D102" s="658">
        <f t="shared" si="6"/>
        <v>8.1595648232093421E-3</v>
      </c>
      <c r="E102" s="658">
        <f t="shared" si="7"/>
        <v>-3.126608145302634E-3</v>
      </c>
      <c r="F102" s="659">
        <f t="shared" si="8"/>
        <v>9.0354401936064595E-3</v>
      </c>
      <c r="G102" s="658">
        <f t="shared" si="9"/>
        <v>-2.1415608092135783E-3</v>
      </c>
      <c r="H102" s="658">
        <f t="shared" si="10"/>
        <v>4.5862826995595166E-6</v>
      </c>
      <c r="I102" s="659">
        <f t="shared" si="11"/>
        <v>-1.9349944612620739E-5</v>
      </c>
      <c r="J102" s="655"/>
    </row>
    <row r="103" spans="1:10" ht="13.5" thickBot="1">
      <c r="A103" s="658" t="s">
        <v>972</v>
      </c>
      <c r="B103" s="658">
        <v>5.5149999999999997</v>
      </c>
      <c r="C103" s="659">
        <v>37465.519999999997</v>
      </c>
      <c r="D103" s="658">
        <f t="shared" si="6"/>
        <v>-7.2007200720072273E-3</v>
      </c>
      <c r="E103" s="658">
        <f t="shared" si="7"/>
        <v>-1.0804823794216545E-2</v>
      </c>
      <c r="F103" s="659">
        <f t="shared" si="8"/>
        <v>-6.324844701610109E-3</v>
      </c>
      <c r="G103" s="658">
        <f t="shared" si="9"/>
        <v>-9.8197764581274896E-3</v>
      </c>
      <c r="H103" s="658">
        <f t="shared" si="10"/>
        <v>9.6428009687594862E-5</v>
      </c>
      <c r="I103" s="659">
        <f t="shared" si="11"/>
        <v>6.2108561102183334E-5</v>
      </c>
      <c r="J103" s="655"/>
    </row>
    <row r="104" spans="1:10" ht="13.5" thickBot="1">
      <c r="A104" s="658" t="s">
        <v>971</v>
      </c>
      <c r="B104" s="658">
        <v>5.5549999999999997</v>
      </c>
      <c r="C104" s="659">
        <v>37874.75</v>
      </c>
      <c r="D104" s="658">
        <f t="shared" si="6"/>
        <v>1.2762078395624377E-2</v>
      </c>
      <c r="E104" s="658">
        <f t="shared" si="7"/>
        <v>7.1780691943212904E-3</v>
      </c>
      <c r="F104" s="659">
        <f t="shared" si="8"/>
        <v>1.3637953766021494E-2</v>
      </c>
      <c r="G104" s="658">
        <f t="shared" si="9"/>
        <v>8.1631165304103456E-3</v>
      </c>
      <c r="H104" s="658">
        <f t="shared" si="10"/>
        <v>6.6636471489058642E-5</v>
      </c>
      <c r="I104" s="659">
        <f t="shared" si="11"/>
        <v>1.1132820582838209E-4</v>
      </c>
      <c r="J104" s="655"/>
    </row>
    <row r="105" spans="1:10" ht="13.5" thickBot="1">
      <c r="A105" s="658" t="s">
        <v>970</v>
      </c>
      <c r="B105" s="658">
        <v>5.4850000000000003</v>
      </c>
      <c r="C105" s="659">
        <v>37604.82</v>
      </c>
      <c r="D105" s="658">
        <f t="shared" si="6"/>
        <v>-2.5754884547069201E-2</v>
      </c>
      <c r="E105" s="658">
        <f t="shared" si="7"/>
        <v>-1.8866654456253129E-2</v>
      </c>
      <c r="F105" s="659">
        <f t="shared" si="8"/>
        <v>-2.4879009176672084E-2</v>
      </c>
      <c r="G105" s="658">
        <f t="shared" si="9"/>
        <v>-1.7881607120164074E-2</v>
      </c>
      <c r="H105" s="658">
        <f t="shared" si="10"/>
        <v>3.1975187319990253E-4</v>
      </c>
      <c r="I105" s="659">
        <f t="shared" si="11"/>
        <v>4.4487666763620687E-4</v>
      </c>
      <c r="J105" s="655"/>
    </row>
    <row r="106" spans="1:10" ht="13.5" thickBot="1">
      <c r="A106" s="658" t="s">
        <v>969</v>
      </c>
      <c r="B106" s="658">
        <v>5.63</v>
      </c>
      <c r="C106" s="658">
        <v>38327.94</v>
      </c>
      <c r="D106" s="658">
        <f t="shared" si="6"/>
        <v>8.0572963294538447E-3</v>
      </c>
      <c r="E106" s="658">
        <f t="shared" si="7"/>
        <v>-3.8364623767561667E-3</v>
      </c>
      <c r="F106" s="658">
        <f t="shared" si="8"/>
        <v>8.9331716998509621E-3</v>
      </c>
      <c r="G106" s="658">
        <f t="shared" si="9"/>
        <v>-2.8514150406671111E-3</v>
      </c>
      <c r="H106" s="658">
        <f t="shared" si="10"/>
        <v>8.1305677341426232E-6</v>
      </c>
      <c r="I106" s="658">
        <f t="shared" si="11"/>
        <v>-2.5472180145816819E-5</v>
      </c>
      <c r="J106" s="655"/>
    </row>
    <row r="107" spans="1:10" ht="13.5" thickBot="1">
      <c r="A107" s="658" t="s">
        <v>968</v>
      </c>
      <c r="B107" s="658">
        <v>5.585</v>
      </c>
      <c r="C107" s="658">
        <v>38475.550000000003</v>
      </c>
      <c r="D107" s="658">
        <f t="shared" si="6"/>
        <v>3.5938903863430571E-3</v>
      </c>
      <c r="E107" s="658">
        <f t="shared" si="7"/>
        <v>-2.1965625222865048E-3</v>
      </c>
      <c r="F107" s="658">
        <f t="shared" si="8"/>
        <v>4.4697657567401754E-3</v>
      </c>
      <c r="G107" s="658">
        <f t="shared" si="9"/>
        <v>-1.2115151861974492E-3</v>
      </c>
      <c r="H107" s="658">
        <f t="shared" si="10"/>
        <v>1.46776904638704E-6</v>
      </c>
      <c r="I107" s="658">
        <f t="shared" si="11"/>
        <v>-5.4151890930360561E-6</v>
      </c>
      <c r="J107" s="655"/>
    </row>
    <row r="108" spans="1:10" ht="13.5" thickBot="1">
      <c r="A108" s="658" t="s">
        <v>967</v>
      </c>
      <c r="B108" s="658">
        <v>5.5650000000000004</v>
      </c>
      <c r="C108" s="658">
        <v>38560.25</v>
      </c>
      <c r="D108" s="658">
        <f t="shared" si="6"/>
        <v>8.152173913043681E-3</v>
      </c>
      <c r="E108" s="658">
        <f t="shared" si="7"/>
        <v>6.2724605942241496E-3</v>
      </c>
      <c r="F108" s="658">
        <f t="shared" si="8"/>
        <v>9.0280492834407984E-3</v>
      </c>
      <c r="G108" s="658">
        <f t="shared" si="9"/>
        <v>7.2575079303132048E-3</v>
      </c>
      <c r="H108" s="658">
        <f t="shared" si="10"/>
        <v>5.2671421358559058E-5</v>
      </c>
      <c r="I108" s="658">
        <f t="shared" si="11"/>
        <v>6.5521139269830042E-5</v>
      </c>
      <c r="J108" s="655"/>
    </row>
    <row r="109" spans="1:10" ht="13.5" thickBot="1">
      <c r="A109" s="658" t="s">
        <v>966</v>
      </c>
      <c r="B109" s="658">
        <v>5.52</v>
      </c>
      <c r="C109" s="658">
        <v>38319.89</v>
      </c>
      <c r="D109" s="658">
        <f t="shared" si="6"/>
        <v>-2.5595763459841159E-2</v>
      </c>
      <c r="E109" s="658">
        <f t="shared" si="7"/>
        <v>-1.6790808301881066E-2</v>
      </c>
      <c r="F109" s="658">
        <f t="shared" si="8"/>
        <v>-2.4719888089444041E-2</v>
      </c>
      <c r="G109" s="658">
        <f t="shared" si="9"/>
        <v>-1.5805760965792011E-2</v>
      </c>
      <c r="H109" s="658">
        <f t="shared" si="10"/>
        <v>2.4982207970775442E-4</v>
      </c>
      <c r="I109" s="658">
        <f t="shared" si="11"/>
        <v>3.9071664224288148E-4</v>
      </c>
      <c r="J109" s="655"/>
    </row>
    <row r="110" spans="1:10" ht="13.5" thickBot="1">
      <c r="A110" s="658" t="s">
        <v>965</v>
      </c>
      <c r="B110" s="658">
        <v>5.665</v>
      </c>
      <c r="C110" s="658">
        <v>38974.300000000003</v>
      </c>
      <c r="D110" s="658">
        <f t="shared" si="6"/>
        <v>7.1111111111110681E-3</v>
      </c>
      <c r="E110" s="658">
        <f t="shared" si="7"/>
        <v>-1.0050548653936509E-2</v>
      </c>
      <c r="F110" s="658">
        <f t="shared" si="8"/>
        <v>7.9869864815081855E-3</v>
      </c>
      <c r="G110" s="658">
        <f t="shared" si="9"/>
        <v>-9.0655013178474533E-3</v>
      </c>
      <c r="H110" s="658">
        <f t="shared" si="10"/>
        <v>8.2183314143893918E-5</v>
      </c>
      <c r="I110" s="658">
        <f t="shared" si="11"/>
        <v>-7.2406036473742251E-5</v>
      </c>
      <c r="J110" s="655"/>
    </row>
    <row r="111" spans="1:10" ht="13.5" thickBot="1">
      <c r="A111" s="658" t="s">
        <v>964</v>
      </c>
      <c r="B111" s="658">
        <v>5.625</v>
      </c>
      <c r="C111" s="658">
        <v>39369.99</v>
      </c>
      <c r="D111" s="658">
        <f t="shared" si="6"/>
        <v>-7.2547403132728783E-2</v>
      </c>
      <c r="E111" s="658">
        <f t="shared" si="7"/>
        <v>-1.3817579000446223E-2</v>
      </c>
      <c r="F111" s="658">
        <f t="shared" si="8"/>
        <v>-7.1671527762331669E-2</v>
      </c>
      <c r="G111" s="658">
        <f t="shared" si="9"/>
        <v>-1.2832531664357168E-2</v>
      </c>
      <c r="H111" s="658">
        <f t="shared" si="10"/>
        <v>1.6467386891672934E-4</v>
      </c>
      <c r="I111" s="658">
        <f t="shared" si="11"/>
        <v>9.1972714944297499E-4</v>
      </c>
      <c r="J111" s="655"/>
    </row>
    <row r="112" spans="1:10" ht="13.5" thickBot="1">
      <c r="A112" s="658" t="s">
        <v>963</v>
      </c>
      <c r="B112" s="658">
        <v>6.0650000000000004</v>
      </c>
      <c r="C112" s="658">
        <v>39921.61</v>
      </c>
      <c r="D112" s="658">
        <f t="shared" si="6"/>
        <v>-1.2214983713354943E-2</v>
      </c>
      <c r="E112" s="658">
        <f t="shared" si="7"/>
        <v>-3.8894651336697228E-3</v>
      </c>
      <c r="F112" s="658">
        <f t="shared" si="8"/>
        <v>-1.1339108342957826E-2</v>
      </c>
      <c r="G112" s="658">
        <f t="shared" si="9"/>
        <v>-2.9044177975806672E-3</v>
      </c>
      <c r="H112" s="658">
        <f t="shared" si="10"/>
        <v>8.435642742903334E-6</v>
      </c>
      <c r="I112" s="658">
        <f t="shared" si="11"/>
        <v>3.2933508079982137E-5</v>
      </c>
      <c r="J112" s="655"/>
    </row>
    <row r="113" spans="1:10" ht="13.5" thickBot="1">
      <c r="A113" s="658" t="s">
        <v>962</v>
      </c>
      <c r="B113" s="658">
        <v>6.14</v>
      </c>
      <c r="C113" s="658">
        <v>40077.49</v>
      </c>
      <c r="D113" s="658">
        <f t="shared" si="6"/>
        <v>1.4876033057851235E-2</v>
      </c>
      <c r="E113" s="658">
        <f t="shared" si="7"/>
        <v>-6.9180616443176302E-3</v>
      </c>
      <c r="F113" s="658">
        <f t="shared" si="8"/>
        <v>1.5751908428248352E-2</v>
      </c>
      <c r="G113" s="658">
        <f t="shared" si="9"/>
        <v>-5.933014308228575E-3</v>
      </c>
      <c r="H113" s="658">
        <f t="shared" si="10"/>
        <v>3.5200658781644994E-5</v>
      </c>
      <c r="I113" s="658">
        <f t="shared" si="11"/>
        <v>-9.3456298086703752E-5</v>
      </c>
      <c r="J113" s="655"/>
    </row>
    <row r="114" spans="1:10" ht="13.5" thickBot="1">
      <c r="A114" s="658" t="s">
        <v>961</v>
      </c>
      <c r="B114" s="658">
        <v>6.05</v>
      </c>
      <c r="C114" s="658">
        <v>40356.68</v>
      </c>
      <c r="D114" s="658">
        <f t="shared" si="6"/>
        <v>3.1543052003409899E-2</v>
      </c>
      <c r="E114" s="658">
        <f t="shared" si="7"/>
        <v>-1.5374026258064832E-3</v>
      </c>
      <c r="F114" s="658">
        <f t="shared" si="8"/>
        <v>3.241892737380702E-2</v>
      </c>
      <c r="G114" s="658">
        <f t="shared" si="9"/>
        <v>-5.523552897174276E-4</v>
      </c>
      <c r="H114" s="658">
        <f t="shared" si="10"/>
        <v>3.050963660788234E-7</v>
      </c>
      <c r="I114" s="658">
        <f t="shared" si="11"/>
        <v>-1.7906766021887423E-5</v>
      </c>
      <c r="J114" s="655"/>
    </row>
    <row r="115" spans="1:10" ht="13.5" thickBot="1">
      <c r="A115" s="658" t="s">
        <v>960</v>
      </c>
      <c r="B115" s="658">
        <v>5.8650000000000002</v>
      </c>
      <c r="C115" s="658">
        <v>40418.82</v>
      </c>
      <c r="D115" s="658">
        <f t="shared" si="6"/>
        <v>-2.3313905079100694E-2</v>
      </c>
      <c r="E115" s="658">
        <f t="shared" si="7"/>
        <v>-5.8401830370035102E-3</v>
      </c>
      <c r="F115" s="658">
        <f t="shared" si="8"/>
        <v>-2.2438029708703577E-2</v>
      </c>
      <c r="G115" s="658">
        <f t="shared" si="9"/>
        <v>-4.855135700914455E-3</v>
      </c>
      <c r="H115" s="658">
        <f t="shared" si="10"/>
        <v>2.3572342674294096E-5</v>
      </c>
      <c r="I115" s="658">
        <f t="shared" si="11"/>
        <v>1.089396790969059E-4</v>
      </c>
      <c r="J115" s="655"/>
    </row>
    <row r="116" spans="1:10" ht="13.5" thickBot="1">
      <c r="A116" s="658" t="s">
        <v>959</v>
      </c>
      <c r="B116" s="658">
        <v>6.0049999999999999</v>
      </c>
      <c r="C116" s="658">
        <v>40656.26</v>
      </c>
      <c r="D116" s="658">
        <f t="shared" si="6"/>
        <v>2.2127659574468161E-2</v>
      </c>
      <c r="E116" s="658">
        <f t="shared" si="7"/>
        <v>1.2186441678033955E-2</v>
      </c>
      <c r="F116" s="658">
        <f t="shared" si="8"/>
        <v>2.3003534944865279E-2</v>
      </c>
      <c r="G116" s="658">
        <f t="shared" si="9"/>
        <v>1.317148901412301E-2</v>
      </c>
      <c r="H116" s="658">
        <f t="shared" si="10"/>
        <v>1.7348812284916315E-4</v>
      </c>
      <c r="I116" s="658">
        <f t="shared" si="11"/>
        <v>3.0299080781228776E-4</v>
      </c>
      <c r="J116" s="655"/>
    </row>
    <row r="117" spans="1:10" ht="13.5" thickBot="1">
      <c r="A117" s="658" t="s">
        <v>958</v>
      </c>
      <c r="B117" s="658">
        <v>5.875</v>
      </c>
      <c r="C117" s="658">
        <v>40166.769999999997</v>
      </c>
      <c r="D117" s="658">
        <f t="shared" si="6"/>
        <v>-1.67364016736401E-2</v>
      </c>
      <c r="E117" s="658">
        <f t="shared" si="7"/>
        <v>-8.7771121383609652E-3</v>
      </c>
      <c r="F117" s="658">
        <f t="shared" si="8"/>
        <v>-1.5860526303242983E-2</v>
      </c>
      <c r="G117" s="658">
        <f t="shared" si="9"/>
        <v>-7.79206480227191E-3</v>
      </c>
      <c r="H117" s="658">
        <f t="shared" si="10"/>
        <v>6.0716273882804781E-5</v>
      </c>
      <c r="I117" s="658">
        <f t="shared" si="11"/>
        <v>1.2358624875300747E-4</v>
      </c>
      <c r="J117" s="655"/>
    </row>
    <row r="118" spans="1:10" ht="13.5" thickBot="1">
      <c r="A118" s="658" t="s">
        <v>957</v>
      </c>
      <c r="B118" s="658">
        <v>5.9749999999999996</v>
      </c>
      <c r="C118" s="658">
        <v>40522.44</v>
      </c>
      <c r="D118" s="658">
        <f t="shared" si="6"/>
        <v>1.8755328218243772E-2</v>
      </c>
      <c r="E118" s="658">
        <f t="shared" si="7"/>
        <v>-7.097197075698336E-4</v>
      </c>
      <c r="F118" s="658">
        <f t="shared" si="8"/>
        <v>1.9631203588640889E-2</v>
      </c>
      <c r="G118" s="658">
        <f t="shared" si="9"/>
        <v>2.7532762851922203E-4</v>
      </c>
      <c r="H118" s="658">
        <f t="shared" si="10"/>
        <v>7.5805303026018731E-8</v>
      </c>
      <c r="I118" s="658">
        <f t="shared" si="11"/>
        <v>5.4050127290385373E-6</v>
      </c>
      <c r="J118" s="655"/>
    </row>
    <row r="119" spans="1:10" ht="13.5" thickBot="1">
      <c r="A119" s="658" t="s">
        <v>956</v>
      </c>
      <c r="B119" s="658">
        <v>5.8650000000000002</v>
      </c>
      <c r="C119" s="658">
        <v>40551.22</v>
      </c>
      <c r="D119" s="658">
        <f t="shared" si="6"/>
        <v>2.9850746268656803E-2</v>
      </c>
      <c r="E119" s="658">
        <f t="shared" si="7"/>
        <v>7.3188017166880837E-3</v>
      </c>
      <c r="F119" s="658">
        <f t="shared" si="8"/>
        <v>3.072662163905392E-2</v>
      </c>
      <c r="G119" s="658">
        <f t="shared" si="9"/>
        <v>8.3038490527771389E-3</v>
      </c>
      <c r="H119" s="658">
        <f t="shared" si="10"/>
        <v>6.8953909091307782E-5</v>
      </c>
      <c r="I119" s="658">
        <f t="shared" si="11"/>
        <v>2.5514922799249942E-4</v>
      </c>
      <c r="J119" s="655"/>
    </row>
    <row r="120" spans="1:10" ht="13.5" thickBot="1">
      <c r="A120" s="658" t="s">
        <v>955</v>
      </c>
      <c r="B120" s="658">
        <v>5.6950000000000003</v>
      </c>
      <c r="C120" s="658">
        <v>40256.589999999997</v>
      </c>
      <c r="D120" s="658">
        <f t="shared" si="6"/>
        <v>2.6126126126126303E-2</v>
      </c>
      <c r="E120" s="658">
        <f t="shared" si="7"/>
        <v>1.9790319834955161E-2</v>
      </c>
      <c r="F120" s="658">
        <f t="shared" si="8"/>
        <v>2.7002001496523421E-2</v>
      </c>
      <c r="G120" s="658">
        <f t="shared" si="9"/>
        <v>2.0775367171044216E-2</v>
      </c>
      <c r="H120" s="658">
        <f t="shared" si="10"/>
        <v>4.3161588109170176E-4</v>
      </c>
      <c r="I120" s="658">
        <f t="shared" si="11"/>
        <v>5.6097649544335944E-4</v>
      </c>
      <c r="J120" s="655"/>
    </row>
    <row r="121" spans="1:10" ht="13.5" thickBot="1">
      <c r="A121" s="658" t="s">
        <v>954</v>
      </c>
      <c r="B121" s="658">
        <v>5.55</v>
      </c>
      <c r="C121" s="658">
        <v>39475.360000000001</v>
      </c>
      <c r="D121" s="658">
        <f t="shared" si="6"/>
        <v>-1.9434628975265045E-2</v>
      </c>
      <c r="E121" s="658">
        <f t="shared" si="7"/>
        <v>-1.2831695528312204E-2</v>
      </c>
      <c r="F121" s="658">
        <f t="shared" si="8"/>
        <v>-1.8558753604867927E-2</v>
      </c>
      <c r="G121" s="658">
        <f t="shared" si="9"/>
        <v>-1.1846648192223148E-2</v>
      </c>
      <c r="H121" s="658">
        <f t="shared" si="10"/>
        <v>1.40343073390304E-4</v>
      </c>
      <c r="I121" s="658">
        <f t="shared" si="11"/>
        <v>2.1985902484302348E-4</v>
      </c>
      <c r="J121" s="655"/>
    </row>
    <row r="122" spans="1:10" ht="13.5" thickBot="1">
      <c r="A122" s="658" t="s">
        <v>953</v>
      </c>
      <c r="B122" s="658">
        <v>5.66</v>
      </c>
      <c r="C122" s="658">
        <v>39988.480000000003</v>
      </c>
      <c r="D122" s="658">
        <f t="shared" si="6"/>
        <v>-7.0175438596491446E-3</v>
      </c>
      <c r="E122" s="658">
        <f t="shared" si="7"/>
        <v>-3.3998838626388972E-3</v>
      </c>
      <c r="F122" s="658">
        <f t="shared" si="8"/>
        <v>-6.1416684892520263E-3</v>
      </c>
      <c r="G122" s="658">
        <f t="shared" si="9"/>
        <v>-2.4148365265498416E-3</v>
      </c>
      <c r="H122" s="658">
        <f t="shared" si="10"/>
        <v>5.8314354499593037E-6</v>
      </c>
      <c r="I122" s="658">
        <f t="shared" si="11"/>
        <v>1.4831125401805977E-5</v>
      </c>
      <c r="J122" s="655"/>
    </row>
    <row r="123" spans="1:10" ht="13.5" thickBot="1">
      <c r="A123" s="658" t="s">
        <v>952</v>
      </c>
      <c r="B123" s="658">
        <v>5.7</v>
      </c>
      <c r="C123" s="658">
        <v>40124.9</v>
      </c>
      <c r="D123" s="658">
        <f t="shared" si="6"/>
        <v>1.3333333333333419E-2</v>
      </c>
      <c r="E123" s="658">
        <f t="shared" si="7"/>
        <v>-7.1023169751605053E-5</v>
      </c>
      <c r="F123" s="658">
        <f t="shared" si="8"/>
        <v>1.4209208703730537E-2</v>
      </c>
      <c r="G123" s="658">
        <f t="shared" si="9"/>
        <v>9.1402416633745058E-4</v>
      </c>
      <c r="H123" s="658">
        <f t="shared" si="10"/>
        <v>8.3544017664887152E-7</v>
      </c>
      <c r="I123" s="658">
        <f t="shared" si="11"/>
        <v>1.298756013974215E-5</v>
      </c>
      <c r="J123" s="655"/>
    </row>
    <row r="124" spans="1:10" ht="13.5" thickBot="1">
      <c r="A124" s="658" t="s">
        <v>951</v>
      </c>
      <c r="B124" s="658">
        <v>5.625</v>
      </c>
      <c r="C124" s="658">
        <v>40127.75</v>
      </c>
      <c r="D124" s="658">
        <f t="shared" si="6"/>
        <v>-2.8497409326424861E-2</v>
      </c>
      <c r="E124" s="658">
        <f t="shared" si="7"/>
        <v>3.6210416584860905E-3</v>
      </c>
      <c r="F124" s="658">
        <f t="shared" si="8"/>
        <v>-2.7621533956027743E-2</v>
      </c>
      <c r="G124" s="658">
        <f t="shared" si="9"/>
        <v>4.6060889945751457E-3</v>
      </c>
      <c r="H124" s="658">
        <f t="shared" si="10"/>
        <v>2.1216055825946277E-5</v>
      </c>
      <c r="I124" s="658">
        <f t="shared" si="11"/>
        <v>-1.2722724356814308E-4</v>
      </c>
      <c r="J124" s="655"/>
    </row>
    <row r="125" spans="1:10" ht="13.5" thickBot="1">
      <c r="A125" s="658" t="s">
        <v>950</v>
      </c>
      <c r="B125" s="658">
        <v>5.79</v>
      </c>
      <c r="C125" s="658">
        <v>39982.97</v>
      </c>
      <c r="D125" s="658">
        <f t="shared" si="6"/>
        <v>1.3123359580052618E-2</v>
      </c>
      <c r="E125" s="658">
        <f t="shared" si="7"/>
        <v>-2.6050579483828384E-3</v>
      </c>
      <c r="F125" s="658">
        <f t="shared" si="8"/>
        <v>1.3999234950449736E-2</v>
      </c>
      <c r="G125" s="658">
        <f t="shared" si="9"/>
        <v>-1.6200106122937828E-3</v>
      </c>
      <c r="H125" s="658">
        <f t="shared" si="10"/>
        <v>2.624434383944477E-6</v>
      </c>
      <c r="I125" s="658">
        <f t="shared" si="11"/>
        <v>-2.26789091837226E-5</v>
      </c>
      <c r="J125" s="655"/>
    </row>
    <row r="126" spans="1:10" ht="13.5" thickBot="1">
      <c r="A126" s="658" t="s">
        <v>949</v>
      </c>
      <c r="B126" s="658">
        <v>5.7149999999999999</v>
      </c>
      <c r="C126" s="658">
        <v>40087.4</v>
      </c>
      <c r="D126" s="658">
        <f t="shared" si="6"/>
        <v>2.0535714285714324E-2</v>
      </c>
      <c r="E126" s="658">
        <f t="shared" si="7"/>
        <v>2.5822732257656522E-3</v>
      </c>
      <c r="F126" s="658">
        <f t="shared" si="8"/>
        <v>2.1411589656111441E-2</v>
      </c>
      <c r="G126" s="658">
        <f t="shared" si="9"/>
        <v>3.5673205618547079E-3</v>
      </c>
      <c r="H126" s="658">
        <f t="shared" si="10"/>
        <v>1.2725775991031389E-5</v>
      </c>
      <c r="I126" s="658">
        <f t="shared" si="11"/>
        <v>7.6382004042241912E-5</v>
      </c>
      <c r="J126" s="655"/>
    </row>
    <row r="127" spans="1:10" ht="13.5" thickBot="1">
      <c r="A127" s="658" t="s">
        <v>948</v>
      </c>
      <c r="B127" s="658">
        <v>5.6</v>
      </c>
      <c r="C127" s="659">
        <v>39984.15</v>
      </c>
      <c r="D127" s="658">
        <f t="shared" si="6"/>
        <v>3.5842293906809264E-3</v>
      </c>
      <c r="E127" s="658">
        <f t="shared" si="7"/>
        <v>-2.253803980439395E-3</v>
      </c>
      <c r="F127" s="659">
        <f t="shared" si="8"/>
        <v>4.4601047610780447E-3</v>
      </c>
      <c r="G127" s="658">
        <f t="shared" si="9"/>
        <v>-1.2687566443503394E-3</v>
      </c>
      <c r="H127" s="658">
        <f t="shared" si="10"/>
        <v>1.6097434225831335E-6</v>
      </c>
      <c r="I127" s="659">
        <f t="shared" si="11"/>
        <v>-5.6587875501163517E-6</v>
      </c>
      <c r="J127" s="655"/>
    </row>
    <row r="128" spans="1:10" ht="13.5" thickBot="1">
      <c r="A128" s="658" t="s">
        <v>947</v>
      </c>
      <c r="B128" s="658">
        <v>5.58</v>
      </c>
      <c r="C128" s="659">
        <v>40074.47</v>
      </c>
      <c r="D128" s="658">
        <f t="shared" si="6"/>
        <v>-4.4603033006245241E-3</v>
      </c>
      <c r="E128" s="658">
        <f t="shared" si="7"/>
        <v>-1.5992662835739857E-4</v>
      </c>
      <c r="F128" s="659">
        <f t="shared" si="8"/>
        <v>-3.5844279302274058E-3</v>
      </c>
      <c r="G128" s="658">
        <f t="shared" si="9"/>
        <v>8.2512070773165707E-4</v>
      </c>
      <c r="H128" s="658">
        <f t="shared" si="10"/>
        <v>6.8082418232759069E-7</v>
      </c>
      <c r="I128" s="659">
        <f t="shared" si="11"/>
        <v>-2.9575857106023559E-6</v>
      </c>
      <c r="J128" s="655"/>
    </row>
    <row r="129" spans="1:10" ht="13.5" thickBot="1">
      <c r="A129" s="658" t="s">
        <v>946</v>
      </c>
      <c r="B129" s="658">
        <v>5.6050000000000004</v>
      </c>
      <c r="C129" s="659">
        <v>40080.879999999997</v>
      </c>
      <c r="D129" s="658">
        <f t="shared" si="6"/>
        <v>2.5617566331198605E-2</v>
      </c>
      <c r="E129" s="658">
        <f t="shared" si="7"/>
        <v>-7.3901745176798705E-3</v>
      </c>
      <c r="F129" s="659">
        <f t="shared" si="8"/>
        <v>2.6493441701595722E-2</v>
      </c>
      <c r="G129" s="658">
        <f t="shared" si="9"/>
        <v>-6.4051271815908153E-3</v>
      </c>
      <c r="H129" s="658">
        <f t="shared" si="10"/>
        <v>4.1025654212353501E-5</v>
      </c>
      <c r="I129" s="659">
        <f t="shared" si="11"/>
        <v>-1.6969386357678238E-4</v>
      </c>
      <c r="J129" s="655"/>
    </row>
    <row r="130" spans="1:10" ht="13.5" thickBot="1">
      <c r="A130" s="658" t="s">
        <v>945</v>
      </c>
      <c r="B130" s="658">
        <v>5.4649999999999999</v>
      </c>
      <c r="C130" s="659">
        <v>40379.29</v>
      </c>
      <c r="D130" s="658">
        <f t="shared" si="6"/>
        <v>1.5799256505576231E-2</v>
      </c>
      <c r="E130" s="658">
        <f t="shared" si="7"/>
        <v>-5.4837281174249242E-3</v>
      </c>
      <c r="F130" s="659">
        <f t="shared" si="8"/>
        <v>1.6675131875973349E-2</v>
      </c>
      <c r="G130" s="658">
        <f t="shared" si="9"/>
        <v>-4.498680781335869E-3</v>
      </c>
      <c r="H130" s="658">
        <f t="shared" si="10"/>
        <v>2.0238128772360703E-5</v>
      </c>
      <c r="I130" s="659">
        <f t="shared" si="11"/>
        <v>-7.5016095296682439E-5</v>
      </c>
      <c r="J130" s="655"/>
    </row>
    <row r="131" spans="1:10" ht="13.5" thickBot="1">
      <c r="A131" s="658" t="s">
        <v>944</v>
      </c>
      <c r="B131" s="658">
        <v>5.38</v>
      </c>
      <c r="C131" s="659">
        <v>40601.94</v>
      </c>
      <c r="D131" s="658">
        <f t="shared" si="6"/>
        <v>3.7313432835819338E-3</v>
      </c>
      <c r="E131" s="658">
        <f t="shared" si="7"/>
        <v>3.463761736690385E-3</v>
      </c>
      <c r="F131" s="659">
        <f t="shared" si="8"/>
        <v>4.6072186539790521E-3</v>
      </c>
      <c r="G131" s="658">
        <f t="shared" si="9"/>
        <v>4.4488090727794402E-3</v>
      </c>
      <c r="H131" s="658">
        <f t="shared" si="10"/>
        <v>1.9791902166044663E-5</v>
      </c>
      <c r="I131" s="659">
        <f t="shared" si="11"/>
        <v>2.0496636148100687E-5</v>
      </c>
      <c r="J131" s="655"/>
    </row>
    <row r="132" spans="1:10" ht="13.5" thickBot="1">
      <c r="A132" s="658" t="s">
        <v>943</v>
      </c>
      <c r="B132" s="658">
        <v>5.36</v>
      </c>
      <c r="C132" s="659">
        <v>40461.79</v>
      </c>
      <c r="D132" s="658">
        <f t="shared" ref="D132:D195" si="12">(B132/B133)-1</f>
        <v>-1.2891344383056946E-2</v>
      </c>
      <c r="E132" s="658">
        <f t="shared" ref="E132:E195" si="13">(C132/C133)-1</f>
        <v>6.3226899810160386E-3</v>
      </c>
      <c r="F132" s="659">
        <f t="shared" ref="F132:F195" si="14">D132-$D$256</f>
        <v>-1.2015469012659829E-2</v>
      </c>
      <c r="G132" s="658">
        <f t="shared" ref="G132:G195" si="15">E132-$E$256</f>
        <v>7.3077373171050938E-3</v>
      </c>
      <c r="H132" s="658">
        <f t="shared" ref="H132:H195" si="16">G132^2</f>
        <v>5.3403024695810355E-5</v>
      </c>
      <c r="I132" s="659">
        <f t="shared" ref="I132:I195" si="17">F132*G132</f>
        <v>-8.7805891286334129E-5</v>
      </c>
      <c r="J132" s="655"/>
    </row>
    <row r="133" spans="1:10" ht="13.5" thickBot="1">
      <c r="A133" s="658" t="s">
        <v>942</v>
      </c>
      <c r="B133" s="658">
        <v>5.43</v>
      </c>
      <c r="C133" s="659">
        <v>40207.57</v>
      </c>
      <c r="D133" s="658">
        <f t="shared" si="12"/>
        <v>-8.2191780821917471E-3</v>
      </c>
      <c r="E133" s="658">
        <f t="shared" si="13"/>
        <v>6.8018508600253824E-4</v>
      </c>
      <c r="F133" s="659">
        <f t="shared" si="14"/>
        <v>-7.3433027117946288E-3</v>
      </c>
      <c r="G133" s="658">
        <f t="shared" si="15"/>
        <v>1.6652324220915939E-3</v>
      </c>
      <c r="H133" s="658">
        <f t="shared" si="16"/>
        <v>2.7729990195850362E-6</v>
      </c>
      <c r="I133" s="659">
        <f t="shared" si="17"/>
        <v>-1.2228305760913539E-5</v>
      </c>
      <c r="J133" s="655"/>
    </row>
    <row r="134" spans="1:10" ht="13.5" thickBot="1">
      <c r="A134" s="658" t="s">
        <v>941</v>
      </c>
      <c r="B134" s="658">
        <v>5.4749999999999996</v>
      </c>
      <c r="C134" s="659">
        <v>40180.239999999998</v>
      </c>
      <c r="D134" s="658">
        <f t="shared" si="12"/>
        <v>2.6241799437675573E-2</v>
      </c>
      <c r="E134" s="658">
        <f t="shared" si="13"/>
        <v>5.8037382733071574E-3</v>
      </c>
      <c r="F134" s="659">
        <f t="shared" si="14"/>
        <v>2.711767480807269E-2</v>
      </c>
      <c r="G134" s="658">
        <f t="shared" si="15"/>
        <v>6.7887856093962126E-3</v>
      </c>
      <c r="H134" s="658">
        <f t="shared" si="16"/>
        <v>4.6087610050345107E-5</v>
      </c>
      <c r="I134" s="659">
        <f t="shared" si="17"/>
        <v>1.8409608049733007E-4</v>
      </c>
      <c r="J134" s="655"/>
    </row>
    <row r="135" spans="1:10" ht="13.5" thickBot="1">
      <c r="A135" s="658" t="s">
        <v>940</v>
      </c>
      <c r="B135" s="658">
        <v>5.335</v>
      </c>
      <c r="C135" s="659">
        <v>39948.39</v>
      </c>
      <c r="D135" s="658">
        <f t="shared" si="12"/>
        <v>3.8948393378773094E-2</v>
      </c>
      <c r="E135" s="658">
        <f t="shared" si="13"/>
        <v>1.292231624988105E-2</v>
      </c>
      <c r="F135" s="659">
        <f t="shared" si="14"/>
        <v>3.9824268749170215E-2</v>
      </c>
      <c r="G135" s="658">
        <f t="shared" si="15"/>
        <v>1.3907363585970105E-2</v>
      </c>
      <c r="H135" s="658">
        <f t="shared" si="16"/>
        <v>1.9341476191236725E-4</v>
      </c>
      <c r="I135" s="659">
        <f t="shared" si="17"/>
        <v>5.5385058504009703E-4</v>
      </c>
      <c r="J135" s="655"/>
    </row>
    <row r="136" spans="1:10" ht="13.5" thickBot="1">
      <c r="A136" s="658" t="s">
        <v>939</v>
      </c>
      <c r="B136" s="658">
        <v>5.1349999999999998</v>
      </c>
      <c r="C136" s="659">
        <v>39438.75</v>
      </c>
      <c r="D136" s="658">
        <f t="shared" si="12"/>
        <v>-3.1132075471698162E-2</v>
      </c>
      <c r="E136" s="658">
        <f t="shared" si="13"/>
        <v>-1.2282496159450318E-2</v>
      </c>
      <c r="F136" s="659">
        <f t="shared" si="14"/>
        <v>-3.0256200101301044E-2</v>
      </c>
      <c r="G136" s="658">
        <f t="shared" si="15"/>
        <v>-1.1297448823361263E-2</v>
      </c>
      <c r="H136" s="658">
        <f t="shared" si="16"/>
        <v>1.2763234991646679E-4</v>
      </c>
      <c r="I136" s="659">
        <f t="shared" si="17"/>
        <v>3.4181787223382641E-4</v>
      </c>
      <c r="J136" s="655"/>
    </row>
    <row r="137" spans="1:10" ht="13.5" thickBot="1">
      <c r="A137" s="658" t="s">
        <v>938</v>
      </c>
      <c r="B137" s="658">
        <v>5.3</v>
      </c>
      <c r="C137" s="659">
        <v>39929.18</v>
      </c>
      <c r="D137" s="658">
        <f t="shared" si="12"/>
        <v>2.316602316602312E-2</v>
      </c>
      <c r="E137" s="658">
        <f t="shared" si="13"/>
        <v>1.3759793151179478E-2</v>
      </c>
      <c r="F137" s="659">
        <f t="shared" si="14"/>
        <v>2.4041898536420237E-2</v>
      </c>
      <c r="G137" s="658">
        <f t="shared" si="15"/>
        <v>1.4744840487268533E-2</v>
      </c>
      <c r="H137" s="658">
        <f t="shared" si="16"/>
        <v>2.1741032099499336E-4</v>
      </c>
      <c r="I137" s="659">
        <f t="shared" si="17"/>
        <v>3.5449395893061118E-4</v>
      </c>
      <c r="J137" s="655"/>
    </row>
    <row r="138" spans="1:10" ht="13.5" thickBot="1">
      <c r="A138" s="658" t="s">
        <v>937</v>
      </c>
      <c r="B138" s="658">
        <v>5.18</v>
      </c>
      <c r="C138" s="659">
        <v>39387.22</v>
      </c>
      <c r="D138" s="658">
        <f t="shared" si="12"/>
        <v>1.2707722385141729E-2</v>
      </c>
      <c r="E138" s="658">
        <f t="shared" si="13"/>
        <v>-7.9632437571997006E-4</v>
      </c>
      <c r="F138" s="659">
        <f t="shared" si="14"/>
        <v>1.3583597755538846E-2</v>
      </c>
      <c r="G138" s="658">
        <f t="shared" si="15"/>
        <v>1.8872296036908558E-4</v>
      </c>
      <c r="H138" s="658">
        <f t="shared" si="16"/>
        <v>3.5616355770471449E-8</v>
      </c>
      <c r="I138" s="659">
        <f t="shared" si="17"/>
        <v>2.5635367808881574E-6</v>
      </c>
      <c r="J138" s="655"/>
    </row>
    <row r="139" spans="1:10" ht="13.5" thickBot="1">
      <c r="A139" s="658" t="s">
        <v>936</v>
      </c>
      <c r="B139" s="658">
        <v>5.1150000000000002</v>
      </c>
      <c r="C139" s="659">
        <v>39418.61</v>
      </c>
      <c r="D139" s="658">
        <f t="shared" si="12"/>
        <v>3.125E-2</v>
      </c>
      <c r="E139" s="658">
        <f t="shared" si="13"/>
        <v>1.2234032035691733E-2</v>
      </c>
      <c r="F139" s="659">
        <f t="shared" si="14"/>
        <v>3.2125875370397121E-2</v>
      </c>
      <c r="G139" s="658">
        <f t="shared" si="15"/>
        <v>1.3219079371780788E-2</v>
      </c>
      <c r="H139" s="658">
        <f t="shared" si="16"/>
        <v>1.7474405943744035E-4</v>
      </c>
      <c r="I139" s="659">
        <f t="shared" si="17"/>
        <v>4.2467449640921706E-4</v>
      </c>
      <c r="J139" s="655"/>
    </row>
    <row r="140" spans="1:10" ht="13.5" thickBot="1">
      <c r="A140" s="658" t="s">
        <v>935</v>
      </c>
      <c r="B140" s="658">
        <v>4.96</v>
      </c>
      <c r="C140" s="659">
        <v>38942.19</v>
      </c>
      <c r="D140" s="658">
        <f t="shared" si="12"/>
        <v>3.642250101173472E-3</v>
      </c>
      <c r="E140" s="658">
        <f t="shared" si="13"/>
        <v>-7.370635983722118E-3</v>
      </c>
      <c r="F140" s="659">
        <f t="shared" si="14"/>
        <v>4.5181254715705903E-3</v>
      </c>
      <c r="G140" s="658">
        <f t="shared" si="15"/>
        <v>-6.3855886476330628E-3</v>
      </c>
      <c r="H140" s="658">
        <f t="shared" si="16"/>
        <v>4.077574237678025E-5</v>
      </c>
      <c r="I140" s="659">
        <f t="shared" si="17"/>
        <v>-2.8850890719842938E-5</v>
      </c>
      <c r="J140" s="655"/>
    </row>
    <row r="141" spans="1:10" ht="13.5" thickBot="1">
      <c r="A141" s="658" t="s">
        <v>934</v>
      </c>
      <c r="B141" s="658">
        <v>4.9420000000000002</v>
      </c>
      <c r="C141" s="659">
        <v>39231.35</v>
      </c>
      <c r="D141" s="658">
        <f t="shared" si="12"/>
        <v>1.6214025131739973E-3</v>
      </c>
      <c r="E141" s="658">
        <f t="shared" si="13"/>
        <v>1.0062689702066141E-2</v>
      </c>
      <c r="F141" s="659">
        <f t="shared" si="14"/>
        <v>2.4972778835711156E-3</v>
      </c>
      <c r="G141" s="658">
        <f t="shared" si="15"/>
        <v>1.1047737038155196E-2</v>
      </c>
      <c r="H141" s="658">
        <f t="shared" si="16"/>
        <v>1.2205249366422615E-4</v>
      </c>
      <c r="I141" s="659">
        <f t="shared" si="17"/>
        <v>2.7589269368894435E-5</v>
      </c>
      <c r="J141" s="655"/>
    </row>
    <row r="142" spans="1:10" ht="13.5" thickBot="1">
      <c r="A142" s="658" t="s">
        <v>933</v>
      </c>
      <c r="B142" s="658">
        <v>4.9340000000000002</v>
      </c>
      <c r="C142" s="659">
        <v>38840.51</v>
      </c>
      <c r="D142" s="658">
        <f t="shared" si="12"/>
        <v>-1.5169660678642671E-2</v>
      </c>
      <c r="E142" s="658">
        <f t="shared" si="13"/>
        <v>-1.6059751039026127E-2</v>
      </c>
      <c r="F142" s="659">
        <f t="shared" si="14"/>
        <v>-1.4293785308245554E-2</v>
      </c>
      <c r="G142" s="658">
        <f t="shared" si="15"/>
        <v>-1.5074703702937071E-2</v>
      </c>
      <c r="H142" s="658">
        <f t="shared" si="16"/>
        <v>2.2724669173134466E-4</v>
      </c>
      <c r="I142" s="659">
        <f t="shared" si="17"/>
        <v>2.1547457831519676E-4</v>
      </c>
      <c r="J142" s="655"/>
    </row>
    <row r="143" spans="1:10" ht="13.5" thickBot="1">
      <c r="A143" s="658" t="s">
        <v>932</v>
      </c>
      <c r="B143" s="658">
        <v>5.01</v>
      </c>
      <c r="C143" s="659">
        <v>39474.46</v>
      </c>
      <c r="D143" s="658">
        <f t="shared" si="12"/>
        <v>-1.9920318725099584E-3</v>
      </c>
      <c r="E143" s="658">
        <f t="shared" si="13"/>
        <v>3.9502389930197168E-3</v>
      </c>
      <c r="F143" s="659">
        <f t="shared" si="14"/>
        <v>-1.1161565021128401E-3</v>
      </c>
      <c r="G143" s="658">
        <f t="shared" si="15"/>
        <v>4.935286329108772E-3</v>
      </c>
      <c r="H143" s="658">
        <f t="shared" si="16"/>
        <v>2.4357051150287938E-5</v>
      </c>
      <c r="I143" s="659">
        <f t="shared" si="17"/>
        <v>-5.5085519260233658E-6</v>
      </c>
      <c r="J143" s="655"/>
    </row>
    <row r="144" spans="1:10" ht="13.5" thickBot="1">
      <c r="A144" s="658" t="s">
        <v>931</v>
      </c>
      <c r="B144" s="658">
        <v>5.0199999999999996</v>
      </c>
      <c r="C144" s="659">
        <v>39319.14</v>
      </c>
      <c r="D144" s="658">
        <f t="shared" si="12"/>
        <v>2.1986970684038987E-2</v>
      </c>
      <c r="E144" s="658">
        <f t="shared" si="13"/>
        <v>-8.1776164052438371E-4</v>
      </c>
      <c r="F144" s="659">
        <f t="shared" si="14"/>
        <v>2.2862846054436104E-2</v>
      </c>
      <c r="G144" s="658">
        <f t="shared" si="15"/>
        <v>1.6728569556467192E-4</v>
      </c>
      <c r="H144" s="658">
        <f t="shared" si="16"/>
        <v>2.7984503940556094E-8</v>
      </c>
      <c r="I144" s="659">
        <f t="shared" si="17"/>
        <v>3.8246271048043584E-6</v>
      </c>
      <c r="J144" s="655"/>
    </row>
    <row r="145" spans="1:10" ht="13.5" thickBot="1">
      <c r="A145" s="658" t="s">
        <v>930</v>
      </c>
      <c r="B145" s="658">
        <v>4.9119999999999999</v>
      </c>
      <c r="C145" s="659">
        <v>39351.32</v>
      </c>
      <c r="D145" s="658">
        <f t="shared" si="12"/>
        <v>-1.602564102564108E-2</v>
      </c>
      <c r="E145" s="658">
        <f t="shared" si="13"/>
        <v>-9.8356382294794154E-3</v>
      </c>
      <c r="F145" s="659">
        <f t="shared" si="14"/>
        <v>-1.5149765655243962E-2</v>
      </c>
      <c r="G145" s="658">
        <f t="shared" si="15"/>
        <v>-8.8505908933903601E-3</v>
      </c>
      <c r="H145" s="658">
        <f t="shared" si="16"/>
        <v>7.8332959162164375E-5</v>
      </c>
      <c r="I145" s="659">
        <f t="shared" si="17"/>
        <v>1.3408437794530025E-4</v>
      </c>
      <c r="J145" s="655"/>
    </row>
    <row r="146" spans="1:10" ht="13.5" thickBot="1">
      <c r="A146" s="658" t="s">
        <v>929</v>
      </c>
      <c r="B146" s="658">
        <v>4.992</v>
      </c>
      <c r="C146" s="659">
        <v>39742.21</v>
      </c>
      <c r="D146" s="658">
        <f t="shared" si="12"/>
        <v>-1.6000000000000458E-3</v>
      </c>
      <c r="E146" s="658">
        <f t="shared" si="13"/>
        <v>-1.256778335061548E-3</v>
      </c>
      <c r="F146" s="659">
        <f t="shared" si="14"/>
        <v>-7.2412462960292766E-4</v>
      </c>
      <c r="G146" s="658">
        <f t="shared" si="15"/>
        <v>-2.7173099897249238E-4</v>
      </c>
      <c r="H146" s="658">
        <f t="shared" si="16"/>
        <v>7.3837735802588659E-8</v>
      </c>
      <c r="I146" s="659">
        <f t="shared" si="17"/>
        <v>1.9676710898258956E-7</v>
      </c>
      <c r="J146" s="655"/>
    </row>
    <row r="147" spans="1:10" ht="13.5" thickBot="1">
      <c r="A147" s="658" t="s">
        <v>928</v>
      </c>
      <c r="B147" s="658">
        <v>5</v>
      </c>
      <c r="C147" s="659">
        <v>39792.22</v>
      </c>
      <c r="D147" s="658">
        <f t="shared" si="12"/>
        <v>-2.9126213592233108E-2</v>
      </c>
      <c r="E147" s="658">
        <f t="shared" si="13"/>
        <v>5.8370174893140891E-3</v>
      </c>
      <c r="F147" s="659">
        <f t="shared" si="14"/>
        <v>-2.825033822183599E-2</v>
      </c>
      <c r="G147" s="658">
        <f t="shared" si="15"/>
        <v>6.8220648254031444E-3</v>
      </c>
      <c r="H147" s="658">
        <f t="shared" si="16"/>
        <v>4.6540568482002837E-5</v>
      </c>
      <c r="I147" s="659">
        <f t="shared" si="17"/>
        <v>-1.9272563868892931E-4</v>
      </c>
      <c r="J147" s="655"/>
    </row>
    <row r="148" spans="1:10" ht="13.5" thickBot="1">
      <c r="A148" s="658" t="s">
        <v>927</v>
      </c>
      <c r="B148" s="658">
        <v>5.15</v>
      </c>
      <c r="C148" s="659">
        <v>39561.300000000003</v>
      </c>
      <c r="D148" s="658">
        <f t="shared" si="12"/>
        <v>-1.717557251908397E-2</v>
      </c>
      <c r="E148" s="658">
        <f t="shared" si="13"/>
        <v>-5.62972033877851E-3</v>
      </c>
      <c r="F148" s="659">
        <f t="shared" si="14"/>
        <v>-1.6299697148686853E-2</v>
      </c>
      <c r="G148" s="658">
        <f t="shared" si="15"/>
        <v>-4.6446730026894548E-3</v>
      </c>
      <c r="H148" s="658">
        <f t="shared" si="16"/>
        <v>2.1572987301912276E-5</v>
      </c>
      <c r="I148" s="659">
        <f t="shared" si="17"/>
        <v>7.5706763298520103E-5</v>
      </c>
      <c r="J148" s="655"/>
    </row>
    <row r="149" spans="1:10" ht="13.5" thickBot="1">
      <c r="A149" s="658" t="s">
        <v>926</v>
      </c>
      <c r="B149" s="658">
        <v>5.24</v>
      </c>
      <c r="C149" s="659">
        <v>39785.279999999999</v>
      </c>
      <c r="D149" s="658">
        <f t="shared" si="12"/>
        <v>9.5510983763125168E-4</v>
      </c>
      <c r="E149" s="658">
        <f t="shared" si="13"/>
        <v>-3.9523673020280814E-3</v>
      </c>
      <c r="F149" s="659">
        <f t="shared" si="14"/>
        <v>1.83098520802837E-3</v>
      </c>
      <c r="G149" s="658">
        <f t="shared" si="15"/>
        <v>-2.9673199659390258E-3</v>
      </c>
      <c r="H149" s="658">
        <f t="shared" si="16"/>
        <v>8.8049877802603802E-6</v>
      </c>
      <c r="I149" s="659">
        <f t="shared" si="17"/>
        <v>-5.4331189651216024E-6</v>
      </c>
      <c r="J149" s="655"/>
    </row>
    <row r="150" spans="1:10" ht="13.5" thickBot="1">
      <c r="A150" s="658" t="s">
        <v>925</v>
      </c>
      <c r="B150" s="658">
        <v>5.2350000000000003</v>
      </c>
      <c r="C150" s="659">
        <v>39943.15</v>
      </c>
      <c r="D150" s="658">
        <f t="shared" si="12"/>
        <v>1.650485436893212E-2</v>
      </c>
      <c r="E150" s="658">
        <f t="shared" si="13"/>
        <v>8.1025467851156829E-3</v>
      </c>
      <c r="F150" s="659">
        <f t="shared" si="14"/>
        <v>1.7380729739329238E-2</v>
      </c>
      <c r="G150" s="658">
        <f t="shared" si="15"/>
        <v>9.0875941212047381E-3</v>
      </c>
      <c r="H150" s="658">
        <f t="shared" si="16"/>
        <v>8.258436691175492E-5</v>
      </c>
      <c r="I150" s="659">
        <f t="shared" si="17"/>
        <v>1.5794901740137676E-4</v>
      </c>
      <c r="J150" s="655"/>
    </row>
    <row r="151" spans="1:10" ht="13.5" thickBot="1">
      <c r="A151" s="658" t="s">
        <v>924</v>
      </c>
      <c r="B151" s="658">
        <v>5.15</v>
      </c>
      <c r="C151" s="659">
        <v>39622.11</v>
      </c>
      <c r="D151" s="658">
        <f t="shared" si="12"/>
        <v>-9.6993210475260216E-4</v>
      </c>
      <c r="E151" s="658">
        <f t="shared" si="13"/>
        <v>-7.3191905146657854E-3</v>
      </c>
      <c r="F151" s="659">
        <f t="shared" si="14"/>
        <v>-9.4056734355483997E-5</v>
      </c>
      <c r="G151" s="658">
        <f t="shared" si="15"/>
        <v>-6.3341431785767302E-3</v>
      </c>
      <c r="H151" s="658">
        <f t="shared" si="16"/>
        <v>4.012136980671012E-5</v>
      </c>
      <c r="I151" s="659">
        <f t="shared" si="17"/>
        <v>5.9576882231699251E-7</v>
      </c>
      <c r="J151" s="655"/>
    </row>
    <row r="152" spans="1:10" ht="13.5" thickBot="1">
      <c r="A152" s="658" t="s">
        <v>923</v>
      </c>
      <c r="B152" s="658">
        <v>5.1550000000000002</v>
      </c>
      <c r="C152" s="659">
        <v>39914.25</v>
      </c>
      <c r="D152" s="658">
        <f t="shared" si="12"/>
        <v>-2.274881516587679E-2</v>
      </c>
      <c r="E152" s="658">
        <f t="shared" si="13"/>
        <v>-6.6787581297585996E-3</v>
      </c>
      <c r="F152" s="659">
        <f t="shared" si="14"/>
        <v>-2.1872939795479673E-2</v>
      </c>
      <c r="G152" s="658">
        <f t="shared" si="15"/>
        <v>-5.6937107936695444E-3</v>
      </c>
      <c r="H152" s="658">
        <f t="shared" si="16"/>
        <v>3.2418342601949076E-5</v>
      </c>
      <c r="I152" s="659">
        <f t="shared" si="17"/>
        <v>1.2453819340280673E-4</v>
      </c>
      <c r="J152" s="655"/>
    </row>
    <row r="153" spans="1:10" ht="13.5" thickBot="1">
      <c r="A153" s="658" t="s">
        <v>922</v>
      </c>
      <c r="B153" s="658">
        <v>5.2750000000000004</v>
      </c>
      <c r="C153" s="659">
        <v>40182.620000000003</v>
      </c>
      <c r="D153" s="658">
        <f t="shared" si="12"/>
        <v>-1.8921475875117721E-3</v>
      </c>
      <c r="E153" s="658">
        <f t="shared" si="13"/>
        <v>-1.5645994702276678E-2</v>
      </c>
      <c r="F153" s="659">
        <f t="shared" si="14"/>
        <v>-1.0162722171146539E-3</v>
      </c>
      <c r="G153" s="658">
        <f t="shared" si="15"/>
        <v>-1.4660947366187622E-2</v>
      </c>
      <c r="H153" s="658">
        <f t="shared" si="16"/>
        <v>2.1494337767412379E-4</v>
      </c>
      <c r="I153" s="659">
        <f t="shared" si="17"/>
        <v>1.489951348483674E-5</v>
      </c>
      <c r="J153" s="655"/>
    </row>
    <row r="154" spans="1:10" ht="13.5" thickBot="1">
      <c r="A154" s="658" t="s">
        <v>921</v>
      </c>
      <c r="B154" s="658">
        <v>5.2850000000000001</v>
      </c>
      <c r="C154" s="659">
        <v>40821.31</v>
      </c>
      <c r="D154" s="658">
        <f t="shared" si="12"/>
        <v>-1.582867783985098E-2</v>
      </c>
      <c r="E154" s="658">
        <f t="shared" si="13"/>
        <v>7.2329937423771806E-3</v>
      </c>
      <c r="F154" s="659">
        <f t="shared" si="14"/>
        <v>-1.4952802469453862E-2</v>
      </c>
      <c r="G154" s="658">
        <f t="shared" si="15"/>
        <v>8.2180410784662358E-3</v>
      </c>
      <c r="H154" s="658">
        <f t="shared" si="16"/>
        <v>6.7536199167358494E-5</v>
      </c>
      <c r="I154" s="659">
        <f t="shared" si="17"/>
        <v>-1.228827449321632E-4</v>
      </c>
      <c r="J154" s="655"/>
    </row>
    <row r="155" spans="1:10" ht="13.5" thickBot="1">
      <c r="A155" s="658" t="s">
        <v>920</v>
      </c>
      <c r="B155" s="658">
        <v>5.37</v>
      </c>
      <c r="C155" s="659">
        <v>40528.17</v>
      </c>
      <c r="D155" s="658">
        <f t="shared" si="12"/>
        <v>1.512287334593565E-2</v>
      </c>
      <c r="E155" s="658">
        <f t="shared" si="13"/>
        <v>1.1235374725409697E-2</v>
      </c>
      <c r="F155" s="659">
        <f t="shared" si="14"/>
        <v>1.5998748716332768E-2</v>
      </c>
      <c r="G155" s="658">
        <f t="shared" si="15"/>
        <v>1.2220422061498752E-2</v>
      </c>
      <c r="H155" s="658">
        <f t="shared" si="16"/>
        <v>1.493387153611654E-4</v>
      </c>
      <c r="I155" s="659">
        <f t="shared" si="17"/>
        <v>1.9551146176944779E-4</v>
      </c>
      <c r="J155" s="655"/>
    </row>
    <row r="156" spans="1:10" ht="13.5" thickBot="1">
      <c r="A156" s="658" t="s">
        <v>919</v>
      </c>
      <c r="B156" s="658">
        <v>5.29</v>
      </c>
      <c r="C156" s="659">
        <v>40077.879999999997</v>
      </c>
      <c r="D156" s="658">
        <f t="shared" si="12"/>
        <v>2.818270165208947E-2</v>
      </c>
      <c r="E156" s="658">
        <f t="shared" si="13"/>
        <v>-2.6991752174556627E-3</v>
      </c>
      <c r="F156" s="659">
        <f t="shared" si="14"/>
        <v>2.9058577022486588E-2</v>
      </c>
      <c r="G156" s="658">
        <f t="shared" si="15"/>
        <v>-1.7141278813666071E-3</v>
      </c>
      <c r="H156" s="658">
        <f t="shared" si="16"/>
        <v>2.9382343936783728E-6</v>
      </c>
      <c r="I156" s="659">
        <f t="shared" si="17"/>
        <v>-4.9810117067083301E-5</v>
      </c>
      <c r="J156" s="655"/>
    </row>
    <row r="157" spans="1:10" ht="13.5" thickBot="1">
      <c r="A157" s="658" t="s">
        <v>918</v>
      </c>
      <c r="B157" s="658">
        <v>5.1449999999999996</v>
      </c>
      <c r="C157" s="659">
        <v>40186.35</v>
      </c>
      <c r="D157" s="658">
        <f t="shared" si="12"/>
        <v>7.8354554358470718E-3</v>
      </c>
      <c r="E157" s="658">
        <f t="shared" si="13"/>
        <v>6.64057362933268E-3</v>
      </c>
      <c r="F157" s="659">
        <f t="shared" si="14"/>
        <v>8.7113308062441892E-3</v>
      </c>
      <c r="G157" s="658">
        <f t="shared" si="15"/>
        <v>7.6256209654217352E-3</v>
      </c>
      <c r="H157" s="658">
        <f t="shared" si="16"/>
        <v>5.8150095108279519E-5</v>
      </c>
      <c r="I157" s="659">
        <f t="shared" si="17"/>
        <v>6.6429306832819918E-5</v>
      </c>
      <c r="J157" s="655"/>
    </row>
    <row r="158" spans="1:10" ht="13.5" thickBot="1">
      <c r="A158" s="658" t="s">
        <v>917</v>
      </c>
      <c r="B158" s="658">
        <v>5.1050000000000004</v>
      </c>
      <c r="C158" s="659">
        <v>39921.25</v>
      </c>
      <c r="D158" s="658">
        <f t="shared" si="12"/>
        <v>1.9980019980020192E-2</v>
      </c>
      <c r="E158" s="658">
        <f t="shared" si="13"/>
        <v>3.9919502083873848E-3</v>
      </c>
      <c r="F158" s="659">
        <f t="shared" si="14"/>
        <v>2.0855895350417309E-2</v>
      </c>
      <c r="G158" s="658">
        <f t="shared" si="15"/>
        <v>4.97699754447644E-3</v>
      </c>
      <c r="H158" s="658">
        <f t="shared" si="16"/>
        <v>2.4770504557724514E-5</v>
      </c>
      <c r="I158" s="659">
        <f t="shared" si="17"/>
        <v>1.0379973994688455E-4</v>
      </c>
      <c r="J158" s="655"/>
    </row>
    <row r="159" spans="1:10" ht="13.5" thickBot="1">
      <c r="A159" s="658" t="s">
        <v>916</v>
      </c>
      <c r="B159" s="658">
        <v>5.0049999999999999</v>
      </c>
      <c r="C159" s="659">
        <v>39762.519999999997</v>
      </c>
      <c r="D159" s="658">
        <f t="shared" si="12"/>
        <v>-7.928642220019877E-3</v>
      </c>
      <c r="E159" s="658">
        <f t="shared" si="13"/>
        <v>-9.1251398624924152E-3</v>
      </c>
      <c r="F159" s="659">
        <f t="shared" si="14"/>
        <v>-7.0527668496227587E-3</v>
      </c>
      <c r="G159" s="658">
        <f t="shared" si="15"/>
        <v>-8.14009252640336E-3</v>
      </c>
      <c r="H159" s="658">
        <f t="shared" si="16"/>
        <v>6.6261106338407841E-5</v>
      </c>
      <c r="I159" s="659">
        <f t="shared" si="17"/>
        <v>5.7410174723079586E-5</v>
      </c>
      <c r="J159" s="655"/>
    </row>
    <row r="160" spans="1:10" ht="13.5" thickBot="1">
      <c r="A160" s="658" t="s">
        <v>915</v>
      </c>
      <c r="B160" s="658">
        <v>5.0449999999999999</v>
      </c>
      <c r="C160" s="659">
        <v>40128.699999999997</v>
      </c>
      <c r="D160" s="658">
        <f t="shared" si="12"/>
        <v>-6.8897637795275468E-3</v>
      </c>
      <c r="E160" s="658">
        <f t="shared" si="13"/>
        <v>-4.5467862043030438E-3</v>
      </c>
      <c r="F160" s="659">
        <f t="shared" si="14"/>
        <v>-6.0138884091304285E-3</v>
      </c>
      <c r="G160" s="658">
        <f t="shared" si="15"/>
        <v>-3.5617388682139882E-3</v>
      </c>
      <c r="H160" s="658">
        <f t="shared" si="16"/>
        <v>1.2685983765346261E-5</v>
      </c>
      <c r="I160" s="659">
        <f t="shared" si="17"/>
        <v>2.1419900095901434E-5</v>
      </c>
      <c r="J160" s="655"/>
    </row>
    <row r="161" spans="1:10" ht="13.5" thickBot="1">
      <c r="A161" s="658" t="s">
        <v>914</v>
      </c>
      <c r="B161" s="658">
        <v>5.08</v>
      </c>
      <c r="C161" s="659">
        <v>40311.99</v>
      </c>
      <c r="D161" s="658">
        <f t="shared" si="12"/>
        <v>-7.8125E-3</v>
      </c>
      <c r="E161" s="658">
        <f t="shared" si="13"/>
        <v>3.6196740575502595E-3</v>
      </c>
      <c r="F161" s="659">
        <f t="shared" si="14"/>
        <v>-6.9366246296028817E-3</v>
      </c>
      <c r="G161" s="658">
        <f t="shared" si="15"/>
        <v>4.6047213936393147E-3</v>
      </c>
      <c r="H161" s="658">
        <f t="shared" si="16"/>
        <v>2.1203459113039592E-5</v>
      </c>
      <c r="I161" s="659">
        <f t="shared" si="17"/>
        <v>-3.1941223831577775E-5</v>
      </c>
      <c r="J161" s="655"/>
    </row>
    <row r="162" spans="1:10" ht="13.5" thickBot="1">
      <c r="A162" s="658" t="s">
        <v>913</v>
      </c>
      <c r="B162" s="658">
        <v>5.12</v>
      </c>
      <c r="C162" s="659">
        <v>40166.6</v>
      </c>
      <c r="D162" s="658">
        <f t="shared" si="12"/>
        <v>-2.9211295034079487E-3</v>
      </c>
      <c r="E162" s="658">
        <f t="shared" si="13"/>
        <v>3.6100948209938366E-5</v>
      </c>
      <c r="F162" s="659">
        <f t="shared" si="14"/>
        <v>-2.0452541330108305E-3</v>
      </c>
      <c r="G162" s="658">
        <f t="shared" si="15"/>
        <v>1.021148284298994E-3</v>
      </c>
      <c r="H162" s="658">
        <f t="shared" si="16"/>
        <v>1.042743818526779E-6</v>
      </c>
      <c r="I162" s="659">
        <f t="shared" si="17"/>
        <v>-2.0885077488794359E-6</v>
      </c>
      <c r="J162" s="655"/>
    </row>
    <row r="163" spans="1:10" ht="13.5" thickBot="1">
      <c r="A163" s="658" t="s">
        <v>912</v>
      </c>
      <c r="B163" s="658">
        <v>5.1349999999999998</v>
      </c>
      <c r="C163" s="659">
        <v>40165.15</v>
      </c>
      <c r="D163" s="658">
        <f t="shared" si="12"/>
        <v>-2.838221381267747E-2</v>
      </c>
      <c r="E163" s="658">
        <f t="shared" si="13"/>
        <v>-1.3080413558673953E-2</v>
      </c>
      <c r="F163" s="659">
        <f t="shared" si="14"/>
        <v>-2.7506338442280353E-2</v>
      </c>
      <c r="G163" s="658">
        <f t="shared" si="15"/>
        <v>-1.2095366222584898E-2</v>
      </c>
      <c r="H163" s="658">
        <f t="shared" si="16"/>
        <v>1.4629788405844766E-4</v>
      </c>
      <c r="I163" s="659">
        <f t="shared" si="17"/>
        <v>3.3269923690174626E-4</v>
      </c>
      <c r="J163" s="655"/>
    </row>
    <row r="164" spans="1:10" ht="13.5" thickBot="1">
      <c r="A164" s="658" t="s">
        <v>911</v>
      </c>
      <c r="B164" s="658">
        <v>5.2850000000000001</v>
      </c>
      <c r="C164" s="659">
        <v>40697.49</v>
      </c>
      <c r="D164" s="658">
        <f t="shared" si="12"/>
        <v>1.8957345971564177E-3</v>
      </c>
      <c r="E164" s="658">
        <f t="shared" si="13"/>
        <v>2.4091322887274114E-3</v>
      </c>
      <c r="F164" s="659">
        <f t="shared" si="14"/>
        <v>2.771609967553536E-3</v>
      </c>
      <c r="G164" s="658">
        <f t="shared" si="15"/>
        <v>3.394179624816467E-3</v>
      </c>
      <c r="H164" s="658">
        <f t="shared" si="16"/>
        <v>1.1520455325519252E-5</v>
      </c>
      <c r="I164" s="659">
        <f t="shared" si="17"/>
        <v>9.4073420798084408E-6</v>
      </c>
      <c r="J164" s="655"/>
    </row>
    <row r="165" spans="1:10" ht="13.5" thickBot="1">
      <c r="A165" s="658" t="s">
        <v>910</v>
      </c>
      <c r="B165" s="658">
        <v>5.2750000000000004</v>
      </c>
      <c r="C165" s="659">
        <v>40599.68</v>
      </c>
      <c r="D165" s="658">
        <f t="shared" si="12"/>
        <v>-1.4018691588784882E-2</v>
      </c>
      <c r="E165" s="658">
        <f t="shared" si="13"/>
        <v>-3.1080683568783796E-3</v>
      </c>
      <c r="F165" s="659">
        <f t="shared" si="14"/>
        <v>-1.3142816218387764E-2</v>
      </c>
      <c r="G165" s="658">
        <f t="shared" si="15"/>
        <v>-2.1230210207893239E-3</v>
      </c>
      <c r="H165" s="658">
        <f t="shared" si="16"/>
        <v>4.5072182547133434E-6</v>
      </c>
      <c r="I165" s="659">
        <f t="shared" si="17"/>
        <v>2.7902475104008074E-5</v>
      </c>
      <c r="J165" s="655"/>
    </row>
    <row r="166" spans="1:10" ht="13.5" thickBot="1">
      <c r="A166" s="658" t="s">
        <v>909</v>
      </c>
      <c r="B166" s="658">
        <v>5.35</v>
      </c>
      <c r="C166" s="659">
        <v>40726.26</v>
      </c>
      <c r="D166" s="658">
        <f t="shared" si="12"/>
        <v>1.904761904761898E-2</v>
      </c>
      <c r="E166" s="658">
        <f t="shared" si="13"/>
        <v>-1.4926714252105899E-4</v>
      </c>
      <c r="F166" s="659">
        <f t="shared" si="14"/>
        <v>1.9923494418016097E-2</v>
      </c>
      <c r="G166" s="658">
        <f t="shared" si="15"/>
        <v>8.3578019356799664E-4</v>
      </c>
      <c r="H166" s="658">
        <f t="shared" si="16"/>
        <v>6.9852853196055793E-7</v>
      </c>
      <c r="I166" s="659">
        <f t="shared" si="17"/>
        <v>1.6651662021240396E-5</v>
      </c>
      <c r="J166" s="655"/>
    </row>
    <row r="167" spans="1:10" ht="13.5" thickBot="1">
      <c r="A167" s="658" t="s">
        <v>908</v>
      </c>
      <c r="B167" s="658">
        <v>5.25</v>
      </c>
      <c r="C167" s="659">
        <v>40732.339999999997</v>
      </c>
      <c r="D167" s="658">
        <f t="shared" si="12"/>
        <v>2.2395326192794496E-2</v>
      </c>
      <c r="E167" s="658">
        <f t="shared" si="13"/>
        <v>-1.2173600091768266E-2</v>
      </c>
      <c r="F167" s="659">
        <f t="shared" si="14"/>
        <v>2.3271201563191613E-2</v>
      </c>
      <c r="G167" s="658">
        <f t="shared" si="15"/>
        <v>-1.1188552755679211E-2</v>
      </c>
      <c r="H167" s="658">
        <f t="shared" si="16"/>
        <v>1.2518371276661687E-4</v>
      </c>
      <c r="I167" s="659">
        <f t="shared" si="17"/>
        <v>-2.6037106637781391E-4</v>
      </c>
      <c r="J167" s="655"/>
    </row>
    <row r="168" spans="1:10" ht="13.5" thickBot="1">
      <c r="A168" s="658" t="s">
        <v>907</v>
      </c>
      <c r="B168" s="658">
        <v>5.1349999999999998</v>
      </c>
      <c r="C168" s="659">
        <v>41234.31</v>
      </c>
      <c r="D168" s="658">
        <f t="shared" si="12"/>
        <v>-1.1549566891241647E-2</v>
      </c>
      <c r="E168" s="658">
        <f t="shared" si="13"/>
        <v>-9.6888086838549103E-3</v>
      </c>
      <c r="F168" s="659">
        <f t="shared" si="14"/>
        <v>-1.067369152084453E-2</v>
      </c>
      <c r="G168" s="658">
        <f t="shared" si="15"/>
        <v>-8.7037613477658551E-3</v>
      </c>
      <c r="H168" s="658">
        <f t="shared" si="16"/>
        <v>7.5755461598862888E-5</v>
      </c>
      <c r="I168" s="659">
        <f t="shared" si="17"/>
        <v>9.2901263697102766E-5</v>
      </c>
      <c r="J168" s="655"/>
    </row>
    <row r="169" spans="1:10" ht="13.5" thickBot="1">
      <c r="A169" s="658" t="s">
        <v>906</v>
      </c>
      <c r="B169" s="658">
        <v>5.1950000000000003</v>
      </c>
      <c r="C169" s="659">
        <v>41637.730000000003</v>
      </c>
      <c r="D169" s="658">
        <f t="shared" si="12"/>
        <v>4.23354735152488E-2</v>
      </c>
      <c r="E169" s="658">
        <f t="shared" si="13"/>
        <v>1.58593958332367E-2</v>
      </c>
      <c r="F169" s="659">
        <f t="shared" si="14"/>
        <v>4.3211348885645921E-2</v>
      </c>
      <c r="G169" s="658">
        <f t="shared" si="15"/>
        <v>1.6844443169325755E-2</v>
      </c>
      <c r="H169" s="658">
        <f t="shared" si="16"/>
        <v>2.8373526568464509E-4</v>
      </c>
      <c r="I169" s="659">
        <f t="shared" si="17"/>
        <v>7.2787111057417053E-4</v>
      </c>
      <c r="J169" s="655"/>
    </row>
    <row r="170" spans="1:10" ht="13.5" thickBot="1">
      <c r="A170" s="658" t="s">
        <v>905</v>
      </c>
      <c r="B170" s="658">
        <v>4.984</v>
      </c>
      <c r="C170" s="659">
        <v>40987.69</v>
      </c>
      <c r="D170" s="658">
        <f t="shared" si="12"/>
        <v>1.4657980456026065E-2</v>
      </c>
      <c r="E170" s="658">
        <f t="shared" si="13"/>
        <v>2.6159144497058584E-2</v>
      </c>
      <c r="F170" s="659">
        <f t="shared" si="14"/>
        <v>1.5533855826423183E-2</v>
      </c>
      <c r="G170" s="658">
        <f t="shared" si="15"/>
        <v>2.7144191833147639E-2</v>
      </c>
      <c r="H170" s="658">
        <f t="shared" si="16"/>
        <v>7.3680715027471901E-4</v>
      </c>
      <c r="I170" s="659">
        <f t="shared" si="17"/>
        <v>4.2165396246088901E-4</v>
      </c>
      <c r="J170" s="655"/>
    </row>
    <row r="171" spans="1:10" ht="13.5" thickBot="1">
      <c r="A171" s="658" t="s">
        <v>904</v>
      </c>
      <c r="B171" s="658">
        <v>4.9119999999999999</v>
      </c>
      <c r="C171" s="659">
        <v>39942.82</v>
      </c>
      <c r="D171" s="658">
        <f t="shared" si="12"/>
        <v>2.8906577293674074E-2</v>
      </c>
      <c r="E171" s="658">
        <f t="shared" si="13"/>
        <v>-1.8540751271949096E-2</v>
      </c>
      <c r="F171" s="659">
        <f t="shared" si="14"/>
        <v>2.9782452664071191E-2</v>
      </c>
      <c r="G171" s="658">
        <f t="shared" si="15"/>
        <v>-1.7555703935860041E-2</v>
      </c>
      <c r="H171" s="658">
        <f t="shared" si="16"/>
        <v>3.0820274068357176E-4</v>
      </c>
      <c r="I171" s="659">
        <f t="shared" si="17"/>
        <v>-5.2285192145420001E-4</v>
      </c>
      <c r="J171" s="655"/>
    </row>
    <row r="172" spans="1:10" ht="13.5" thickBot="1">
      <c r="A172" s="658" t="s">
        <v>903</v>
      </c>
      <c r="B172" s="658">
        <v>4.774</v>
      </c>
      <c r="C172" s="659">
        <v>40697.379999999997</v>
      </c>
      <c r="D172" s="658">
        <f t="shared" si="12"/>
        <v>2.7993109388458226E-2</v>
      </c>
      <c r="E172" s="658">
        <f t="shared" si="13"/>
        <v>-1.1324500190459386E-3</v>
      </c>
      <c r="F172" s="659">
        <f t="shared" si="14"/>
        <v>2.8868984758855343E-2</v>
      </c>
      <c r="G172" s="658">
        <f t="shared" si="15"/>
        <v>-1.4740268295688292E-4</v>
      </c>
      <c r="H172" s="658">
        <f t="shared" si="16"/>
        <v>2.1727550942887345E-8</v>
      </c>
      <c r="I172" s="659">
        <f t="shared" si="17"/>
        <v>-4.2553658076966398E-6</v>
      </c>
      <c r="J172" s="655"/>
    </row>
    <row r="173" spans="1:10" ht="13.5" thickBot="1">
      <c r="A173" s="658" t="s">
        <v>902</v>
      </c>
      <c r="B173" s="658">
        <v>4.6440000000000001</v>
      </c>
      <c r="C173" s="659">
        <v>40743.519999999997</v>
      </c>
      <c r="D173" s="658">
        <f t="shared" si="12"/>
        <v>1.0004349717268379E-2</v>
      </c>
      <c r="E173" s="658">
        <f t="shared" si="13"/>
        <v>-6.4913863124679283E-3</v>
      </c>
      <c r="F173" s="659">
        <f t="shared" si="14"/>
        <v>1.0880225087665497E-2</v>
      </c>
      <c r="G173" s="658">
        <f t="shared" si="15"/>
        <v>-5.5063389763788731E-3</v>
      </c>
      <c r="H173" s="658">
        <f t="shared" si="16"/>
        <v>3.0319768922789134E-5</v>
      </c>
      <c r="I173" s="659">
        <f t="shared" si="17"/>
        <v>-5.9910207471987765E-5</v>
      </c>
      <c r="J173" s="655"/>
    </row>
    <row r="174" spans="1:10" ht="13.5" thickBot="1">
      <c r="A174" s="658" t="s">
        <v>901</v>
      </c>
      <c r="B174" s="658">
        <v>4.5979999999999999</v>
      </c>
      <c r="C174" s="659">
        <v>41009.730000000003</v>
      </c>
      <c r="D174" s="658">
        <f t="shared" si="12"/>
        <v>1.7429193899782813E-3</v>
      </c>
      <c r="E174" s="658">
        <f t="shared" si="13"/>
        <v>-9.2590557000109541E-3</v>
      </c>
      <c r="F174" s="659">
        <f t="shared" si="14"/>
        <v>2.6187947603753996E-3</v>
      </c>
      <c r="G174" s="658">
        <f t="shared" si="15"/>
        <v>-8.2740083639218989E-3</v>
      </c>
      <c r="H174" s="658">
        <f t="shared" si="16"/>
        <v>6.8459214406249539E-5</v>
      </c>
      <c r="I174" s="659">
        <f t="shared" si="17"/>
        <v>-2.1667929750740902E-5</v>
      </c>
      <c r="J174" s="655"/>
    </row>
    <row r="175" spans="1:10" ht="13.5" thickBot="1">
      <c r="A175" s="658" t="s">
        <v>900</v>
      </c>
      <c r="B175" s="658">
        <v>4.59</v>
      </c>
      <c r="C175" s="659">
        <v>41392.99</v>
      </c>
      <c r="D175" s="658">
        <f t="shared" si="12"/>
        <v>-2.1739130434782483E-3</v>
      </c>
      <c r="E175" s="658">
        <f t="shared" si="13"/>
        <v>-5.5465783327159901E-3</v>
      </c>
      <c r="F175" s="659">
        <f t="shared" si="14"/>
        <v>-1.29803767308113E-3</v>
      </c>
      <c r="G175" s="658">
        <f t="shared" si="15"/>
        <v>-4.5615309966269349E-3</v>
      </c>
      <c r="H175" s="658">
        <f t="shared" si="16"/>
        <v>2.0807565033188318E-5</v>
      </c>
      <c r="I175" s="659">
        <f t="shared" si="17"/>
        <v>5.9210390805490747E-6</v>
      </c>
      <c r="J175" s="655"/>
    </row>
    <row r="176" spans="1:10" ht="13.5" thickBot="1">
      <c r="A176" s="658" t="s">
        <v>899</v>
      </c>
      <c r="B176" s="658">
        <v>4.5999999999999996</v>
      </c>
      <c r="C176" s="659">
        <v>41623.86</v>
      </c>
      <c r="D176" s="658">
        <f t="shared" si="12"/>
        <v>3.5569563259792769E-2</v>
      </c>
      <c r="E176" s="658">
        <f t="shared" si="13"/>
        <v>9.6841085630172685E-4</v>
      </c>
      <c r="F176" s="659">
        <f t="shared" si="14"/>
        <v>3.644543863018989E-2</v>
      </c>
      <c r="G176" s="658">
        <f t="shared" si="15"/>
        <v>1.9534581923907825E-3</v>
      </c>
      <c r="H176" s="658">
        <f t="shared" si="16"/>
        <v>3.8159989094186635E-6</v>
      </c>
      <c r="I176" s="659">
        <f t="shared" si="17"/>
        <v>7.1194640667419936E-5</v>
      </c>
      <c r="J176" s="655"/>
    </row>
    <row r="177" spans="1:10" ht="13.5" thickBot="1">
      <c r="A177" s="658" t="s">
        <v>898</v>
      </c>
      <c r="B177" s="658">
        <v>4.4420000000000002</v>
      </c>
      <c r="C177" s="659">
        <v>41583.589999999997</v>
      </c>
      <c r="D177" s="658">
        <f t="shared" si="12"/>
        <v>-6.7084078711986406E-3</v>
      </c>
      <c r="E177" s="658">
        <f t="shared" si="13"/>
        <v>-8.3898050860108375E-3</v>
      </c>
      <c r="F177" s="659">
        <f t="shared" si="14"/>
        <v>-5.8325325008015223E-3</v>
      </c>
      <c r="G177" s="658">
        <f t="shared" si="15"/>
        <v>-7.4047577499217823E-3</v>
      </c>
      <c r="H177" s="658">
        <f t="shared" si="16"/>
        <v>5.4830437335026695E-5</v>
      </c>
      <c r="I177" s="659">
        <f t="shared" si="17"/>
        <v>4.3188490236980744E-5</v>
      </c>
      <c r="J177" s="655"/>
    </row>
    <row r="178" spans="1:10" ht="13.5" thickBot="1">
      <c r="A178" s="658" t="s">
        <v>897</v>
      </c>
      <c r="B178" s="658">
        <v>4.4720000000000004</v>
      </c>
      <c r="C178" s="659">
        <v>41935.42</v>
      </c>
      <c r="D178" s="658">
        <f t="shared" si="12"/>
        <v>-8.4257206208424584E-3</v>
      </c>
      <c r="E178" s="658">
        <f t="shared" si="13"/>
        <v>-5.948603778898387E-3</v>
      </c>
      <c r="F178" s="659">
        <f t="shared" si="14"/>
        <v>-7.5498452504453402E-3</v>
      </c>
      <c r="G178" s="658">
        <f t="shared" si="15"/>
        <v>-4.9635564428093318E-3</v>
      </c>
      <c r="H178" s="658">
        <f t="shared" si="16"/>
        <v>2.4636892560954026E-5</v>
      </c>
      <c r="I178" s="659">
        <f t="shared" si="17"/>
        <v>3.7474083035061398E-5</v>
      </c>
      <c r="J178" s="655"/>
    </row>
    <row r="179" spans="1:10" ht="13.5" thickBot="1">
      <c r="A179" s="658" t="s">
        <v>896</v>
      </c>
      <c r="B179" s="658">
        <v>4.51</v>
      </c>
      <c r="C179" s="659">
        <v>42186.37</v>
      </c>
      <c r="D179" s="658">
        <f t="shared" si="12"/>
        <v>-3.9752650176677617E-3</v>
      </c>
      <c r="E179" s="658">
        <f t="shared" si="13"/>
        <v>-1.0962637241035189E-2</v>
      </c>
      <c r="F179" s="659">
        <f t="shared" si="14"/>
        <v>-3.0993896472706435E-3</v>
      </c>
      <c r="G179" s="658">
        <f t="shared" si="15"/>
        <v>-9.9775899049461339E-3</v>
      </c>
      <c r="H179" s="658">
        <f t="shared" si="16"/>
        <v>9.9552300311283001E-5</v>
      </c>
      <c r="I179" s="659">
        <f t="shared" si="17"/>
        <v>3.0924438856102131E-5</v>
      </c>
      <c r="J179" s="655"/>
    </row>
    <row r="180" spans="1:10" ht="13.5" thickBot="1">
      <c r="A180" s="658" t="s">
        <v>895</v>
      </c>
      <c r="B180" s="658">
        <v>4.5279999999999996</v>
      </c>
      <c r="C180" s="659">
        <v>42653.97</v>
      </c>
      <c r="D180" s="658">
        <f t="shared" si="12"/>
        <v>4.8823790501550945E-3</v>
      </c>
      <c r="E180" s="658">
        <f t="shared" si="13"/>
        <v>2.8727734247113723E-4</v>
      </c>
      <c r="F180" s="659">
        <f t="shared" si="14"/>
        <v>5.7582544205522128E-3</v>
      </c>
      <c r="G180" s="658">
        <f t="shared" si="15"/>
        <v>1.2723246785601929E-3</v>
      </c>
      <c r="H180" s="658">
        <f t="shared" si="16"/>
        <v>1.6188100876732982E-6</v>
      </c>
      <c r="I180" s="659">
        <f t="shared" si="17"/>
        <v>7.3263692046969035E-6</v>
      </c>
      <c r="J180" s="655"/>
    </row>
    <row r="181" spans="1:10" ht="13.5" thickBot="1">
      <c r="A181" s="658" t="s">
        <v>894</v>
      </c>
      <c r="B181" s="658">
        <v>4.5060000000000002</v>
      </c>
      <c r="C181" s="659">
        <v>42641.72</v>
      </c>
      <c r="D181" s="658">
        <f t="shared" si="12"/>
        <v>-3.387650085763283E-2</v>
      </c>
      <c r="E181" s="658">
        <f t="shared" si="13"/>
        <v>-8.8212282217937643E-3</v>
      </c>
      <c r="F181" s="659">
        <f t="shared" si="14"/>
        <v>-3.3000625487235709E-2</v>
      </c>
      <c r="G181" s="658">
        <f t="shared" si="15"/>
        <v>-7.8361808857047091E-3</v>
      </c>
      <c r="H181" s="658">
        <f t="shared" si="16"/>
        <v>6.1405730873483844E-5</v>
      </c>
      <c r="I181" s="659">
        <f t="shared" si="17"/>
        <v>2.585988706593761E-4</v>
      </c>
      <c r="J181" s="655"/>
    </row>
    <row r="182" spans="1:10" ht="13.5" thickBot="1">
      <c r="A182" s="658" t="s">
        <v>893</v>
      </c>
      <c r="B182" s="658">
        <v>4.6639999999999997</v>
      </c>
      <c r="C182" s="659">
        <v>43021.22</v>
      </c>
      <c r="D182" s="658">
        <f t="shared" si="12"/>
        <v>-5.1194539249146409E-3</v>
      </c>
      <c r="E182" s="658">
        <f t="shared" si="13"/>
        <v>3.6489138759743245E-3</v>
      </c>
      <c r="F182" s="659">
        <f t="shared" si="14"/>
        <v>-4.2435785545175226E-3</v>
      </c>
      <c r="G182" s="658">
        <f t="shared" si="15"/>
        <v>4.6339612120633797E-3</v>
      </c>
      <c r="H182" s="658">
        <f t="shared" si="16"/>
        <v>2.1473596514907906E-5</v>
      </c>
      <c r="I182" s="659">
        <f t="shared" si="17"/>
        <v>-1.9664578421978185E-5</v>
      </c>
      <c r="J182" s="655"/>
    </row>
    <row r="183" spans="1:10" ht="13.5" thickBot="1">
      <c r="A183" s="658" t="s">
        <v>892</v>
      </c>
      <c r="B183" s="658">
        <v>4.6879999999999997</v>
      </c>
      <c r="C183" s="659">
        <v>42864.81</v>
      </c>
      <c r="D183" s="658">
        <f t="shared" si="12"/>
        <v>8.5397096498707192E-4</v>
      </c>
      <c r="E183" s="658">
        <f t="shared" si="13"/>
        <v>-3.4554316046334632E-3</v>
      </c>
      <c r="F183" s="659">
        <f t="shared" si="14"/>
        <v>1.7298463353841902E-3</v>
      </c>
      <c r="G183" s="658">
        <f t="shared" si="15"/>
        <v>-2.4703842685444076E-3</v>
      </c>
      <c r="H183" s="658">
        <f t="shared" si="16"/>
        <v>6.1027984342716878E-6</v>
      </c>
      <c r="I183" s="659">
        <f t="shared" si="17"/>
        <v>-4.2733851739322969E-6</v>
      </c>
      <c r="J183" s="655"/>
    </row>
    <row r="184" spans="1:10" ht="13.5" thickBot="1">
      <c r="A184" s="658" t="s">
        <v>891</v>
      </c>
      <c r="B184" s="658">
        <v>4.6840000000000002</v>
      </c>
      <c r="C184" s="659">
        <v>43013.440000000002</v>
      </c>
      <c r="D184" s="658">
        <f t="shared" si="12"/>
        <v>-2.2537562604340478E-2</v>
      </c>
      <c r="E184" s="658">
        <f t="shared" si="13"/>
        <v>-6.8538000677897948E-3</v>
      </c>
      <c r="F184" s="659">
        <f t="shared" si="14"/>
        <v>-2.166168723394336E-2</v>
      </c>
      <c r="G184" s="658">
        <f t="shared" si="15"/>
        <v>-5.8687527317007396E-3</v>
      </c>
      <c r="H184" s="658">
        <f t="shared" si="16"/>
        <v>3.4442258625844895E-5</v>
      </c>
      <c r="I184" s="659">
        <f t="shared" si="17"/>
        <v>1.2712708612745214E-4</v>
      </c>
      <c r="J184" s="655"/>
    </row>
    <row r="185" spans="1:10" ht="13.5" thickBot="1">
      <c r="A185" s="658" t="s">
        <v>890</v>
      </c>
      <c r="B185" s="658">
        <v>4.7919999999999998</v>
      </c>
      <c r="C185" s="659">
        <v>43310.28</v>
      </c>
      <c r="D185" s="658">
        <f t="shared" si="12"/>
        <v>-1.1958762886597918E-2</v>
      </c>
      <c r="E185" s="658">
        <f t="shared" si="13"/>
        <v>1.9103491511229809E-3</v>
      </c>
      <c r="F185" s="659">
        <f t="shared" si="14"/>
        <v>-1.10828875162008E-2</v>
      </c>
      <c r="G185" s="658">
        <f t="shared" si="15"/>
        <v>2.8953964872120365E-3</v>
      </c>
      <c r="H185" s="658">
        <f t="shared" si="16"/>
        <v>8.383320818159801E-6</v>
      </c>
      <c r="I185" s="659">
        <f t="shared" si="17"/>
        <v>-3.2089353582573929E-5</v>
      </c>
      <c r="J185" s="655"/>
    </row>
    <row r="186" spans="1:10" ht="13.5" thickBot="1">
      <c r="A186" s="658" t="s">
        <v>889</v>
      </c>
      <c r="B186" s="658">
        <v>4.8499999999999996</v>
      </c>
      <c r="C186" s="659">
        <v>43227.7</v>
      </c>
      <c r="D186" s="658">
        <f t="shared" si="12"/>
        <v>1.3795986622073597E-2</v>
      </c>
      <c r="E186" s="658">
        <f t="shared" si="13"/>
        <v>1.3427515446624572E-2</v>
      </c>
      <c r="F186" s="659">
        <f t="shared" si="14"/>
        <v>1.4671861992470715E-2</v>
      </c>
      <c r="G186" s="658">
        <f t="shared" si="15"/>
        <v>1.4412562782713627E-2</v>
      </c>
      <c r="H186" s="658">
        <f t="shared" si="16"/>
        <v>2.0772196596566196E-4</v>
      </c>
      <c r="I186" s="659">
        <f t="shared" si="17"/>
        <v>2.1145913210579402E-4</v>
      </c>
      <c r="J186" s="655"/>
    </row>
    <row r="187" spans="1:10" ht="13.5" thickBot="1">
      <c r="A187" s="658" t="s">
        <v>888</v>
      </c>
      <c r="B187" s="658">
        <v>4.7839999999999998</v>
      </c>
      <c r="C187" s="659">
        <v>42654.95</v>
      </c>
      <c r="D187" s="658">
        <f t="shared" si="12"/>
        <v>-2.0875972165370515E-2</v>
      </c>
      <c r="E187" s="658">
        <f t="shared" si="13"/>
        <v>7.2147404178710683E-3</v>
      </c>
      <c r="F187" s="659">
        <f t="shared" si="14"/>
        <v>-2.0000096794973398E-2</v>
      </c>
      <c r="G187" s="658">
        <f t="shared" si="15"/>
        <v>8.1997877539601235E-3</v>
      </c>
      <c r="H187" s="658">
        <f t="shared" si="16"/>
        <v>6.7236519209994407E-5</v>
      </c>
      <c r="I187" s="659">
        <f t="shared" si="17"/>
        <v>-1.6399654877743999E-4</v>
      </c>
      <c r="J187" s="655"/>
    </row>
    <row r="188" spans="1:10" ht="13.5" thickBot="1">
      <c r="A188" s="658" t="s">
        <v>887</v>
      </c>
      <c r="B188" s="658">
        <v>4.8860000000000001</v>
      </c>
      <c r="C188" s="659">
        <v>42349.41</v>
      </c>
      <c r="D188" s="658">
        <f t="shared" si="12"/>
        <v>0</v>
      </c>
      <c r="E188" s="658">
        <f t="shared" si="13"/>
        <v>-2.3014528672158363E-3</v>
      </c>
      <c r="F188" s="659">
        <f t="shared" si="14"/>
        <v>8.7587537039711817E-4</v>
      </c>
      <c r="G188" s="658">
        <f t="shared" si="15"/>
        <v>-1.3164055311267807E-3</v>
      </c>
      <c r="H188" s="658">
        <f t="shared" si="16"/>
        <v>1.7329235223811815E-6</v>
      </c>
      <c r="I188" s="659">
        <f t="shared" si="17"/>
        <v>-1.1530071821684842E-6</v>
      </c>
      <c r="J188" s="655"/>
    </row>
    <row r="189" spans="1:10" ht="13.5" thickBot="1">
      <c r="A189" s="658" t="s">
        <v>886</v>
      </c>
      <c r="B189" s="658">
        <v>4.8860000000000001</v>
      </c>
      <c r="C189" s="659">
        <v>42447.1</v>
      </c>
      <c r="D189" s="658">
        <f t="shared" si="12"/>
        <v>3.9132284134410833E-2</v>
      </c>
      <c r="E189" s="658">
        <f t="shared" si="13"/>
        <v>5.9460330551093232E-3</v>
      </c>
      <c r="F189" s="659">
        <f t="shared" si="14"/>
        <v>4.0008159504807954E-2</v>
      </c>
      <c r="G189" s="658">
        <f t="shared" si="15"/>
        <v>6.9310803911983784E-3</v>
      </c>
      <c r="H189" s="658">
        <f t="shared" si="16"/>
        <v>4.8039875389254667E-5</v>
      </c>
      <c r="I189" s="659">
        <f t="shared" si="17"/>
        <v>2.7729976983171146E-4</v>
      </c>
      <c r="J189" s="655"/>
    </row>
    <row r="190" spans="1:10" ht="13.5" thickBot="1">
      <c r="A190" s="658" t="s">
        <v>885</v>
      </c>
      <c r="B190" s="658">
        <v>4.702</v>
      </c>
      <c r="C190" s="659">
        <v>42196.2</v>
      </c>
      <c r="D190" s="658">
        <f t="shared" si="12"/>
        <v>1.5989628349178941E-2</v>
      </c>
      <c r="E190" s="658">
        <f t="shared" si="13"/>
        <v>-5.0344602686508422E-3</v>
      </c>
      <c r="F190" s="659">
        <f t="shared" si="14"/>
        <v>1.6865503719576059E-2</v>
      </c>
      <c r="G190" s="658">
        <f t="shared" si="15"/>
        <v>-4.049412932561787E-3</v>
      </c>
      <c r="H190" s="658">
        <f t="shared" si="16"/>
        <v>1.6397745098398652E-5</v>
      </c>
      <c r="I190" s="659">
        <f t="shared" si="17"/>
        <v>-6.8295388876220216E-5</v>
      </c>
      <c r="J190" s="655"/>
    </row>
    <row r="191" spans="1:10" ht="13.5" thickBot="1">
      <c r="A191" s="658" t="s">
        <v>884</v>
      </c>
      <c r="B191" s="658">
        <v>4.6280000000000001</v>
      </c>
      <c r="C191" s="659">
        <v>42409.71</v>
      </c>
      <c r="D191" s="658">
        <f t="shared" si="12"/>
        <v>-2.1978021978022011E-2</v>
      </c>
      <c r="E191" s="658">
        <f t="shared" si="13"/>
        <v>1.6347221669696488E-2</v>
      </c>
      <c r="F191" s="659">
        <f t="shared" si="14"/>
        <v>-2.1102146607624894E-2</v>
      </c>
      <c r="G191" s="658">
        <f t="shared" si="15"/>
        <v>1.7332269005785543E-2</v>
      </c>
      <c r="H191" s="658">
        <f t="shared" si="16"/>
        <v>3.0040754888891418E-4</v>
      </c>
      <c r="I191" s="659">
        <f t="shared" si="17"/>
        <v>-3.6574808160287951E-4</v>
      </c>
      <c r="J191" s="655"/>
    </row>
    <row r="192" spans="1:10" ht="13.5" thickBot="1">
      <c r="A192" s="658" t="s">
        <v>883</v>
      </c>
      <c r="B192" s="658">
        <v>4.7320000000000002</v>
      </c>
      <c r="C192" s="659">
        <v>41727.58</v>
      </c>
      <c r="D192" s="658">
        <f t="shared" si="12"/>
        <v>-2.9498525073746729E-3</v>
      </c>
      <c r="E192" s="658">
        <f t="shared" si="13"/>
        <v>-1.3660515605488088E-3</v>
      </c>
      <c r="F192" s="659">
        <f t="shared" si="14"/>
        <v>-2.0739771369775546E-3</v>
      </c>
      <c r="G192" s="658">
        <f t="shared" si="15"/>
        <v>-3.8100422445975319E-4</v>
      </c>
      <c r="H192" s="658">
        <f t="shared" si="16"/>
        <v>1.4516421905617799E-7</v>
      </c>
      <c r="I192" s="659">
        <f t="shared" si="17"/>
        <v>7.9019405062139246E-7</v>
      </c>
      <c r="J192" s="655"/>
    </row>
    <row r="193" spans="1:10" ht="13.5" thickBot="1">
      <c r="A193" s="658" t="s">
        <v>882</v>
      </c>
      <c r="B193" s="658">
        <v>4.7460000000000004</v>
      </c>
      <c r="C193" s="659">
        <v>41784.660000000003</v>
      </c>
      <c r="D193" s="658">
        <f t="shared" si="12"/>
        <v>2.2404136148211906E-2</v>
      </c>
      <c r="E193" s="658">
        <f t="shared" si="13"/>
        <v>-4.8833392752651861E-3</v>
      </c>
      <c r="F193" s="659">
        <f t="shared" si="14"/>
        <v>2.3280011518609024E-2</v>
      </c>
      <c r="G193" s="658">
        <f t="shared" si="15"/>
        <v>-3.8982919391761304E-3</v>
      </c>
      <c r="H193" s="658">
        <f t="shared" si="16"/>
        <v>1.5196680043045596E-5</v>
      </c>
      <c r="I193" s="659">
        <f t="shared" si="17"/>
        <v>-9.0752281246921017E-5</v>
      </c>
      <c r="J193" s="655"/>
    </row>
    <row r="194" spans="1:10" ht="13.5" thickBot="1">
      <c r="A194" s="658" t="s">
        <v>881</v>
      </c>
      <c r="B194" s="658">
        <v>4.6420000000000003</v>
      </c>
      <c r="C194" s="659">
        <v>41989.71</v>
      </c>
      <c r="D194" s="658">
        <f t="shared" si="12"/>
        <v>4.3271311120727241E-3</v>
      </c>
      <c r="E194" s="658">
        <f t="shared" si="13"/>
        <v>9.1785652741636081E-3</v>
      </c>
      <c r="F194" s="659">
        <f t="shared" si="14"/>
        <v>5.2030064824698423E-3</v>
      </c>
      <c r="G194" s="658">
        <f t="shared" si="15"/>
        <v>1.0163612610252663E-2</v>
      </c>
      <c r="H194" s="658">
        <f t="shared" si="16"/>
        <v>1.0329902129128696E-4</v>
      </c>
      <c r="I194" s="659">
        <f t="shared" si="17"/>
        <v>5.2881342296456842E-5</v>
      </c>
      <c r="J194" s="655"/>
    </row>
    <row r="195" spans="1:10" ht="13.5" thickBot="1">
      <c r="A195" s="658" t="s">
        <v>880</v>
      </c>
      <c r="B195" s="658">
        <v>4.6219999999999999</v>
      </c>
      <c r="C195" s="659">
        <v>41607.81</v>
      </c>
      <c r="D195" s="658">
        <f t="shared" si="12"/>
        <v>4.3290043290045155E-4</v>
      </c>
      <c r="E195" s="658">
        <f t="shared" si="13"/>
        <v>-2.7773190722106822E-3</v>
      </c>
      <c r="F195" s="659">
        <f t="shared" si="14"/>
        <v>1.3087758032975698E-3</v>
      </c>
      <c r="G195" s="658">
        <f t="shared" si="15"/>
        <v>-1.7922717361216266E-3</v>
      </c>
      <c r="H195" s="658">
        <f t="shared" si="16"/>
        <v>3.2122379761004293E-6</v>
      </c>
      <c r="I195" s="659">
        <f t="shared" si="17"/>
        <v>-2.3456818811701118E-6</v>
      </c>
      <c r="J195" s="655"/>
    </row>
    <row r="196" spans="1:10" ht="13.5" thickBot="1">
      <c r="A196" s="658" t="s">
        <v>879</v>
      </c>
      <c r="B196" s="658">
        <v>4.62</v>
      </c>
      <c r="C196" s="659">
        <v>41723.69</v>
      </c>
      <c r="D196" s="658">
        <f t="shared" ref="D196:D254" si="18">(B196/B197)-1</f>
        <v>-6.4516129032258229E-3</v>
      </c>
      <c r="E196" s="658">
        <f t="shared" ref="E196:E254" si="19">(C196/C197)-1</f>
        <v>-6.7731981978764733E-3</v>
      </c>
      <c r="F196" s="659">
        <f t="shared" ref="F196:F255" si="20">D196-$D$256</f>
        <v>-5.5757375328287046E-3</v>
      </c>
      <c r="G196" s="658">
        <f t="shared" ref="G196:G255" si="21">E196-$E$256</f>
        <v>-5.7881508617874181E-3</v>
      </c>
      <c r="H196" s="658">
        <f t="shared" ref="H196:H255" si="22">G196^2</f>
        <v>3.3502690398810433E-5</v>
      </c>
      <c r="I196" s="659">
        <f t="shared" ref="I196:I255" si="23">F196*G196</f>
        <v>3.2273210005742919E-5</v>
      </c>
      <c r="J196" s="655"/>
    </row>
    <row r="197" spans="1:10" ht="13.5" thickBot="1">
      <c r="A197" s="658" t="s">
        <v>878</v>
      </c>
      <c r="B197" s="658">
        <v>4.6500000000000004</v>
      </c>
      <c r="C197" s="659">
        <v>42008.22</v>
      </c>
      <c r="D197" s="658">
        <f t="shared" si="18"/>
        <v>-9.7955706984665936E-3</v>
      </c>
      <c r="E197" s="658">
        <f t="shared" si="19"/>
        <v>-1.2249243575922497E-3</v>
      </c>
      <c r="F197" s="659">
        <f t="shared" si="20"/>
        <v>-8.9196953280694762E-3</v>
      </c>
      <c r="G197" s="658">
        <f t="shared" si="21"/>
        <v>-2.3987702150319408E-4</v>
      </c>
      <c r="H197" s="658">
        <f t="shared" si="22"/>
        <v>5.7540985445243832E-8</v>
      </c>
      <c r="I197" s="659">
        <f t="shared" si="23"/>
        <v>2.1396299480132616E-6</v>
      </c>
      <c r="J197" s="655"/>
    </row>
    <row r="198" spans="1:10" ht="13.5" thickBot="1">
      <c r="A198" s="658" t="s">
        <v>877</v>
      </c>
      <c r="B198" s="658">
        <v>4.6959999999999997</v>
      </c>
      <c r="C198" s="659">
        <v>42059.74</v>
      </c>
      <c r="D198" s="658">
        <f t="shared" si="18"/>
        <v>5.5674518201285217E-3</v>
      </c>
      <c r="E198" s="658">
        <f t="shared" si="19"/>
        <v>-8.7829070319345171E-3</v>
      </c>
      <c r="F198" s="659">
        <f t="shared" si="20"/>
        <v>6.44332719052564E-3</v>
      </c>
      <c r="G198" s="658">
        <f t="shared" si="21"/>
        <v>-7.7978596958454618E-3</v>
      </c>
      <c r="H198" s="658">
        <f t="shared" si="22"/>
        <v>6.080661583609108E-5</v>
      </c>
      <c r="I198" s="659">
        <f t="shared" si="23"/>
        <v>-5.0244161406145064E-5</v>
      </c>
      <c r="J198" s="655"/>
    </row>
    <row r="199" spans="1:10" ht="13.5" thickBot="1">
      <c r="A199" s="658" t="s">
        <v>876</v>
      </c>
      <c r="B199" s="658">
        <v>4.67</v>
      </c>
      <c r="C199" s="659">
        <v>42432.42</v>
      </c>
      <c r="D199" s="658">
        <f t="shared" si="18"/>
        <v>3.1816173221387523E-2</v>
      </c>
      <c r="E199" s="658">
        <f t="shared" si="19"/>
        <v>-3.1477871871272711E-3</v>
      </c>
      <c r="F199" s="659">
        <f t="shared" si="20"/>
        <v>3.2692048591784643E-2</v>
      </c>
      <c r="G199" s="658">
        <f t="shared" si="21"/>
        <v>-2.1627398510382155E-3</v>
      </c>
      <c r="H199" s="658">
        <f t="shared" si="22"/>
        <v>4.6774436632688025E-6</v>
      </c>
      <c r="I199" s="659">
        <f t="shared" si="23"/>
        <v>-7.0704396301530416E-5</v>
      </c>
      <c r="J199" s="655"/>
    </row>
    <row r="200" spans="1:10" ht="13.5" thickBot="1">
      <c r="A200" s="658" t="s">
        <v>875</v>
      </c>
      <c r="B200" s="658">
        <v>4.5259999999999998</v>
      </c>
      <c r="C200" s="659">
        <v>42566.41</v>
      </c>
      <c r="D200" s="658">
        <f t="shared" si="18"/>
        <v>-2.7920962199312727E-2</v>
      </c>
      <c r="E200" s="658">
        <f t="shared" si="19"/>
        <v>-1.1318650281555209E-2</v>
      </c>
      <c r="F200" s="659">
        <f t="shared" si="20"/>
        <v>-2.7045086828915609E-2</v>
      </c>
      <c r="G200" s="658">
        <f t="shared" si="21"/>
        <v>-1.0333602945466154E-2</v>
      </c>
      <c r="H200" s="658">
        <f t="shared" si="22"/>
        <v>1.0678334983454677E-4</v>
      </c>
      <c r="I200" s="659">
        <f t="shared" si="23"/>
        <v>2.7947318891567024E-4</v>
      </c>
      <c r="J200" s="655"/>
    </row>
    <row r="201" spans="1:10" ht="13.5" thickBot="1">
      <c r="A201" s="658" t="s">
        <v>874</v>
      </c>
      <c r="B201" s="658">
        <v>4.6559999999999997</v>
      </c>
      <c r="C201" s="659">
        <v>43053.72</v>
      </c>
      <c r="D201" s="658">
        <f t="shared" si="18"/>
        <v>-1.4394580863674955E-2</v>
      </c>
      <c r="E201" s="658">
        <f t="shared" si="19"/>
        <v>1.2920025521967693E-2</v>
      </c>
      <c r="F201" s="659">
        <f t="shared" si="20"/>
        <v>-1.3518705493277838E-2</v>
      </c>
      <c r="G201" s="658">
        <f t="shared" si="21"/>
        <v>1.3905072858056748E-2</v>
      </c>
      <c r="H201" s="658">
        <f t="shared" si="22"/>
        <v>1.9335105118786647E-4</v>
      </c>
      <c r="I201" s="659">
        <f t="shared" si="23"/>
        <v>-1.8797858483064032E-4</v>
      </c>
      <c r="J201" s="655"/>
    </row>
    <row r="202" spans="1:10" ht="13.5" thickBot="1">
      <c r="A202" s="658" t="s">
        <v>873</v>
      </c>
      <c r="B202" s="658">
        <v>4.7240000000000002</v>
      </c>
      <c r="C202" s="659">
        <v>42504.56</v>
      </c>
      <c r="D202" s="658">
        <f t="shared" si="18"/>
        <v>-2.7583367641004441E-2</v>
      </c>
      <c r="E202" s="658">
        <f t="shared" si="19"/>
        <v>1.3099279275070375E-2</v>
      </c>
      <c r="F202" s="659">
        <f t="shared" si="20"/>
        <v>-2.6707492270607324E-2</v>
      </c>
      <c r="G202" s="658">
        <f t="shared" si="21"/>
        <v>1.408432661115943E-2</v>
      </c>
      <c r="H202" s="658">
        <f t="shared" si="22"/>
        <v>1.9836825608981367E-4</v>
      </c>
      <c r="I202" s="659">
        <f t="shared" si="23"/>
        <v>-3.7615704410424951E-4</v>
      </c>
      <c r="J202" s="655"/>
    </row>
    <row r="203" spans="1:10" ht="13.5" thickBot="1">
      <c r="A203" s="658" t="s">
        <v>872</v>
      </c>
      <c r="B203" s="658">
        <v>4.8579999999999997</v>
      </c>
      <c r="C203" s="659">
        <v>41954.98</v>
      </c>
      <c r="D203" s="658">
        <f t="shared" si="18"/>
        <v>-5.6699029126213718E-2</v>
      </c>
      <c r="E203" s="658">
        <f t="shared" si="19"/>
        <v>-8.3395949825810778E-3</v>
      </c>
      <c r="F203" s="659">
        <f t="shared" si="20"/>
        <v>-5.5823153755816597E-2</v>
      </c>
      <c r="G203" s="658">
        <f t="shared" si="21"/>
        <v>-7.3545476464920226E-3</v>
      </c>
      <c r="H203" s="658">
        <f t="shared" si="22"/>
        <v>5.408937108452135E-5</v>
      </c>
      <c r="I203" s="659">
        <f t="shared" si="23"/>
        <v>4.1055404407460327E-4</v>
      </c>
      <c r="J203" s="655"/>
    </row>
    <row r="204" spans="1:10" ht="13.5" thickBot="1">
      <c r="A204" s="658" t="s">
        <v>871</v>
      </c>
      <c r="B204" s="658">
        <v>5.15</v>
      </c>
      <c r="C204" s="659">
        <v>42307.81</v>
      </c>
      <c r="D204" s="658">
        <f t="shared" si="18"/>
        <v>-7.3741007194244479E-2</v>
      </c>
      <c r="E204" s="658">
        <f t="shared" si="19"/>
        <v>-1.0564308990201887E-4</v>
      </c>
      <c r="F204" s="659">
        <f t="shared" si="20"/>
        <v>-7.2865131823847365E-2</v>
      </c>
      <c r="G204" s="658">
        <f t="shared" si="21"/>
        <v>8.7940424618703677E-4</v>
      </c>
      <c r="H204" s="658">
        <f t="shared" si="22"/>
        <v>7.7335182821179036E-7</v>
      </c>
      <c r="I204" s="659">
        <f t="shared" si="23"/>
        <v>-6.4077906324869555E-5</v>
      </c>
      <c r="J204" s="655"/>
    </row>
    <row r="205" spans="1:10" ht="13.5" thickBot="1">
      <c r="A205" s="658" t="s">
        <v>870</v>
      </c>
      <c r="B205" s="658">
        <v>5.56</v>
      </c>
      <c r="C205" s="659">
        <v>42312.28</v>
      </c>
      <c r="D205" s="658">
        <f t="shared" si="18"/>
        <v>3.8281979458449911E-2</v>
      </c>
      <c r="E205" s="658">
        <f t="shared" si="19"/>
        <v>-2.6141368940282295E-3</v>
      </c>
      <c r="F205" s="659">
        <f t="shared" si="20"/>
        <v>3.9157854828847032E-2</v>
      </c>
      <c r="G205" s="658">
        <f t="shared" si="21"/>
        <v>-1.6290895579391738E-3</v>
      </c>
      <c r="H205" s="658">
        <f t="shared" si="22"/>
        <v>2.6539327877864529E-6</v>
      </c>
      <c r="I205" s="659">
        <f t="shared" si="23"/>
        <v>-6.3791652412972753E-5</v>
      </c>
      <c r="J205" s="655"/>
    </row>
    <row r="206" spans="1:10" ht="13.5" thickBot="1">
      <c r="A206" s="658" t="s">
        <v>869</v>
      </c>
      <c r="B206" s="658">
        <v>5.3550000000000004</v>
      </c>
      <c r="C206" s="659">
        <v>42423.18</v>
      </c>
      <c r="D206" s="658">
        <f t="shared" si="18"/>
        <v>0</v>
      </c>
      <c r="E206" s="658">
        <f t="shared" si="19"/>
        <v>-1.284907678747671E-3</v>
      </c>
      <c r="F206" s="659">
        <f t="shared" si="20"/>
        <v>8.7587537039711817E-4</v>
      </c>
      <c r="G206" s="658">
        <f t="shared" si="21"/>
        <v>-2.9986034265861534E-4</v>
      </c>
      <c r="H206" s="658">
        <f t="shared" si="22"/>
        <v>8.9916225099342213E-8</v>
      </c>
      <c r="I206" s="659">
        <f t="shared" si="23"/>
        <v>-2.6264028869352147E-7</v>
      </c>
      <c r="J206" s="655"/>
    </row>
    <row r="207" spans="1:10" ht="13.5" thickBot="1">
      <c r="A207" s="658" t="s">
        <v>868</v>
      </c>
      <c r="B207" s="658">
        <v>5.3550000000000004</v>
      </c>
      <c r="C207" s="659">
        <v>42477.760000000002</v>
      </c>
      <c r="D207" s="658">
        <f t="shared" si="18"/>
        <v>2.9807692307692424E-2</v>
      </c>
      <c r="E207" s="658">
        <f t="shared" si="19"/>
        <v>1.2879769333324909E-3</v>
      </c>
      <c r="F207" s="659">
        <f t="shared" si="20"/>
        <v>3.0683567678089541E-2</v>
      </c>
      <c r="G207" s="658">
        <f t="shared" si="21"/>
        <v>2.2730242694215465E-3</v>
      </c>
      <c r="H207" s="658">
        <f t="shared" si="22"/>
        <v>5.1666393293793552E-6</v>
      </c>
      <c r="I207" s="659">
        <f t="shared" si="23"/>
        <v>6.9744494004736059E-5</v>
      </c>
      <c r="J207" s="655"/>
    </row>
    <row r="208" spans="1:10" ht="13.5" thickBot="1">
      <c r="A208" s="658" t="s">
        <v>867</v>
      </c>
      <c r="B208" s="658">
        <v>5.2</v>
      </c>
      <c r="C208" s="659">
        <v>42423.12</v>
      </c>
      <c r="D208" s="658">
        <f t="shared" si="18"/>
        <v>3.6889332003988029E-2</v>
      </c>
      <c r="E208" s="658">
        <f t="shared" si="19"/>
        <v>4.2760263421972589E-3</v>
      </c>
      <c r="F208" s="659">
        <f t="shared" si="20"/>
        <v>3.776520737438515E-2</v>
      </c>
      <c r="G208" s="658">
        <f t="shared" si="21"/>
        <v>5.2610736782863141E-3</v>
      </c>
      <c r="H208" s="658">
        <f t="shared" si="22"/>
        <v>2.7678896248357086E-5</v>
      </c>
      <c r="I208" s="659">
        <f t="shared" si="23"/>
        <v>1.9868553847240191E-4</v>
      </c>
      <c r="J208" s="655"/>
    </row>
    <row r="209" spans="1:10" ht="13.5" thickBot="1">
      <c r="A209" s="658" t="s">
        <v>866</v>
      </c>
      <c r="B209" s="658">
        <v>5.0149999999999997</v>
      </c>
      <c r="C209" s="659">
        <v>42242.49</v>
      </c>
      <c r="D209" s="658">
        <f t="shared" si="18"/>
        <v>-1.6666666666666607E-2</v>
      </c>
      <c r="E209" s="658">
        <f t="shared" si="19"/>
        <v>-9.4671908865099352E-3</v>
      </c>
      <c r="F209" s="659">
        <f t="shared" si="20"/>
        <v>-1.579079129626949E-2</v>
      </c>
      <c r="G209" s="658">
        <f t="shared" si="21"/>
        <v>-8.48214355042088E-3</v>
      </c>
      <c r="H209" s="658">
        <f t="shared" si="22"/>
        <v>7.194675920994653E-5</v>
      </c>
      <c r="I209" s="659">
        <f t="shared" si="23"/>
        <v>1.3393975854969443E-4</v>
      </c>
      <c r="J209" s="655"/>
    </row>
    <row r="210" spans="1:10" ht="13.5" thickBot="1">
      <c r="A210" s="658" t="s">
        <v>865</v>
      </c>
      <c r="B210" s="658">
        <v>5.0999999999999996</v>
      </c>
      <c r="C210" s="659">
        <v>42646.23</v>
      </c>
      <c r="D210" s="658">
        <f t="shared" si="18"/>
        <v>-5.4680259499536588E-2</v>
      </c>
      <c r="E210" s="658">
        <f t="shared" si="19"/>
        <v>2.1579437143985913E-3</v>
      </c>
      <c r="F210" s="659">
        <f t="shared" si="20"/>
        <v>-5.3804384129139467E-2</v>
      </c>
      <c r="G210" s="658">
        <f t="shared" si="21"/>
        <v>3.142991050487647E-3</v>
      </c>
      <c r="H210" s="658">
        <f t="shared" si="22"/>
        <v>9.8783927434454425E-6</v>
      </c>
      <c r="I210" s="659">
        <f t="shared" si="23"/>
        <v>-1.6910669779488492E-4</v>
      </c>
      <c r="J210" s="655"/>
    </row>
    <row r="211" spans="1:10" ht="13.5" thickBot="1">
      <c r="A211" s="658" t="s">
        <v>864</v>
      </c>
      <c r="B211" s="658">
        <v>5.3949999999999996</v>
      </c>
      <c r="C211" s="659">
        <v>42554.400000000001</v>
      </c>
      <c r="D211" s="658">
        <f t="shared" si="18"/>
        <v>8.4112149532709068E-3</v>
      </c>
      <c r="E211" s="658">
        <f t="shared" si="19"/>
        <v>-4.0004381476838047E-3</v>
      </c>
      <c r="F211" s="659">
        <f t="shared" si="20"/>
        <v>9.2870903236680243E-3</v>
      </c>
      <c r="G211" s="658">
        <f t="shared" si="21"/>
        <v>-3.015390811594749E-3</v>
      </c>
      <c r="H211" s="658">
        <f t="shared" si="22"/>
        <v>9.092581746650039E-6</v>
      </c>
      <c r="I211" s="659">
        <f t="shared" si="23"/>
        <v>-2.8004206828439065E-5</v>
      </c>
      <c r="J211" s="655"/>
    </row>
    <row r="212" spans="1:10" ht="13.5" thickBot="1">
      <c r="A212" s="658" t="s">
        <v>863</v>
      </c>
      <c r="B212" s="658">
        <v>5.35</v>
      </c>
      <c r="C212" s="659">
        <v>42725.32</v>
      </c>
      <c r="D212" s="658">
        <f t="shared" si="18"/>
        <v>2.811621368322248E-3</v>
      </c>
      <c r="E212" s="658">
        <f t="shared" si="19"/>
        <v>-8.2233856504636549E-3</v>
      </c>
      <c r="F212" s="659">
        <f t="shared" si="20"/>
        <v>3.6874967387193662E-3</v>
      </c>
      <c r="G212" s="658">
        <f t="shared" si="21"/>
        <v>-7.2383383143745997E-3</v>
      </c>
      <c r="H212" s="658">
        <f t="shared" si="22"/>
        <v>5.2393541553343319E-5</v>
      </c>
      <c r="I212" s="659">
        <f t="shared" si="23"/>
        <v>-2.6691348928003772E-5</v>
      </c>
      <c r="J212" s="655"/>
    </row>
    <row r="213" spans="1:10" ht="13.5" thickBot="1">
      <c r="A213" s="658" t="s">
        <v>862</v>
      </c>
      <c r="B213" s="658">
        <v>5.335</v>
      </c>
      <c r="C213" s="659">
        <v>43079.58</v>
      </c>
      <c r="D213" s="658">
        <f t="shared" si="18"/>
        <v>-4.1329739442947044E-2</v>
      </c>
      <c r="E213" s="658">
        <f t="shared" si="19"/>
        <v>3.3659771211169698E-5</v>
      </c>
      <c r="F213" s="659">
        <f t="shared" si="20"/>
        <v>-4.0453864072549924E-2</v>
      </c>
      <c r="G213" s="658">
        <f t="shared" si="21"/>
        <v>1.0187071073002253E-3</v>
      </c>
      <c r="H213" s="658">
        <f t="shared" si="22"/>
        <v>1.0377641704639929E-6</v>
      </c>
      <c r="I213" s="659">
        <f t="shared" si="23"/>
        <v>-4.1210638848463849E-5</v>
      </c>
      <c r="J213" s="655"/>
    </row>
    <row r="214" spans="1:10" ht="13.5" thickBot="1">
      <c r="A214" s="658" t="s">
        <v>861</v>
      </c>
      <c r="B214" s="658">
        <v>5.5650000000000004</v>
      </c>
      <c r="C214" s="659">
        <v>43078.13</v>
      </c>
      <c r="D214" s="658">
        <f t="shared" si="18"/>
        <v>-6.8619246861924554E-2</v>
      </c>
      <c r="E214" s="658">
        <f t="shared" si="19"/>
        <v>-4.1606071092796792E-3</v>
      </c>
      <c r="F214" s="659">
        <f t="shared" si="20"/>
        <v>-6.774337149152744E-2</v>
      </c>
      <c r="G214" s="658">
        <f t="shared" si="21"/>
        <v>-3.1755597731906236E-3</v>
      </c>
      <c r="H214" s="658">
        <f t="shared" si="22"/>
        <v>1.0084179873106485E-5</v>
      </c>
      <c r="I214" s="659">
        <f t="shared" si="23"/>
        <v>2.1512312540880303E-4</v>
      </c>
      <c r="J214" s="655"/>
    </row>
    <row r="215" spans="1:10" ht="13.5" thickBot="1">
      <c r="A215" s="658" t="s">
        <v>860</v>
      </c>
      <c r="B215" s="658">
        <v>5.9749999999999996</v>
      </c>
      <c r="C215" s="659">
        <v>43258.11</v>
      </c>
      <c r="D215" s="658">
        <f t="shared" si="18"/>
        <v>3.6426712922809967E-2</v>
      </c>
      <c r="E215" s="658">
        <f t="shared" si="19"/>
        <v>2.5953660270341405E-3</v>
      </c>
      <c r="F215" s="659">
        <f t="shared" si="20"/>
        <v>3.7302588293207088E-2</v>
      </c>
      <c r="G215" s="658">
        <f t="shared" si="21"/>
        <v>3.5804133631231962E-3</v>
      </c>
      <c r="H215" s="658">
        <f t="shared" si="22"/>
        <v>1.2819359850831156E-5</v>
      </c>
      <c r="I215" s="659">
        <f t="shared" si="23"/>
        <v>1.3355868560408155E-4</v>
      </c>
      <c r="J215" s="655"/>
    </row>
    <row r="216" spans="1:10" ht="13.5" thickBot="1">
      <c r="A216" s="658" t="s">
        <v>859</v>
      </c>
      <c r="B216" s="658">
        <v>5.7649999999999997</v>
      </c>
      <c r="C216" s="659">
        <v>43146.13</v>
      </c>
      <c r="D216" s="658">
        <f t="shared" si="18"/>
        <v>-1.8723404255319154E-2</v>
      </c>
      <c r="E216" s="658">
        <f t="shared" si="19"/>
        <v>1.7454920311719135E-3</v>
      </c>
      <c r="F216" s="659">
        <f t="shared" si="20"/>
        <v>-1.7847528884922036E-2</v>
      </c>
      <c r="G216" s="658">
        <f t="shared" si="21"/>
        <v>2.7305393672609692E-3</v>
      </c>
      <c r="H216" s="658">
        <f t="shared" si="22"/>
        <v>7.4558452361619341E-6</v>
      </c>
      <c r="I216" s="659">
        <f t="shared" si="23"/>
        <v>-4.873338022860689E-5</v>
      </c>
      <c r="J216" s="655"/>
    </row>
    <row r="217" spans="1:10" ht="13.5" thickBot="1">
      <c r="A217" s="658" t="s">
        <v>858</v>
      </c>
      <c r="B217" s="658">
        <v>5.875</v>
      </c>
      <c r="C217" s="659">
        <v>43070.95</v>
      </c>
      <c r="D217" s="658">
        <f t="shared" si="18"/>
        <v>-5.0121261115602223E-2</v>
      </c>
      <c r="E217" s="658">
        <f t="shared" si="19"/>
        <v>-9.5043629600057855E-3</v>
      </c>
      <c r="F217" s="659">
        <f t="shared" si="20"/>
        <v>-4.9245385745205102E-2</v>
      </c>
      <c r="G217" s="658">
        <f t="shared" si="21"/>
        <v>-8.5193156239167303E-3</v>
      </c>
      <c r="H217" s="658">
        <f t="shared" si="22"/>
        <v>7.2578738699911714E-5</v>
      </c>
      <c r="I217" s="659">
        <f t="shared" si="23"/>
        <v>4.1953698418493204E-4</v>
      </c>
      <c r="J217" s="655"/>
    </row>
    <row r="218" spans="1:10" ht="13.5" thickBot="1">
      <c r="A218" s="658" t="s">
        <v>857</v>
      </c>
      <c r="B218" s="658">
        <v>6.1849999999999996</v>
      </c>
      <c r="C218" s="659">
        <v>43484.24</v>
      </c>
      <c r="D218" s="658">
        <f t="shared" si="18"/>
        <v>3.9495798319327591E-2</v>
      </c>
      <c r="E218" s="658">
        <f t="shared" si="19"/>
        <v>1.6186354331223951E-2</v>
      </c>
      <c r="F218" s="659">
        <f t="shared" si="20"/>
        <v>4.0371673689724712E-2</v>
      </c>
      <c r="G218" s="658">
        <f t="shared" si="21"/>
        <v>1.7171401667313006E-2</v>
      </c>
      <c r="H218" s="658">
        <f t="shared" si="22"/>
        <v>2.948570352201999E-4</v>
      </c>
      <c r="I218" s="659">
        <f t="shared" si="23"/>
        <v>6.9323822490795553E-4</v>
      </c>
      <c r="J218" s="655"/>
    </row>
    <row r="219" spans="1:10" ht="13.5" thickBot="1">
      <c r="A219" s="658" t="s">
        <v>856</v>
      </c>
      <c r="B219" s="658">
        <v>5.95</v>
      </c>
      <c r="C219" s="659">
        <v>42791.6</v>
      </c>
      <c r="D219" s="658">
        <f t="shared" si="18"/>
        <v>2.4978466838932123E-2</v>
      </c>
      <c r="E219" s="658">
        <f t="shared" si="19"/>
        <v>1.7696652595279083E-2</v>
      </c>
      <c r="F219" s="659">
        <f t="shared" si="20"/>
        <v>2.585434220932924E-2</v>
      </c>
      <c r="G219" s="658">
        <f t="shared" si="21"/>
        <v>1.8681699931368138E-2</v>
      </c>
      <c r="H219" s="658">
        <f t="shared" si="22"/>
        <v>3.4900591232568033E-4</v>
      </c>
      <c r="I219" s="659">
        <f t="shared" si="23"/>
        <v>4.8300306307759444E-4</v>
      </c>
      <c r="J219" s="655"/>
    </row>
    <row r="220" spans="1:10" ht="13.5" thickBot="1">
      <c r="A220" s="658" t="s">
        <v>855</v>
      </c>
      <c r="B220" s="658">
        <v>5.8049999999999997</v>
      </c>
      <c r="C220" s="659">
        <v>42047.5</v>
      </c>
      <c r="D220" s="658">
        <f t="shared" si="18"/>
        <v>2.0210896309314386E-2</v>
      </c>
      <c r="E220" s="658">
        <f t="shared" si="19"/>
        <v>-2.8479218281147745E-3</v>
      </c>
      <c r="F220" s="659">
        <f t="shared" si="20"/>
        <v>2.1086771679711503E-2</v>
      </c>
      <c r="G220" s="658">
        <f t="shared" si="21"/>
        <v>-1.8628744920257188E-3</v>
      </c>
      <c r="H220" s="658">
        <f t="shared" si="22"/>
        <v>3.4703013730400797E-6</v>
      </c>
      <c r="I220" s="659">
        <f t="shared" si="23"/>
        <v>-3.9282009081304882E-5</v>
      </c>
      <c r="J220" s="655"/>
    </row>
    <row r="221" spans="1:10" ht="13.5" thickBot="1">
      <c r="A221" s="658" t="s">
        <v>854</v>
      </c>
      <c r="B221" s="658">
        <v>5.69</v>
      </c>
      <c r="C221" s="659">
        <v>42167.59</v>
      </c>
      <c r="D221" s="658">
        <f t="shared" si="18"/>
        <v>3.079710144927561E-2</v>
      </c>
      <c r="E221" s="658">
        <f t="shared" si="19"/>
        <v>2.1848736300271732E-3</v>
      </c>
      <c r="F221" s="659">
        <f t="shared" si="20"/>
        <v>3.1672976819672731E-2</v>
      </c>
      <c r="G221" s="658">
        <f t="shared" si="21"/>
        <v>3.1699209661162288E-3</v>
      </c>
      <c r="H221" s="658">
        <f t="shared" si="22"/>
        <v>1.0048398931423246E-5</v>
      </c>
      <c r="I221" s="659">
        <f t="shared" si="23"/>
        <v>1.004008332799939E-4</v>
      </c>
      <c r="J221" s="655"/>
    </row>
    <row r="222" spans="1:10" ht="13.5" thickBot="1">
      <c r="A222" s="658" t="s">
        <v>853</v>
      </c>
      <c r="B222" s="658">
        <v>5.52</v>
      </c>
      <c r="C222" s="659">
        <v>42075.66</v>
      </c>
      <c r="D222" s="658">
        <f t="shared" si="18"/>
        <v>-7.2268907563025286E-2</v>
      </c>
      <c r="E222" s="658">
        <f t="shared" si="19"/>
        <v>4.0270218030922234E-3</v>
      </c>
      <c r="F222" s="659">
        <f t="shared" si="20"/>
        <v>-7.1393032192628172E-2</v>
      </c>
      <c r="G222" s="658">
        <f t="shared" si="21"/>
        <v>5.0120691391812786E-3</v>
      </c>
      <c r="H222" s="658">
        <f t="shared" si="22"/>
        <v>2.5120837055933363E-5</v>
      </c>
      <c r="I222" s="659">
        <f t="shared" si="23"/>
        <v>-3.5782681340524718E-4</v>
      </c>
      <c r="J222" s="655"/>
    </row>
    <row r="223" spans="1:10" ht="13.5" thickBot="1">
      <c r="A223" s="658" t="s">
        <v>852</v>
      </c>
      <c r="B223" s="658">
        <v>5.95</v>
      </c>
      <c r="C223" s="659">
        <v>41906.9</v>
      </c>
      <c r="D223" s="658">
        <f t="shared" si="18"/>
        <v>8.41042893187538E-4</v>
      </c>
      <c r="E223" s="658">
        <f t="shared" si="19"/>
        <v>-1.1027470030098518E-2</v>
      </c>
      <c r="F223" s="659">
        <f t="shared" si="20"/>
        <v>1.7169182635846563E-3</v>
      </c>
      <c r="G223" s="658">
        <f t="shared" si="21"/>
        <v>-1.0042422694009463E-2</v>
      </c>
      <c r="H223" s="658">
        <f t="shared" si="22"/>
        <v>1.0085025356515628E-4</v>
      </c>
      <c r="I223" s="659">
        <f t="shared" si="23"/>
        <v>-1.7242018933981873E-5</v>
      </c>
      <c r="J223" s="655"/>
    </row>
    <row r="224" spans="1:10" ht="13.5" thickBot="1">
      <c r="A224" s="658" t="s">
        <v>851</v>
      </c>
      <c r="B224" s="658">
        <v>5.9450000000000003</v>
      </c>
      <c r="C224" s="659">
        <v>42374.18</v>
      </c>
      <c r="D224" s="658">
        <f t="shared" si="18"/>
        <v>-2.7800490596892824E-2</v>
      </c>
      <c r="E224" s="658">
        <f t="shared" si="19"/>
        <v>1.4753301813707598E-2</v>
      </c>
      <c r="F224" s="659">
        <f t="shared" si="20"/>
        <v>-2.6924615226495707E-2</v>
      </c>
      <c r="G224" s="658">
        <f t="shared" si="21"/>
        <v>1.5738349149796653E-2</v>
      </c>
      <c r="H224" s="658">
        <f t="shared" si="22"/>
        <v>2.4769563396090502E-4</v>
      </c>
      <c r="I224" s="659">
        <f t="shared" si="23"/>
        <v>-4.2374899515852074E-4</v>
      </c>
      <c r="J224" s="655"/>
    </row>
    <row r="225" spans="1:10" ht="13.5" thickBot="1">
      <c r="A225" s="658" t="s">
        <v>850</v>
      </c>
      <c r="B225" s="658">
        <v>6.1150000000000002</v>
      </c>
      <c r="C225" s="659">
        <v>41758.11</v>
      </c>
      <c r="D225" s="658">
        <f t="shared" si="18"/>
        <v>-9.7165991902833371E-3</v>
      </c>
      <c r="E225" s="658">
        <f t="shared" si="19"/>
        <v>-1.496142229401709E-2</v>
      </c>
      <c r="F225" s="659">
        <f t="shared" si="20"/>
        <v>-8.8407238198862197E-3</v>
      </c>
      <c r="G225" s="658">
        <f t="shared" si="21"/>
        <v>-1.3976374957928035E-2</v>
      </c>
      <c r="H225" s="658">
        <f t="shared" si="22"/>
        <v>1.9533905696459788E-4</v>
      </c>
      <c r="I225" s="659">
        <f t="shared" si="23"/>
        <v>1.2356127100621563E-4</v>
      </c>
      <c r="J225" s="655"/>
    </row>
    <row r="226" spans="1:10" ht="13.5" thickBot="1">
      <c r="A226" s="658" t="s">
        <v>849</v>
      </c>
      <c r="B226" s="658">
        <v>6.1749999999999998</v>
      </c>
      <c r="C226" s="659">
        <v>42392.36</v>
      </c>
      <c r="D226" s="658">
        <f t="shared" si="18"/>
        <v>-1.7501988862370754E-2</v>
      </c>
      <c r="E226" s="658">
        <f t="shared" si="19"/>
        <v>-6.0007109313668927E-3</v>
      </c>
      <c r="F226" s="659">
        <f t="shared" si="20"/>
        <v>-1.6626113491973637E-2</v>
      </c>
      <c r="G226" s="658">
        <f t="shared" si="21"/>
        <v>-5.0156635952778375E-3</v>
      </c>
      <c r="H226" s="658">
        <f t="shared" si="22"/>
        <v>2.5156881300995402E-5</v>
      </c>
      <c r="I226" s="659">
        <f t="shared" si="23"/>
        <v>8.3390992172649851E-5</v>
      </c>
      <c r="J226" s="655"/>
    </row>
    <row r="227" spans="1:10" ht="13.5" thickBot="1">
      <c r="A227" s="658" t="s">
        <v>848</v>
      </c>
      <c r="B227" s="658">
        <v>6.2850000000000001</v>
      </c>
      <c r="C227" s="659">
        <v>42648.28</v>
      </c>
      <c r="D227" s="658">
        <f t="shared" si="18"/>
        <v>7.2115384615385469E-3</v>
      </c>
      <c r="E227" s="658">
        <f t="shared" si="19"/>
        <v>1.039193890305623E-2</v>
      </c>
      <c r="F227" s="659">
        <f t="shared" si="20"/>
        <v>8.0874138319356643E-3</v>
      </c>
      <c r="G227" s="658">
        <f t="shared" si="21"/>
        <v>1.1376986239145286E-2</v>
      </c>
      <c r="H227" s="658">
        <f t="shared" si="22"/>
        <v>1.2943581588570119E-4</v>
      </c>
      <c r="I227" s="659">
        <f t="shared" si="23"/>
        <v>9.2010395876205293E-5</v>
      </c>
      <c r="J227" s="655"/>
    </row>
    <row r="228" spans="1:10" ht="13.5" thickBot="1">
      <c r="A228" s="658" t="s">
        <v>847</v>
      </c>
      <c r="B228" s="658">
        <v>6.24</v>
      </c>
      <c r="C228" s="659">
        <v>42209.64</v>
      </c>
      <c r="D228" s="658">
        <f t="shared" si="18"/>
        <v>-4.7846889952152249E-3</v>
      </c>
      <c r="E228" s="658">
        <f t="shared" si="19"/>
        <v>-4.0651758898191392E-3</v>
      </c>
      <c r="F228" s="659">
        <f t="shared" si="20"/>
        <v>-3.9088136248181067E-3</v>
      </c>
      <c r="G228" s="658">
        <f t="shared" si="21"/>
        <v>-3.0801285537300836E-3</v>
      </c>
      <c r="H228" s="658">
        <f t="shared" si="22"/>
        <v>9.4871919075033764E-6</v>
      </c>
      <c r="I228" s="659">
        <f t="shared" si="23"/>
        <v>1.203964845701144E-5</v>
      </c>
      <c r="J228" s="655"/>
    </row>
    <row r="229" spans="1:10" ht="13.5" thickBot="1">
      <c r="A229" s="658" t="s">
        <v>846</v>
      </c>
      <c r="B229" s="658">
        <v>6.27</v>
      </c>
      <c r="C229" s="659">
        <v>42381.93</v>
      </c>
      <c r="D229" s="658">
        <f t="shared" si="18"/>
        <v>-0.11752287121745264</v>
      </c>
      <c r="E229" s="658">
        <f t="shared" si="19"/>
        <v>-2.4652438047039205E-3</v>
      </c>
      <c r="F229" s="659">
        <f t="shared" si="20"/>
        <v>-0.11664699584705553</v>
      </c>
      <c r="G229" s="658">
        <f t="shared" si="21"/>
        <v>-1.4801964686148648E-3</v>
      </c>
      <c r="H229" s="658">
        <f t="shared" si="22"/>
        <v>2.1909815856999163E-6</v>
      </c>
      <c r="I229" s="659">
        <f t="shared" si="23"/>
        <v>1.7266047132734439E-4</v>
      </c>
      <c r="J229" s="655"/>
    </row>
    <row r="230" spans="1:10" ht="13.5" thickBot="1">
      <c r="A230" s="658" t="s">
        <v>845</v>
      </c>
      <c r="B230" s="658">
        <v>7.1050000000000004</v>
      </c>
      <c r="C230" s="659">
        <v>42486.67</v>
      </c>
      <c r="D230" s="658">
        <f t="shared" si="18"/>
        <v>-1.9999999999999907E-2</v>
      </c>
      <c r="E230" s="658">
        <f t="shared" si="19"/>
        <v>-9.9017584301855921E-3</v>
      </c>
      <c r="F230" s="659">
        <f t="shared" si="20"/>
        <v>-1.9124124629602789E-2</v>
      </c>
      <c r="G230" s="658">
        <f t="shared" si="21"/>
        <v>-8.9167110940965369E-3</v>
      </c>
      <c r="H230" s="658">
        <f t="shared" si="22"/>
        <v>7.9507736735584265E-5</v>
      </c>
      <c r="I230" s="659">
        <f t="shared" si="23"/>
        <v>1.7052429424966402E-4</v>
      </c>
      <c r="J230" s="655"/>
    </row>
    <row r="231" spans="1:10" ht="13.5" thickBot="1">
      <c r="A231" s="658" t="s">
        <v>844</v>
      </c>
      <c r="B231" s="658">
        <v>7.25</v>
      </c>
      <c r="C231" s="659">
        <v>42911.57</v>
      </c>
      <c r="D231" s="658">
        <f t="shared" si="18"/>
        <v>-4.8043925875086435E-3</v>
      </c>
      <c r="E231" s="658">
        <f t="shared" si="19"/>
        <v>-5.0305447461344022E-3</v>
      </c>
      <c r="F231" s="659">
        <f t="shared" si="20"/>
        <v>-3.9285172171115252E-3</v>
      </c>
      <c r="G231" s="658">
        <f t="shared" si="21"/>
        <v>-4.045497410045347E-3</v>
      </c>
      <c r="H231" s="658">
        <f t="shared" si="22"/>
        <v>1.6366049294683609E-5</v>
      </c>
      <c r="I231" s="659">
        <f t="shared" si="23"/>
        <v>1.5892806227143229E-5</v>
      </c>
      <c r="J231" s="655"/>
    </row>
    <row r="232" spans="1:10" ht="13.5" thickBot="1">
      <c r="A232" s="658" t="s">
        <v>843</v>
      </c>
      <c r="B232" s="658">
        <v>7.2850000000000001</v>
      </c>
      <c r="C232" s="659">
        <v>43128.53</v>
      </c>
      <c r="D232" s="658">
        <f t="shared" si="18"/>
        <v>2.7529249827942248E-3</v>
      </c>
      <c r="E232" s="658">
        <f t="shared" si="19"/>
        <v>-2.6362934823656037E-3</v>
      </c>
      <c r="F232" s="659">
        <f t="shared" si="20"/>
        <v>3.6288003531913431E-3</v>
      </c>
      <c r="G232" s="658">
        <f t="shared" si="21"/>
        <v>-1.651246146276548E-3</v>
      </c>
      <c r="H232" s="658">
        <f t="shared" si="22"/>
        <v>2.7266138355931511E-6</v>
      </c>
      <c r="I232" s="659">
        <f t="shared" si="23"/>
        <v>-5.9920425988141817E-6</v>
      </c>
      <c r="J232" s="655"/>
    </row>
    <row r="233" spans="1:10" ht="13.5" thickBot="1">
      <c r="A233" s="658" t="s">
        <v>842</v>
      </c>
      <c r="B233" s="658">
        <v>7.2649999999999997</v>
      </c>
      <c r="C233" s="659">
        <v>43242.53</v>
      </c>
      <c r="D233" s="658">
        <f t="shared" si="18"/>
        <v>9.7289784572618387E-3</v>
      </c>
      <c r="E233" s="658">
        <f t="shared" si="19"/>
        <v>9.2888358054166176E-4</v>
      </c>
      <c r="F233" s="659">
        <f t="shared" si="20"/>
        <v>1.0604853827658956E-2</v>
      </c>
      <c r="G233" s="658">
        <f t="shared" si="21"/>
        <v>1.9139309166307174E-3</v>
      </c>
      <c r="H233" s="658">
        <f t="shared" si="22"/>
        <v>3.6631315536348979E-6</v>
      </c>
      <c r="I233" s="659">
        <f t="shared" si="23"/>
        <v>2.0296957607106079E-5</v>
      </c>
      <c r="J233" s="655"/>
    </row>
    <row r="234" spans="1:10" ht="13.5" thickBot="1">
      <c r="A234" s="658" t="s">
        <v>841</v>
      </c>
      <c r="B234" s="658">
        <v>7.1950000000000003</v>
      </c>
      <c r="C234" s="659">
        <v>43202.400000000001</v>
      </c>
      <c r="D234" s="658">
        <f t="shared" si="18"/>
        <v>3.0802292263610198E-2</v>
      </c>
      <c r="E234" s="658">
        <f t="shared" si="19"/>
        <v>6.2721017470179774E-4</v>
      </c>
      <c r="F234" s="659">
        <f t="shared" si="20"/>
        <v>3.1678167634007319E-2</v>
      </c>
      <c r="G234" s="658">
        <f t="shared" si="21"/>
        <v>1.6122575107908534E-3</v>
      </c>
      <c r="H234" s="658">
        <f t="shared" si="22"/>
        <v>2.5993742811015188E-6</v>
      </c>
      <c r="I234" s="659">
        <f t="shared" si="23"/>
        <v>5.1073363696020021E-5</v>
      </c>
      <c r="J234" s="655"/>
    </row>
    <row r="235" spans="1:10" ht="13.5" thickBot="1">
      <c r="A235" s="658" t="s">
        <v>840</v>
      </c>
      <c r="B235" s="658">
        <v>6.98</v>
      </c>
      <c r="C235" s="659">
        <v>43175.32</v>
      </c>
      <c r="D235" s="658">
        <f t="shared" si="18"/>
        <v>1.8978102189781243E-2</v>
      </c>
      <c r="E235" s="658">
        <f t="shared" si="19"/>
        <v>-1.1031163963630686E-3</v>
      </c>
      <c r="F235" s="659">
        <f t="shared" si="20"/>
        <v>1.985397756017836E-2</v>
      </c>
      <c r="G235" s="658">
        <f t="shared" si="21"/>
        <v>-1.1806906027401294E-4</v>
      </c>
      <c r="H235" s="658">
        <f t="shared" si="22"/>
        <v>1.39403029939885E-8</v>
      </c>
      <c r="I235" s="659">
        <f t="shared" si="23"/>
        <v>-2.344140473231599E-6</v>
      </c>
      <c r="J235" s="655"/>
    </row>
    <row r="236" spans="1:10" ht="13.5" thickBot="1">
      <c r="A236" s="658" t="s">
        <v>839</v>
      </c>
      <c r="B236" s="658">
        <v>6.85</v>
      </c>
      <c r="C236" s="659">
        <v>43223</v>
      </c>
      <c r="D236" s="658">
        <f t="shared" si="18"/>
        <v>1.5567086730911672E-2</v>
      </c>
      <c r="E236" s="658">
        <f t="shared" si="19"/>
        <v>-9.0956686356613581E-4</v>
      </c>
      <c r="F236" s="659">
        <f t="shared" si="20"/>
        <v>1.644296210130879E-2</v>
      </c>
      <c r="G236" s="658">
        <f t="shared" si="21"/>
        <v>7.5480472522919829E-5</v>
      </c>
      <c r="H236" s="658">
        <f t="shared" si="22"/>
        <v>5.6973017322832553E-9</v>
      </c>
      <c r="I236" s="659">
        <f t="shared" si="23"/>
        <v>1.2411225490832502E-6</v>
      </c>
      <c r="J236" s="655"/>
    </row>
    <row r="237" spans="1:10" ht="13.5" thickBot="1">
      <c r="A237" s="658" t="s">
        <v>838</v>
      </c>
      <c r="B237" s="658">
        <v>6.7450000000000001</v>
      </c>
      <c r="C237" s="659">
        <v>43262.35</v>
      </c>
      <c r="D237" s="658">
        <f t="shared" si="18"/>
        <v>-7.4124914207275183E-2</v>
      </c>
      <c r="E237" s="658">
        <f t="shared" si="19"/>
        <v>-4.0549291653554365E-3</v>
      </c>
      <c r="F237" s="659">
        <f t="shared" si="20"/>
        <v>-7.3249038836878069E-2</v>
      </c>
      <c r="G237" s="658">
        <f t="shared" si="21"/>
        <v>-3.0698818292663808E-3</v>
      </c>
      <c r="H237" s="658">
        <f t="shared" si="22"/>
        <v>9.4241744456599012E-6</v>
      </c>
      <c r="I237" s="659">
        <f t="shared" si="23"/>
        <v>2.2486589333655941E-4</v>
      </c>
      <c r="J237" s="655"/>
    </row>
    <row r="238" spans="1:10" ht="13.5" thickBot="1">
      <c r="A238" s="658" t="s">
        <v>837</v>
      </c>
      <c r="B238" s="658">
        <v>7.2850000000000001</v>
      </c>
      <c r="C238" s="659">
        <v>43438.49</v>
      </c>
      <c r="D238" s="658">
        <f t="shared" si="18"/>
        <v>1.7458100558659151E-2</v>
      </c>
      <c r="E238" s="658">
        <f t="shared" si="19"/>
        <v>8.5862839106551903E-3</v>
      </c>
      <c r="F238" s="659">
        <f t="shared" si="20"/>
        <v>1.8333975929056268E-2</v>
      </c>
      <c r="G238" s="658">
        <f t="shared" si="21"/>
        <v>9.5713312467442455E-3</v>
      </c>
      <c r="H238" s="658">
        <f t="shared" si="22"/>
        <v>9.1610381834902752E-5</v>
      </c>
      <c r="I238" s="659">
        <f t="shared" si="23"/>
        <v>1.7548055668683313E-4</v>
      </c>
      <c r="J238" s="655"/>
    </row>
    <row r="239" spans="1:10" ht="13.5" thickBot="1">
      <c r="A239" s="658" t="s">
        <v>836</v>
      </c>
      <c r="B239" s="658">
        <v>7.16</v>
      </c>
      <c r="C239" s="659">
        <v>43068.69</v>
      </c>
      <c r="D239" s="658">
        <f t="shared" si="18"/>
        <v>-2.0519835841313228E-2</v>
      </c>
      <c r="E239" s="658">
        <f t="shared" si="19"/>
        <v>3.5188303558884027E-3</v>
      </c>
      <c r="F239" s="659">
        <f t="shared" si="20"/>
        <v>-1.964396047091611E-2</v>
      </c>
      <c r="G239" s="658">
        <f t="shared" si="21"/>
        <v>4.5038776919774579E-3</v>
      </c>
      <c r="H239" s="658">
        <f t="shared" si="22"/>
        <v>2.0284914264292194E-5</v>
      </c>
      <c r="I239" s="659">
        <f t="shared" si="23"/>
        <v>-8.8473995347046068E-5</v>
      </c>
      <c r="J239" s="655"/>
    </row>
    <row r="240" spans="1:10" ht="13.5" thickBot="1">
      <c r="A240" s="658" t="s">
        <v>835</v>
      </c>
      <c r="B240" s="658">
        <v>7.31</v>
      </c>
      <c r="C240" s="659">
        <v>42917.67</v>
      </c>
      <c r="D240" s="658">
        <f t="shared" si="18"/>
        <v>-3.4346103038309206E-2</v>
      </c>
      <c r="E240" s="658">
        <f t="shared" si="19"/>
        <v>-2.2280101887042658E-2</v>
      </c>
      <c r="F240" s="659">
        <f t="shared" si="20"/>
        <v>-3.3470227667912085E-2</v>
      </c>
      <c r="G240" s="658">
        <f t="shared" si="21"/>
        <v>-2.1295054550953603E-2</v>
      </c>
      <c r="H240" s="658">
        <f t="shared" si="22"/>
        <v>4.5347934832808975E-4</v>
      </c>
      <c r="I240" s="659">
        <f t="shared" si="23"/>
        <v>7.1275032402102448E-4</v>
      </c>
      <c r="J240" s="655"/>
    </row>
    <row r="241" spans="1:10" ht="13.5" thickBot="1">
      <c r="A241" s="658" t="s">
        <v>834</v>
      </c>
      <c r="B241" s="658">
        <v>7.57</v>
      </c>
      <c r="C241" s="659">
        <v>43895.67</v>
      </c>
      <c r="D241" s="658">
        <f t="shared" si="18"/>
        <v>-6.5616797900261981E-3</v>
      </c>
      <c r="E241" s="658">
        <f t="shared" si="19"/>
        <v>-1.2223755414177861E-2</v>
      </c>
      <c r="F241" s="659">
        <f t="shared" si="20"/>
        <v>-5.6858044196290798E-3</v>
      </c>
      <c r="G241" s="658">
        <f t="shared" si="21"/>
        <v>-1.1238708078088806E-2</v>
      </c>
      <c r="H241" s="658">
        <f t="shared" si="22"/>
        <v>1.2630855926449859E-4</v>
      </c>
      <c r="I241" s="659">
        <f t="shared" si="23"/>
        <v>6.3901096061318375E-5</v>
      </c>
      <c r="J241" s="655"/>
    </row>
    <row r="242" spans="1:10" ht="13.5" thickBot="1">
      <c r="A242" s="658" t="s">
        <v>833</v>
      </c>
      <c r="B242" s="658">
        <v>7.62</v>
      </c>
      <c r="C242" s="659">
        <v>44438.879999999997</v>
      </c>
      <c r="D242" s="658">
        <f t="shared" si="18"/>
        <v>-1.6139444803098812E-2</v>
      </c>
      <c r="E242" s="658">
        <f t="shared" si="19"/>
        <v>-7.8977260549948358E-3</v>
      </c>
      <c r="F242" s="659">
        <f t="shared" si="20"/>
        <v>-1.5263569432701695E-2</v>
      </c>
      <c r="G242" s="658">
        <f t="shared" si="21"/>
        <v>-6.9126787189057806E-3</v>
      </c>
      <c r="H242" s="658">
        <f t="shared" si="22"/>
        <v>4.7785127070812867E-5</v>
      </c>
      <c r="I242" s="659">
        <f t="shared" si="23"/>
        <v>1.0551215159197778E-4</v>
      </c>
      <c r="J242" s="655"/>
    </row>
    <row r="243" spans="1:10" ht="13.5" thickBot="1">
      <c r="A243" s="658" t="s">
        <v>832</v>
      </c>
      <c r="B243" s="658">
        <v>7.7450000000000001</v>
      </c>
      <c r="C243" s="659">
        <v>44792.639999999999</v>
      </c>
      <c r="D243" s="658">
        <f t="shared" si="18"/>
        <v>1.9078947368421195E-2</v>
      </c>
      <c r="E243" s="658">
        <f t="shared" si="19"/>
        <v>8.3297285509487118E-4</v>
      </c>
      <c r="F243" s="659">
        <f t="shared" si="20"/>
        <v>1.9954822738818313E-2</v>
      </c>
      <c r="G243" s="658">
        <f t="shared" si="21"/>
        <v>1.8180201911839268E-3</v>
      </c>
      <c r="H243" s="658">
        <f t="shared" si="22"/>
        <v>3.3051974155524418E-6</v>
      </c>
      <c r="I243" s="659">
        <f t="shared" si="23"/>
        <v>3.6278270650667839E-5</v>
      </c>
      <c r="J243" s="655"/>
    </row>
    <row r="244" spans="1:10" ht="13.5" thickBot="1">
      <c r="A244" s="658" t="s">
        <v>831</v>
      </c>
      <c r="B244" s="658">
        <v>7.6</v>
      </c>
      <c r="C244" s="659">
        <v>44755.360000000001</v>
      </c>
      <c r="D244" s="658">
        <f t="shared" si="18"/>
        <v>-8.4801043705153845E-3</v>
      </c>
      <c r="E244" s="658">
        <f t="shared" si="19"/>
        <v>1.7290041139055523E-2</v>
      </c>
      <c r="F244" s="659">
        <f t="shared" si="20"/>
        <v>-7.6042290001182662E-3</v>
      </c>
      <c r="G244" s="658">
        <f t="shared" si="21"/>
        <v>1.8275088475144578E-2</v>
      </c>
      <c r="H244" s="658">
        <f t="shared" si="22"/>
        <v>3.3397885877436219E-4</v>
      </c>
      <c r="I244" s="659">
        <f t="shared" si="23"/>
        <v>-1.389679577624215E-4</v>
      </c>
      <c r="J244" s="655"/>
    </row>
    <row r="245" spans="1:10" ht="13.5" thickBot="1">
      <c r="A245" s="658" t="s">
        <v>830</v>
      </c>
      <c r="B245" s="658">
        <v>7.665</v>
      </c>
      <c r="C245" s="659">
        <v>43994.69</v>
      </c>
      <c r="D245" s="658">
        <f t="shared" si="18"/>
        <v>2.2681787858572333E-2</v>
      </c>
      <c r="E245" s="658">
        <f t="shared" si="19"/>
        <v>5.1958906287985496E-3</v>
      </c>
      <c r="F245" s="659">
        <f t="shared" si="20"/>
        <v>2.3557663228969451E-2</v>
      </c>
      <c r="G245" s="658">
        <f t="shared" si="21"/>
        <v>6.1809379648876048E-3</v>
      </c>
      <c r="H245" s="658">
        <f t="shared" si="22"/>
        <v>3.8203994125788925E-5</v>
      </c>
      <c r="I245" s="659">
        <f t="shared" si="23"/>
        <v>1.4560845501597399E-4</v>
      </c>
      <c r="J245" s="655"/>
    </row>
    <row r="246" spans="1:10" ht="13.5" thickBot="1">
      <c r="A246" s="658" t="s">
        <v>829</v>
      </c>
      <c r="B246" s="658">
        <v>7.4950000000000001</v>
      </c>
      <c r="C246" s="659">
        <v>43767.28</v>
      </c>
      <c r="D246" s="658">
        <f t="shared" si="18"/>
        <v>3.3793103448275907E-2</v>
      </c>
      <c r="E246" s="658">
        <f t="shared" si="19"/>
        <v>2.1677625620234453E-2</v>
      </c>
      <c r="F246" s="659">
        <f t="shared" si="20"/>
        <v>3.4668978818673028E-2</v>
      </c>
      <c r="G246" s="658">
        <f t="shared" si="21"/>
        <v>2.2662672956323508E-2</v>
      </c>
      <c r="H246" s="658">
        <f t="shared" si="22"/>
        <v>5.1359674552527688E-4</v>
      </c>
      <c r="I246" s="659">
        <f t="shared" si="23"/>
        <v>7.8569172869729373E-4</v>
      </c>
      <c r="J246" s="655"/>
    </row>
    <row r="247" spans="1:10" ht="13.5" thickBot="1">
      <c r="A247" s="658" t="s">
        <v>828</v>
      </c>
      <c r="B247" s="658">
        <v>7.25</v>
      </c>
      <c r="C247" s="659">
        <v>42838.64</v>
      </c>
      <c r="D247" s="658">
        <f t="shared" si="18"/>
        <v>-2.2252191503708718E-2</v>
      </c>
      <c r="E247" s="658">
        <f t="shared" si="19"/>
        <v>4.387888910797777E-3</v>
      </c>
      <c r="F247" s="659">
        <f t="shared" si="20"/>
        <v>-2.1376316133311601E-2</v>
      </c>
      <c r="G247" s="658">
        <f t="shared" si="21"/>
        <v>5.3729362468868322E-3</v>
      </c>
      <c r="H247" s="658">
        <f t="shared" si="22"/>
        <v>2.8868443913110357E-5</v>
      </c>
      <c r="I247" s="659">
        <f t="shared" si="23"/>
        <v>-1.1485358377758167E-4</v>
      </c>
      <c r="J247" s="655"/>
    </row>
    <row r="248" spans="1:10" ht="13.5" thickBot="1">
      <c r="A248" s="658" t="s">
        <v>827</v>
      </c>
      <c r="B248" s="658">
        <v>7.415</v>
      </c>
      <c r="C248" s="659">
        <v>42651.49</v>
      </c>
      <c r="D248" s="658">
        <f t="shared" si="18"/>
        <v>-4.0295500335796319E-3</v>
      </c>
      <c r="E248" s="658">
        <f t="shared" si="19"/>
        <v>-6.2014127524253615E-3</v>
      </c>
      <c r="F248" s="659">
        <f t="shared" si="20"/>
        <v>-3.1536746631825137E-3</v>
      </c>
      <c r="G248" s="658">
        <f t="shared" si="21"/>
        <v>-5.2163654163363063E-3</v>
      </c>
      <c r="H248" s="658">
        <f t="shared" si="22"/>
        <v>2.7210468156749446E-5</v>
      </c>
      <c r="I248" s="659">
        <f t="shared" si="23"/>
        <v>1.6450719447401312E-5</v>
      </c>
      <c r="J248" s="655"/>
    </row>
    <row r="249" spans="1:10" ht="13.5" thickBot="1">
      <c r="A249" s="658" t="s">
        <v>826</v>
      </c>
      <c r="B249" s="658">
        <v>7.4450000000000003</v>
      </c>
      <c r="C249" s="659">
        <v>42917.64</v>
      </c>
      <c r="D249" s="658">
        <f t="shared" si="18"/>
        <v>-1.5211640211640121E-2</v>
      </c>
      <c r="E249" s="658">
        <f t="shared" si="19"/>
        <v>5.9999995311952325E-3</v>
      </c>
      <c r="F249" s="659">
        <f t="shared" si="20"/>
        <v>-1.4335764841243003E-2</v>
      </c>
      <c r="G249" s="658">
        <f t="shared" si="21"/>
        <v>6.9850468672842878E-3</v>
      </c>
      <c r="H249" s="658">
        <f t="shared" si="22"/>
        <v>4.8790879738158039E-5</v>
      </c>
      <c r="I249" s="659">
        <f t="shared" si="23"/>
        <v>-1.0013598929444868E-4</v>
      </c>
      <c r="J249" s="655"/>
    </row>
    <row r="250" spans="1:10" ht="13.5" thickBot="1">
      <c r="A250" s="658" t="s">
        <v>825</v>
      </c>
      <c r="B250" s="658">
        <v>7.56</v>
      </c>
      <c r="C250" s="659">
        <v>42661.67</v>
      </c>
      <c r="D250" s="658">
        <f t="shared" si="18"/>
        <v>-1.176470588235301E-2</v>
      </c>
      <c r="E250" s="658">
        <f t="shared" si="19"/>
        <v>8.5937524011086008E-3</v>
      </c>
      <c r="F250" s="659">
        <f t="shared" si="20"/>
        <v>-1.0888830511955893E-2</v>
      </c>
      <c r="G250" s="658">
        <f t="shared" si="21"/>
        <v>9.578799737197656E-3</v>
      </c>
      <c r="H250" s="658">
        <f t="shared" si="22"/>
        <v>9.1753404405337885E-5</v>
      </c>
      <c r="I250" s="659">
        <f t="shared" si="23"/>
        <v>-1.0430192684631293E-4</v>
      </c>
      <c r="J250" s="655"/>
    </row>
    <row r="251" spans="1:10" ht="13.5" thickBot="1">
      <c r="A251" s="658" t="s">
        <v>824</v>
      </c>
      <c r="B251" s="658">
        <v>7.65</v>
      </c>
      <c r="C251" s="659">
        <v>42298.17</v>
      </c>
      <c r="D251" s="658">
        <f t="shared" si="18"/>
        <v>-6.5316786414104655E-4</v>
      </c>
      <c r="E251" s="658">
        <f t="shared" si="19"/>
        <v>-9.3794512521002682E-3</v>
      </c>
      <c r="F251" s="659">
        <f t="shared" si="20"/>
        <v>2.2270750625607162E-4</v>
      </c>
      <c r="G251" s="658">
        <f t="shared" si="21"/>
        <v>-8.394403916011213E-3</v>
      </c>
      <c r="H251" s="658">
        <f t="shared" si="22"/>
        <v>7.0466017105144394E-5</v>
      </c>
      <c r="I251" s="659">
        <f t="shared" si="23"/>
        <v>-1.8694967626410593E-6</v>
      </c>
      <c r="J251" s="655"/>
    </row>
    <row r="252" spans="1:10" ht="13.5" thickBot="1">
      <c r="A252" s="658" t="s">
        <v>823</v>
      </c>
      <c r="B252" s="658">
        <v>7.6550000000000002</v>
      </c>
      <c r="C252" s="659">
        <v>42698.66</v>
      </c>
      <c r="D252" s="658">
        <f t="shared" si="18"/>
        <v>-5.8441558441558739E-3</v>
      </c>
      <c r="E252" s="658">
        <f t="shared" si="19"/>
        <v>-1.0008272602660906E-2</v>
      </c>
      <c r="F252" s="659">
        <f t="shared" si="20"/>
        <v>-4.9682804737587556E-3</v>
      </c>
      <c r="G252" s="658">
        <f t="shared" si="21"/>
        <v>-9.0232252665718507E-3</v>
      </c>
      <c r="H252" s="658">
        <f t="shared" si="22"/>
        <v>8.1418594211300646E-5</v>
      </c>
      <c r="I252" s="659">
        <f t="shared" si="23"/>
        <v>4.4829913902235566E-5</v>
      </c>
      <c r="J252" s="655"/>
    </row>
    <row r="253" spans="1:10" ht="13.5" thickBot="1">
      <c r="A253" s="658" t="s">
        <v>822</v>
      </c>
      <c r="B253" s="658">
        <v>7.7</v>
      </c>
      <c r="C253" s="659">
        <v>43130.32</v>
      </c>
      <c r="D253" s="658">
        <f t="shared" si="18"/>
        <v>-7.7319587628865705E-3</v>
      </c>
      <c r="E253" s="658">
        <f t="shared" si="19"/>
        <v>-2.0719636593077295E-3</v>
      </c>
      <c r="F253" s="659">
        <f t="shared" si="20"/>
        <v>-6.8560833924894522E-3</v>
      </c>
      <c r="G253" s="658">
        <f t="shared" si="21"/>
        <v>-1.0869163232186739E-3</v>
      </c>
      <c r="H253" s="658">
        <f t="shared" si="22"/>
        <v>1.1813870936792007E-6</v>
      </c>
      <c r="I253" s="659">
        <f t="shared" si="23"/>
        <v>7.4519889526452474E-6</v>
      </c>
      <c r="J253" s="655"/>
    </row>
    <row r="254" spans="1:10" ht="13.5" thickBot="1">
      <c r="A254" s="658" t="s">
        <v>821</v>
      </c>
      <c r="B254" s="658">
        <v>7.76</v>
      </c>
      <c r="C254" s="659">
        <v>43219.87</v>
      </c>
      <c r="D254" s="658">
        <f t="shared" si="18"/>
        <v>-2.3285084959093871E-2</v>
      </c>
      <c r="E254" s="658">
        <f t="shared" si="19"/>
        <v>-3.1630409938323556E-3</v>
      </c>
      <c r="F254" s="659">
        <f t="shared" si="20"/>
        <v>-2.2409209588696754E-2</v>
      </c>
      <c r="G254" s="658">
        <f t="shared" si="21"/>
        <v>-2.1779936577433E-3</v>
      </c>
      <c r="H254" s="658">
        <f t="shared" si="22"/>
        <v>4.7436563731700385E-6</v>
      </c>
      <c r="I254" s="659">
        <f t="shared" si="23"/>
        <v>4.8807116359221875E-5</v>
      </c>
      <c r="J254" s="655"/>
    </row>
    <row r="255" spans="1:10" ht="13.5" thickBot="1">
      <c r="A255" s="658" t="s">
        <v>820</v>
      </c>
      <c r="B255" s="658">
        <v>7.9450000000000003</v>
      </c>
      <c r="C255" s="659">
        <v>43357.01</v>
      </c>
      <c r="D255" s="658"/>
      <c r="E255" s="658"/>
      <c r="F255" s="659">
        <f t="shared" si="20"/>
        <v>8.7587537039711817E-4</v>
      </c>
      <c r="G255" s="658">
        <f t="shared" si="21"/>
        <v>9.8504733608905564E-4</v>
      </c>
      <c r="H255" s="658">
        <f t="shared" si="22"/>
        <v>9.7031825433614501E-7</v>
      </c>
      <c r="I255" s="659">
        <f t="shared" si="23"/>
        <v>8.6277870035569618E-7</v>
      </c>
      <c r="J255" s="655"/>
    </row>
    <row r="256" spans="1:10">
      <c r="D256" s="604">
        <f>AVERAGE(D3:D254)</f>
        <v>-8.7587537039711817E-4</v>
      </c>
      <c r="E256" s="604">
        <f>AVERAGE(E3:E254)</f>
        <v>-9.8504733608905564E-4</v>
      </c>
    </row>
    <row r="257" spans="4:9">
      <c r="D257" s="656"/>
      <c r="G257" s="604" t="s">
        <v>482</v>
      </c>
      <c r="H257" s="581">
        <f>SUM(H3:H255)</f>
        <v>3.3793676293742726E-2</v>
      </c>
      <c r="I257" s="581">
        <f>SUM(I3:I255)</f>
        <v>2.7862805430843515E-2</v>
      </c>
    </row>
    <row r="258" spans="4:9">
      <c r="G258" s="604" t="s">
        <v>714</v>
      </c>
      <c r="H258" s="581">
        <f>COUNT(H3:H255)</f>
        <v>253</v>
      </c>
      <c r="I258" s="581">
        <f>COUNT(I3:I255)</f>
        <v>253</v>
      </c>
    </row>
    <row r="259" spans="4:9">
      <c r="G259" s="581" t="s">
        <v>713</v>
      </c>
      <c r="H259" s="581">
        <f>H257/252</f>
        <v>1.3410189005453463E-4</v>
      </c>
    </row>
    <row r="260" spans="4:9">
      <c r="G260" s="581" t="s">
        <v>712</v>
      </c>
      <c r="I260" s="581">
        <f>I257/252</f>
        <v>1.10566688217633E-4</v>
      </c>
    </row>
    <row r="261" spans="4:9">
      <c r="D261" s="656"/>
    </row>
    <row r="262" spans="4:9">
      <c r="G262" s="604" t="s">
        <v>711</v>
      </c>
      <c r="H262" s="581">
        <f>I260/H259</f>
        <v>0.82449761276794331</v>
      </c>
    </row>
    <row r="263" spans="4:9">
      <c r="D263" s="656"/>
    </row>
    <row r="265" spans="4:9">
      <c r="D265" s="65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45400-A808-4FB0-8C06-144E6AC04826}">
  <sheetPr>
    <tabColor rgb="FFED7D31"/>
  </sheetPr>
  <dimension ref="A1:GQ171"/>
  <sheetViews>
    <sheetView showGridLines="0" tabSelected="1" zoomScale="57" zoomScaleNormal="90" zoomScalePageLayoutView="126" workbookViewId="0">
      <selection activeCell="AQ117" sqref="AQ117"/>
    </sheetView>
  </sheetViews>
  <sheetFormatPr defaultColWidth="10.7109375" defaultRowHeight="12.75"/>
  <cols>
    <col min="1" max="1" width="12.5703125" style="675" customWidth="1"/>
    <col min="2" max="2" width="6.85546875" style="675" customWidth="1"/>
    <col min="3" max="3" width="7.28515625" style="675" customWidth="1"/>
    <col min="4" max="4" width="6.85546875" style="675" customWidth="1"/>
    <col min="5" max="5" width="10.28515625" style="675" customWidth="1"/>
    <col min="6" max="6" width="8.140625" style="675" customWidth="1"/>
    <col min="7" max="8" width="7.140625" style="675" customWidth="1"/>
    <col min="9" max="9" width="3" style="675" customWidth="1"/>
    <col min="10" max="10" width="6.42578125" style="675" customWidth="1"/>
    <col min="11" max="11" width="23.85546875" style="7" bestFit="1" customWidth="1"/>
    <col min="12" max="12" width="5.85546875" style="675" customWidth="1"/>
    <col min="13" max="13" width="5" style="675" customWidth="1"/>
    <col min="14" max="14" width="0.28515625" style="675" customWidth="1"/>
    <col min="15" max="15" width="12.5703125" style="675" customWidth="1"/>
    <col min="16" max="16" width="8.28515625" style="675" customWidth="1"/>
    <col min="17" max="19" width="8.140625" style="675" customWidth="1"/>
    <col min="20" max="20" width="8" style="675" customWidth="1"/>
    <col min="21" max="21" width="8.28515625" style="675" customWidth="1"/>
    <col min="22" max="22" width="9.5703125" style="675" customWidth="1"/>
    <col min="23" max="23" width="8.7109375" style="675" customWidth="1"/>
    <col min="24" max="24" width="8.140625" style="675" customWidth="1"/>
    <col min="25" max="25" width="4.7109375" style="675" hidden="1" customWidth="1"/>
    <col min="26" max="26" width="4.7109375" style="675" customWidth="1"/>
    <col min="27" max="27" width="5.140625" style="675" customWidth="1"/>
    <col min="28" max="28" width="3" style="675" customWidth="1"/>
    <col min="29" max="29" width="2.7109375" style="675" customWidth="1"/>
    <col min="30" max="30" width="10.7109375" style="675" customWidth="1"/>
    <col min="31" max="31" width="5.42578125" style="675" bestFit="1" customWidth="1"/>
    <col min="32" max="32" width="9" style="675" customWidth="1"/>
    <col min="33" max="33" width="6" style="675" customWidth="1"/>
    <col min="34" max="36" width="6.42578125" style="675" customWidth="1"/>
    <col min="37" max="39" width="6.28515625" style="675" customWidth="1"/>
    <col min="40" max="40" width="2.42578125" style="675" customWidth="1"/>
    <col min="41" max="41" width="8.140625" style="675" customWidth="1"/>
    <col min="42" max="42" width="2.42578125" style="675" hidden="1" customWidth="1"/>
    <col min="43" max="43" width="3" style="675" customWidth="1"/>
    <col min="44" max="16384" width="10.7109375" style="675"/>
  </cols>
  <sheetData>
    <row r="1" spans="1:43" ht="15" customHeight="1">
      <c r="A1" s="780" t="s">
        <v>1212</v>
      </c>
      <c r="B1" s="781"/>
      <c r="C1" s="781"/>
      <c r="D1" s="781"/>
      <c r="E1" s="781"/>
      <c r="F1" s="781"/>
      <c r="G1" s="781"/>
      <c r="H1" s="1044" t="s">
        <v>1089</v>
      </c>
      <c r="I1" s="1044"/>
      <c r="J1" s="1044"/>
      <c r="K1" s="1044"/>
      <c r="L1" s="1044"/>
      <c r="M1" s="1044"/>
      <c r="N1" s="777"/>
      <c r="O1" s="782" t="s">
        <v>1204</v>
      </c>
      <c r="P1" s="781"/>
      <c r="Q1" s="781"/>
      <c r="R1" s="781"/>
      <c r="S1" s="781"/>
      <c r="T1" s="781"/>
      <c r="U1" s="781"/>
      <c r="V1" s="1019" t="s">
        <v>1089</v>
      </c>
      <c r="W1" s="1019"/>
      <c r="X1" s="1019"/>
      <c r="Y1" s="1019"/>
      <c r="Z1" s="1019"/>
      <c r="AA1" s="1019"/>
      <c r="AB1" s="673"/>
      <c r="AC1" s="1024"/>
      <c r="AD1" s="782" t="s">
        <v>1204</v>
      </c>
      <c r="AE1" s="781"/>
      <c r="AF1" s="781"/>
      <c r="AG1" s="781"/>
      <c r="AH1" s="781"/>
      <c r="AI1" s="781"/>
      <c r="AJ1" s="781"/>
      <c r="AK1" s="1019" t="s">
        <v>1089</v>
      </c>
      <c r="AL1" s="1019"/>
      <c r="AM1" s="1019"/>
      <c r="AN1" s="1019"/>
      <c r="AO1" s="1019"/>
      <c r="AP1" s="1019"/>
      <c r="AQ1" s="674"/>
    </row>
    <row r="2" spans="1:43" ht="15" customHeight="1">
      <c r="A2" s="778"/>
      <c r="B2" s="778"/>
      <c r="C2" s="778"/>
      <c r="D2" s="778"/>
      <c r="E2" s="778"/>
      <c r="F2" s="778"/>
      <c r="G2" s="778"/>
      <c r="H2" s="1045" t="s">
        <v>1089</v>
      </c>
      <c r="I2" s="1046"/>
      <c r="J2" s="1046"/>
      <c r="K2" s="677"/>
      <c r="L2" s="678">
        <f>L61</f>
        <v>7.02</v>
      </c>
      <c r="M2" s="678"/>
      <c r="N2" s="672"/>
      <c r="O2" s="676"/>
      <c r="P2" s="676"/>
      <c r="Q2" s="676"/>
      <c r="R2" s="676"/>
      <c r="S2" s="676"/>
      <c r="T2" s="676"/>
      <c r="U2" s="676"/>
      <c r="V2" s="1026" t="s">
        <v>1090</v>
      </c>
      <c r="W2" s="1026"/>
      <c r="X2" s="1026"/>
      <c r="Y2" s="679"/>
      <c r="Z2" s="680">
        <f>L2</f>
        <v>7.02</v>
      </c>
      <c r="AA2" s="680"/>
      <c r="AB2" s="681"/>
      <c r="AC2" s="1024"/>
      <c r="AD2" s="682"/>
      <c r="AE2" s="682"/>
      <c r="AF2" s="682"/>
      <c r="AG2" s="682"/>
      <c r="AH2" s="682"/>
      <c r="AI2" s="682"/>
      <c r="AJ2" s="682"/>
      <c r="AK2" s="682"/>
      <c r="AL2" s="682"/>
      <c r="AM2" s="682"/>
      <c r="AN2" s="682"/>
      <c r="AO2" s="683"/>
      <c r="AP2" s="684"/>
      <c r="AQ2" s="681"/>
    </row>
    <row r="3" spans="1:43" ht="15" customHeight="1">
      <c r="A3" s="779" t="s">
        <v>1091</v>
      </c>
      <c r="B3" s="778"/>
      <c r="C3" s="778"/>
      <c r="D3" s="778"/>
      <c r="E3" s="778"/>
      <c r="F3" s="778"/>
      <c r="G3" s="778"/>
      <c r="H3" s="1046" t="s">
        <v>1092</v>
      </c>
      <c r="I3" s="1046"/>
      <c r="J3" s="1046"/>
      <c r="K3" s="677"/>
      <c r="L3" s="678">
        <v>6.69</v>
      </c>
      <c r="M3" s="678"/>
      <c r="N3" s="672"/>
      <c r="O3" s="685" t="s">
        <v>1093</v>
      </c>
      <c r="P3" s="676"/>
      <c r="Q3" s="676"/>
      <c r="R3" s="676"/>
      <c r="S3" s="676"/>
      <c r="T3" s="676"/>
      <c r="U3" s="676"/>
      <c r="V3" s="1026" t="s">
        <v>1092</v>
      </c>
      <c r="W3" s="1026"/>
      <c r="X3" s="1026"/>
      <c r="Y3" s="679"/>
      <c r="Z3" s="680">
        <v>6.69</v>
      </c>
      <c r="AA3" s="680"/>
      <c r="AB3" s="681"/>
      <c r="AC3" s="1024"/>
      <c r="AD3" s="851"/>
      <c r="AE3" s="676"/>
      <c r="AF3" s="851"/>
      <c r="AG3" s="851" t="s">
        <v>1211</v>
      </c>
      <c r="AH3" s="851"/>
      <c r="AI3" s="676"/>
      <c r="AJ3" s="676"/>
      <c r="AK3" s="676"/>
      <c r="AL3" s="676"/>
      <c r="AM3" s="676"/>
      <c r="AN3" s="676"/>
      <c r="AO3" s="686"/>
      <c r="AP3" s="684"/>
      <c r="AQ3" s="681"/>
    </row>
    <row r="4" spans="1:43" ht="15" customHeight="1">
      <c r="A4" s="778"/>
      <c r="B4" s="778"/>
      <c r="C4" s="778"/>
      <c r="D4" s="778"/>
      <c r="E4" s="778"/>
      <c r="F4" s="778"/>
      <c r="G4" s="778"/>
      <c r="H4" s="1027"/>
      <c r="I4" s="1027"/>
      <c r="J4" s="1027"/>
      <c r="K4" s="677"/>
      <c r="L4" s="687"/>
      <c r="M4" s="687"/>
      <c r="N4" s="672"/>
      <c r="O4" s="676"/>
      <c r="P4" s="676"/>
      <c r="Q4" s="676"/>
      <c r="R4" s="676"/>
      <c r="S4" s="676"/>
      <c r="T4" s="676"/>
      <c r="U4" s="676"/>
      <c r="V4" s="1027"/>
      <c r="W4" s="1027"/>
      <c r="X4" s="1027"/>
      <c r="Y4" s="679"/>
      <c r="Z4" s="688"/>
      <c r="AA4" s="688"/>
      <c r="AB4" s="681"/>
      <c r="AC4" s="1024"/>
      <c r="AD4" s="689"/>
      <c r="AE4" s="689"/>
      <c r="AF4" s="689"/>
      <c r="AG4" s="689"/>
      <c r="AH4" s="689"/>
      <c r="AI4" s="689"/>
      <c r="AJ4" s="689"/>
      <c r="AK4" s="689"/>
      <c r="AL4" s="689"/>
      <c r="AM4" s="689"/>
      <c r="AN4" s="689"/>
      <c r="AO4" s="690"/>
      <c r="AP4" s="691"/>
      <c r="AQ4" s="681"/>
    </row>
    <row r="5" spans="1:43" ht="12" customHeight="1">
      <c r="A5" s="681"/>
      <c r="B5" s="681"/>
      <c r="C5" s="681"/>
      <c r="D5" s="681"/>
      <c r="E5" s="681"/>
      <c r="F5" s="681"/>
      <c r="G5" s="681"/>
      <c r="H5" s="692"/>
      <c r="I5" s="693"/>
      <c r="J5" s="692"/>
      <c r="K5" s="694"/>
      <c r="L5" s="692"/>
      <c r="M5" s="692"/>
      <c r="N5" s="672"/>
      <c r="O5" s="681"/>
      <c r="P5" s="681"/>
      <c r="Q5" s="681"/>
      <c r="R5" s="681"/>
      <c r="S5" s="681"/>
      <c r="T5" s="681"/>
      <c r="U5" s="681"/>
      <c r="V5" s="673"/>
      <c r="W5" s="681"/>
      <c r="X5" s="681"/>
      <c r="Y5" s="681"/>
      <c r="Z5" s="681"/>
      <c r="AA5" s="681"/>
      <c r="AB5" s="681"/>
      <c r="AC5" s="1024"/>
      <c r="AD5" s="681"/>
      <c r="AE5" s="681"/>
      <c r="AF5" s="681"/>
      <c r="AG5" s="681"/>
      <c r="AH5" s="681"/>
      <c r="AI5" s="681"/>
      <c r="AJ5" s="681"/>
      <c r="AK5" s="673"/>
      <c r="AL5" s="681"/>
      <c r="AM5" s="681"/>
      <c r="AN5" s="681"/>
      <c r="AO5" s="681"/>
      <c r="AP5" s="681"/>
      <c r="AQ5" s="681"/>
    </row>
    <row r="6" spans="1:43" ht="12" customHeight="1">
      <c r="A6" s="795" t="s">
        <v>1205</v>
      </c>
      <c r="B6" s="785"/>
      <c r="G6" s="681"/>
      <c r="H6" s="783" t="s">
        <v>1095</v>
      </c>
      <c r="I6" s="783"/>
      <c r="J6" s="784"/>
      <c r="K6" s="784"/>
      <c r="L6" s="785"/>
      <c r="M6" s="785"/>
      <c r="N6" s="672"/>
      <c r="O6" s="837" t="s">
        <v>1218</v>
      </c>
      <c r="P6" s="786"/>
      <c r="Q6" s="786"/>
      <c r="R6" s="786"/>
      <c r="S6" s="775"/>
      <c r="T6" s="775"/>
      <c r="U6" s="775"/>
      <c r="V6" s="775"/>
      <c r="W6" s="775"/>
      <c r="X6" s="775"/>
      <c r="Y6" s="775"/>
      <c r="Z6" s="775"/>
      <c r="AA6" s="775"/>
      <c r="AB6" s="681"/>
      <c r="AC6" s="1024"/>
      <c r="AD6" s="776"/>
      <c r="AQ6" s="681"/>
    </row>
    <row r="7" spans="1:43" ht="12" customHeight="1">
      <c r="A7" s="1113" t="s">
        <v>1539</v>
      </c>
      <c r="B7" s="1022"/>
      <c r="C7" s="1022"/>
      <c r="D7" s="1022"/>
      <c r="E7" s="1022"/>
      <c r="F7" s="1022"/>
      <c r="G7" s="699"/>
      <c r="H7" s="785" t="s">
        <v>1096</v>
      </c>
      <c r="I7" s="786"/>
      <c r="J7" s="787"/>
      <c r="K7" s="785"/>
      <c r="L7" s="1040" t="s">
        <v>1512</v>
      </c>
      <c r="M7" s="1040"/>
      <c r="N7" s="672"/>
      <c r="O7" s="1036" t="s">
        <v>1219</v>
      </c>
      <c r="P7" s="1037"/>
      <c r="Q7" s="1037"/>
      <c r="R7" s="1037"/>
      <c r="S7" s="1037"/>
      <c r="T7" s="1037"/>
      <c r="U7" s="1037"/>
      <c r="V7" s="1037"/>
      <c r="W7" s="1037"/>
      <c r="X7" s="1037"/>
      <c r="Y7" s="1037"/>
      <c r="Z7" s="1037"/>
      <c r="AA7" s="1037"/>
      <c r="AB7" s="681"/>
      <c r="AC7" s="1024"/>
      <c r="AD7" s="1021" t="s">
        <v>1228</v>
      </c>
      <c r="AE7" s="1021"/>
      <c r="AF7" s="1021"/>
      <c r="AG7" s="1021"/>
      <c r="AH7" s="1021"/>
      <c r="AI7" s="1021"/>
      <c r="AJ7" s="1021"/>
      <c r="AK7" s="1021"/>
      <c r="AL7" s="1021"/>
      <c r="AM7" s="1021"/>
      <c r="AN7" s="1021"/>
      <c r="AO7" s="1021"/>
      <c r="AP7" s="1021"/>
      <c r="AQ7" s="681"/>
    </row>
    <row r="8" spans="1:43" ht="12" customHeight="1">
      <c r="A8" s="1022"/>
      <c r="B8" s="1022"/>
      <c r="C8" s="1022"/>
      <c r="D8" s="1022"/>
      <c r="E8" s="1022"/>
      <c r="F8" s="1022"/>
      <c r="G8" s="699"/>
      <c r="H8" s="785" t="s">
        <v>1097</v>
      </c>
      <c r="I8" s="785"/>
      <c r="J8" s="788"/>
      <c r="K8" s="789"/>
      <c r="L8" s="1123" t="s">
        <v>1551</v>
      </c>
      <c r="M8" s="1038"/>
      <c r="N8" s="672"/>
      <c r="O8" s="1037"/>
      <c r="P8" s="1037"/>
      <c r="Q8" s="1037"/>
      <c r="R8" s="1037"/>
      <c r="S8" s="1037"/>
      <c r="T8" s="1037"/>
      <c r="U8" s="1037"/>
      <c r="V8" s="1037"/>
      <c r="W8" s="1037"/>
      <c r="X8" s="1037"/>
      <c r="Y8" s="1037"/>
      <c r="Z8" s="1037"/>
      <c r="AA8" s="1037"/>
      <c r="AB8" s="681"/>
      <c r="AC8" s="1024"/>
      <c r="AD8" s="1021"/>
      <c r="AE8" s="1021"/>
      <c r="AF8" s="1021"/>
      <c r="AG8" s="1021"/>
      <c r="AH8" s="1021"/>
      <c r="AI8" s="1021"/>
      <c r="AJ8" s="1021"/>
      <c r="AK8" s="1021"/>
      <c r="AL8" s="1021"/>
      <c r="AM8" s="1021"/>
      <c r="AN8" s="1021"/>
      <c r="AO8" s="1021"/>
      <c r="AP8" s="1021"/>
      <c r="AQ8" s="681"/>
    </row>
    <row r="9" spans="1:43" ht="12" customHeight="1">
      <c r="A9" s="1022"/>
      <c r="B9" s="1022"/>
      <c r="C9" s="1022"/>
      <c r="D9" s="1022"/>
      <c r="E9" s="1022"/>
      <c r="F9" s="1022"/>
      <c r="G9" s="699"/>
      <c r="H9" s="785" t="s">
        <v>688</v>
      </c>
      <c r="I9" s="786"/>
      <c r="J9" s="788"/>
      <c r="K9" s="789"/>
      <c r="L9" s="1124" t="s">
        <v>1552</v>
      </c>
      <c r="M9" s="1039"/>
      <c r="N9" s="672"/>
      <c r="O9" s="1037"/>
      <c r="P9" s="1037"/>
      <c r="Q9" s="1037"/>
      <c r="R9" s="1037"/>
      <c r="S9" s="1037"/>
      <c r="T9" s="1037"/>
      <c r="U9" s="1037"/>
      <c r="V9" s="1037"/>
      <c r="W9" s="1037"/>
      <c r="X9" s="1037"/>
      <c r="Y9" s="1037"/>
      <c r="Z9" s="1037"/>
      <c r="AA9" s="1037"/>
      <c r="AB9" s="681"/>
      <c r="AC9" s="1024"/>
      <c r="AD9" s="1021"/>
      <c r="AE9" s="1021"/>
      <c r="AF9" s="1021"/>
      <c r="AG9" s="1021"/>
      <c r="AH9" s="1021"/>
      <c r="AI9" s="1021"/>
      <c r="AJ9" s="1021"/>
      <c r="AK9" s="1021"/>
      <c r="AL9" s="1021"/>
      <c r="AM9" s="1021"/>
      <c r="AN9" s="1021"/>
      <c r="AO9" s="1021"/>
      <c r="AP9" s="1021"/>
      <c r="AQ9" s="681"/>
    </row>
    <row r="10" spans="1:43" ht="12" customHeight="1">
      <c r="A10" s="1022"/>
      <c r="B10" s="1022"/>
      <c r="C10" s="1022"/>
      <c r="D10" s="1022"/>
      <c r="E10" s="1022"/>
      <c r="F10" s="1022"/>
      <c r="G10" s="699"/>
      <c r="H10" s="785" t="s">
        <v>1098</v>
      </c>
      <c r="I10" s="786"/>
      <c r="J10" s="790"/>
      <c r="K10" s="791"/>
      <c r="L10" s="1041" t="s">
        <v>1165</v>
      </c>
      <c r="M10" s="1041"/>
      <c r="N10" s="672"/>
      <c r="O10" s="1037"/>
      <c r="P10" s="1037"/>
      <c r="Q10" s="1037"/>
      <c r="R10" s="1037"/>
      <c r="S10" s="1037"/>
      <c r="T10" s="1037"/>
      <c r="U10" s="1037"/>
      <c r="V10" s="1037"/>
      <c r="W10" s="1037"/>
      <c r="X10" s="1037"/>
      <c r="Y10" s="1037"/>
      <c r="Z10" s="1037"/>
      <c r="AA10" s="1037"/>
      <c r="AB10" s="681"/>
      <c r="AC10" s="1024"/>
      <c r="AD10" s="1021"/>
      <c r="AE10" s="1021"/>
      <c r="AF10" s="1021"/>
      <c r="AG10" s="1021"/>
      <c r="AH10" s="1021"/>
      <c r="AI10" s="1021"/>
      <c r="AJ10" s="1021"/>
      <c r="AK10" s="1021"/>
      <c r="AL10" s="1021"/>
      <c r="AM10" s="1021"/>
      <c r="AN10" s="1021"/>
      <c r="AO10" s="1021"/>
      <c r="AP10" s="1021"/>
      <c r="AQ10" s="681"/>
    </row>
    <row r="11" spans="1:43" ht="12" customHeight="1">
      <c r="A11" s="1022"/>
      <c r="B11" s="1022"/>
      <c r="C11" s="1022"/>
      <c r="D11" s="1022"/>
      <c r="E11" s="1022"/>
      <c r="F11" s="1022"/>
      <c r="G11" s="699"/>
      <c r="H11" s="792" t="s">
        <v>686</v>
      </c>
      <c r="I11" s="786"/>
      <c r="J11" s="793"/>
      <c r="K11" s="789"/>
      <c r="L11" s="1042">
        <v>0.35</v>
      </c>
      <c r="M11" s="1042"/>
      <c r="N11" s="672"/>
      <c r="O11" s="839" t="s">
        <v>1099</v>
      </c>
      <c r="P11" s="839" t="s">
        <v>1100</v>
      </c>
      <c r="Q11" s="839" t="s">
        <v>1101</v>
      </c>
      <c r="R11" s="702"/>
      <c r="T11" s="839" t="s">
        <v>1099</v>
      </c>
      <c r="U11" s="839"/>
      <c r="V11" s="839"/>
      <c r="W11" s="839" t="s">
        <v>1191</v>
      </c>
      <c r="X11" s="704"/>
      <c r="Y11" s="704"/>
      <c r="Z11" s="702"/>
      <c r="AA11" s="681"/>
      <c r="AB11" s="681"/>
      <c r="AC11" s="1024"/>
      <c r="AD11" s="1021"/>
      <c r="AE11" s="1021"/>
      <c r="AF11" s="1021"/>
      <c r="AG11" s="1021"/>
      <c r="AH11" s="1021"/>
      <c r="AI11" s="1021"/>
      <c r="AJ11" s="1021"/>
      <c r="AK11" s="1021"/>
      <c r="AL11" s="1021"/>
      <c r="AM11" s="1021"/>
      <c r="AN11" s="1021"/>
      <c r="AO11" s="1021"/>
      <c r="AP11" s="1021"/>
      <c r="AQ11" s="681"/>
    </row>
    <row r="12" spans="1:43" ht="12" customHeight="1">
      <c r="A12" s="1022"/>
      <c r="B12" s="1022"/>
      <c r="C12" s="1022"/>
      <c r="D12" s="1022"/>
      <c r="E12" s="1022"/>
      <c r="F12" s="1022"/>
      <c r="G12" s="699"/>
      <c r="H12" s="792" t="s">
        <v>685</v>
      </c>
      <c r="I12" s="785"/>
      <c r="J12" s="790"/>
      <c r="K12" s="789"/>
      <c r="L12" s="1041">
        <v>0.82399999999999995</v>
      </c>
      <c r="M12" s="1041"/>
      <c r="N12" s="672"/>
      <c r="O12" s="785" t="s">
        <v>1187</v>
      </c>
      <c r="P12" s="794">
        <v>15</v>
      </c>
      <c r="Q12" s="840">
        <v>4.4999999999999998E-2</v>
      </c>
      <c r="S12" s="705"/>
      <c r="T12" s="785" t="s">
        <v>1187</v>
      </c>
      <c r="U12" s="794"/>
      <c r="V12" s="794"/>
      <c r="W12" s="794">
        <v>195</v>
      </c>
      <c r="X12" s="703"/>
      <c r="Y12" s="703"/>
      <c r="AA12" s="681"/>
      <c r="AB12" s="681"/>
      <c r="AC12" s="1024"/>
      <c r="AD12" s="1021"/>
      <c r="AE12" s="1021"/>
      <c r="AF12" s="1021"/>
      <c r="AG12" s="1021"/>
      <c r="AH12" s="1021"/>
      <c r="AI12" s="1021"/>
      <c r="AJ12" s="1021"/>
      <c r="AK12" s="1021"/>
      <c r="AL12" s="1021"/>
      <c r="AM12" s="1021"/>
      <c r="AN12" s="1021"/>
      <c r="AO12" s="1021"/>
      <c r="AP12" s="1021"/>
      <c r="AQ12" s="681"/>
    </row>
    <row r="13" spans="1:43" ht="12">
      <c r="A13" s="795" t="s">
        <v>1103</v>
      </c>
      <c r="B13" s="827"/>
      <c r="C13" s="698"/>
      <c r="D13" s="698"/>
      <c r="E13" s="698"/>
      <c r="F13" s="698"/>
      <c r="G13" s="699"/>
      <c r="H13" s="792" t="s">
        <v>1102</v>
      </c>
      <c r="I13" s="786"/>
      <c r="J13" s="785"/>
      <c r="K13" s="785"/>
      <c r="L13" s="1043" t="s">
        <v>1170</v>
      </c>
      <c r="M13" s="1043"/>
      <c r="N13" s="672"/>
      <c r="O13" s="785" t="s">
        <v>1188</v>
      </c>
      <c r="P13" s="794">
        <v>70</v>
      </c>
      <c r="Q13" s="840">
        <v>3.5000000000000003E-2</v>
      </c>
      <c r="S13" s="705"/>
      <c r="T13" s="785" t="s">
        <v>1188</v>
      </c>
      <c r="U13" s="794"/>
      <c r="V13" s="794"/>
      <c r="W13" s="794">
        <v>320</v>
      </c>
      <c r="X13" s="699"/>
      <c r="Y13" s="699"/>
      <c r="AA13" s="681"/>
      <c r="AB13" s="681"/>
      <c r="AC13" s="1024"/>
      <c r="AD13" s="1021"/>
      <c r="AE13" s="1021"/>
      <c r="AF13" s="1021"/>
      <c r="AG13" s="1021"/>
      <c r="AH13" s="1021"/>
      <c r="AI13" s="1021"/>
      <c r="AJ13" s="1021"/>
      <c r="AK13" s="1021"/>
      <c r="AL13" s="1021"/>
      <c r="AM13" s="1021"/>
      <c r="AN13" s="1021"/>
      <c r="AO13" s="1021"/>
      <c r="AP13" s="1021"/>
      <c r="AQ13" s="681"/>
    </row>
    <row r="14" spans="1:43" ht="12">
      <c r="A14" s="1113" t="s">
        <v>1540</v>
      </c>
      <c r="B14" s="1022"/>
      <c r="C14" s="1022"/>
      <c r="D14" s="1022"/>
      <c r="E14" s="1022"/>
      <c r="F14" s="1022"/>
      <c r="G14" s="706"/>
      <c r="H14" s="828"/>
      <c r="I14" s="697"/>
      <c r="J14" s="681"/>
      <c r="K14" s="681"/>
      <c r="L14" s="681"/>
      <c r="M14" s="681"/>
      <c r="N14" s="672"/>
      <c r="O14" s="785" t="s">
        <v>1189</v>
      </c>
      <c r="P14" s="794">
        <v>30</v>
      </c>
      <c r="Q14" s="840">
        <v>0.03</v>
      </c>
      <c r="S14" s="705"/>
      <c r="T14" s="785" t="s">
        <v>1189</v>
      </c>
      <c r="U14" s="794"/>
      <c r="V14" s="794"/>
      <c r="W14" s="794">
        <v>200</v>
      </c>
      <c r="X14" s="699"/>
      <c r="Y14" s="699"/>
      <c r="AA14" s="681"/>
      <c r="AB14" s="681"/>
      <c r="AC14" s="1024"/>
      <c r="AD14" s="1021"/>
      <c r="AE14" s="1021"/>
      <c r="AF14" s="1021"/>
      <c r="AG14" s="1021"/>
      <c r="AH14" s="1021"/>
      <c r="AI14" s="1021"/>
      <c r="AJ14" s="1021"/>
      <c r="AK14" s="1021"/>
      <c r="AL14" s="1021"/>
      <c r="AM14" s="1021"/>
      <c r="AN14" s="1021"/>
      <c r="AO14" s="1021"/>
      <c r="AP14" s="1021"/>
      <c r="AQ14" s="681"/>
    </row>
    <row r="15" spans="1:43" ht="12">
      <c r="A15" s="1022"/>
      <c r="B15" s="1022"/>
      <c r="C15" s="1022"/>
      <c r="D15" s="1022"/>
      <c r="E15" s="1022"/>
      <c r="F15" s="1022"/>
      <c r="G15" s="706"/>
      <c r="H15" s="783" t="s">
        <v>1104</v>
      </c>
      <c r="I15" s="784"/>
      <c r="J15" s="784"/>
      <c r="K15" s="784"/>
      <c r="L15" s="784"/>
      <c r="M15" s="784"/>
      <c r="N15" s="672"/>
      <c r="O15" s="802" t="s">
        <v>1190</v>
      </c>
      <c r="P15" s="841">
        <v>0</v>
      </c>
      <c r="Q15" s="842">
        <v>0</v>
      </c>
      <c r="S15" s="705"/>
      <c r="T15" s="802" t="s">
        <v>1190</v>
      </c>
      <c r="U15" s="841"/>
      <c r="V15" s="841"/>
      <c r="W15" s="841">
        <v>50</v>
      </c>
      <c r="AA15" s="681"/>
      <c r="AB15" s="681"/>
      <c r="AC15" s="1024"/>
      <c r="AD15" s="1021"/>
      <c r="AE15" s="1021"/>
      <c r="AF15" s="1021"/>
      <c r="AG15" s="1021"/>
      <c r="AH15" s="1021"/>
      <c r="AI15" s="1021"/>
      <c r="AJ15" s="1021"/>
      <c r="AK15" s="1021"/>
      <c r="AL15" s="1021"/>
      <c r="AM15" s="1021"/>
      <c r="AN15" s="1021"/>
      <c r="AO15" s="1021"/>
      <c r="AP15" s="1021"/>
      <c r="AQ15" s="681"/>
    </row>
    <row r="16" spans="1:43" ht="12" customHeight="1">
      <c r="A16" s="1022"/>
      <c r="B16" s="1022"/>
      <c r="C16" s="1022"/>
      <c r="D16" s="1022"/>
      <c r="E16" s="1022"/>
      <c r="F16" s="1022"/>
      <c r="G16" s="706"/>
      <c r="H16" s="681"/>
      <c r="I16" s="681"/>
      <c r="J16" s="681"/>
      <c r="K16" s="1008"/>
      <c r="L16" s="681"/>
      <c r="M16" s="681"/>
      <c r="N16" s="672"/>
      <c r="O16" s="795" t="s">
        <v>502</v>
      </c>
      <c r="P16" s="797">
        <v>115</v>
      </c>
      <c r="Q16" s="843">
        <v>3.5999999999999997E-2</v>
      </c>
      <c r="S16" s="705"/>
      <c r="T16" s="795" t="s">
        <v>1192</v>
      </c>
      <c r="U16" s="797"/>
      <c r="V16" s="797"/>
      <c r="W16" s="797">
        <v>765</v>
      </c>
      <c r="AB16" s="681"/>
      <c r="AC16" s="1024"/>
      <c r="AD16" s="1021"/>
      <c r="AE16" s="1021"/>
      <c r="AF16" s="1021"/>
      <c r="AG16" s="1021"/>
      <c r="AH16" s="1021"/>
      <c r="AI16" s="1021"/>
      <c r="AJ16" s="1021"/>
      <c r="AK16" s="1021"/>
      <c r="AL16" s="1021"/>
      <c r="AM16" s="1021"/>
      <c r="AN16" s="1021"/>
      <c r="AO16" s="1021"/>
      <c r="AP16" s="1021"/>
      <c r="AQ16" s="681"/>
    </row>
    <row r="17" spans="1:43" ht="12" customHeight="1">
      <c r="A17" s="1022"/>
      <c r="B17" s="1022"/>
      <c r="C17" s="1022"/>
      <c r="D17" s="1022"/>
      <c r="E17" s="1022"/>
      <c r="F17" s="1022"/>
      <c r="G17" s="706"/>
      <c r="H17" s="681"/>
      <c r="I17" s="681"/>
      <c r="J17" s="681"/>
      <c r="K17" s="1008"/>
      <c r="L17" s="681"/>
      <c r="M17" s="681"/>
      <c r="N17" s="672"/>
      <c r="X17" s="707"/>
      <c r="AB17" s="681"/>
      <c r="AC17" s="1024"/>
      <c r="AD17" s="1021"/>
      <c r="AE17" s="1021"/>
      <c r="AF17" s="1021"/>
      <c r="AG17" s="1021"/>
      <c r="AH17" s="1021"/>
      <c r="AI17" s="1021"/>
      <c r="AJ17" s="1021"/>
      <c r="AK17" s="1021"/>
      <c r="AL17" s="1021"/>
      <c r="AM17" s="1021"/>
      <c r="AN17" s="1021"/>
      <c r="AO17" s="1021"/>
      <c r="AP17" s="1021"/>
      <c r="AQ17" s="681"/>
    </row>
    <row r="18" spans="1:43" ht="12">
      <c r="A18" s="1022"/>
      <c r="B18" s="1022"/>
      <c r="C18" s="1022"/>
      <c r="D18" s="1022"/>
      <c r="E18" s="1022"/>
      <c r="F18" s="1022"/>
      <c r="G18" s="706"/>
      <c r="H18" s="828"/>
      <c r="I18" s="681"/>
      <c r="J18" s="681"/>
      <c r="K18" s="681"/>
      <c r="L18" s="681"/>
      <c r="M18" s="681"/>
      <c r="N18" s="672"/>
      <c r="O18" s="1035" t="s">
        <v>1220</v>
      </c>
      <c r="P18" s="1035"/>
      <c r="Q18" s="1035"/>
      <c r="R18" s="1035"/>
      <c r="S18" s="1035"/>
      <c r="T18" s="1035"/>
      <c r="U18" s="1035"/>
      <c r="V18" s="1035"/>
      <c r="W18" s="1035"/>
      <c r="X18" s="1035"/>
      <c r="Y18" s="1035"/>
      <c r="Z18" s="1035"/>
      <c r="AB18" s="681"/>
      <c r="AC18" s="1024"/>
      <c r="AD18" s="1021"/>
      <c r="AE18" s="1021"/>
      <c r="AF18" s="1021"/>
      <c r="AG18" s="1021"/>
      <c r="AH18" s="1021"/>
      <c r="AI18" s="1021"/>
      <c r="AJ18" s="1021"/>
      <c r="AK18" s="1021"/>
      <c r="AL18" s="1021"/>
      <c r="AM18" s="1021"/>
      <c r="AN18" s="1021"/>
      <c r="AO18" s="1021"/>
      <c r="AP18" s="1021"/>
      <c r="AQ18" s="681"/>
    </row>
    <row r="19" spans="1:43" ht="12">
      <c r="A19" s="1022"/>
      <c r="B19" s="1022"/>
      <c r="C19" s="1022"/>
      <c r="D19" s="1022"/>
      <c r="E19" s="1022"/>
      <c r="F19" s="1022"/>
      <c r="G19" s="706"/>
      <c r="H19" s="828"/>
      <c r="I19" s="681"/>
      <c r="J19" s="681"/>
      <c r="K19" s="681"/>
      <c r="L19" s="681"/>
      <c r="M19" s="681"/>
      <c r="N19" s="672"/>
      <c r="O19" s="1035"/>
      <c r="P19" s="1035"/>
      <c r="Q19" s="1035"/>
      <c r="R19" s="1035"/>
      <c r="S19" s="1035"/>
      <c r="T19" s="1035"/>
      <c r="U19" s="1035"/>
      <c r="V19" s="1035"/>
      <c r="W19" s="1035"/>
      <c r="X19" s="1035"/>
      <c r="Y19" s="1035"/>
      <c r="Z19" s="1035"/>
      <c r="AB19" s="681"/>
      <c r="AC19" s="1024"/>
      <c r="AD19" s="1021"/>
      <c r="AE19" s="1021"/>
      <c r="AF19" s="1021"/>
      <c r="AG19" s="1021"/>
      <c r="AH19" s="1021"/>
      <c r="AI19" s="1021"/>
      <c r="AJ19" s="1021"/>
      <c r="AK19" s="1021"/>
      <c r="AL19" s="1021"/>
      <c r="AM19" s="1021"/>
      <c r="AN19" s="1021"/>
      <c r="AO19" s="1021"/>
      <c r="AP19" s="1021"/>
      <c r="AQ19" s="681"/>
    </row>
    <row r="20" spans="1:43" ht="12" customHeight="1">
      <c r="A20" s="1022"/>
      <c r="B20" s="1022"/>
      <c r="C20" s="1022"/>
      <c r="D20" s="1022"/>
      <c r="E20" s="1022"/>
      <c r="F20" s="1022"/>
      <c r="G20" s="706"/>
      <c r="H20" s="1008"/>
      <c r="I20" s="681"/>
      <c r="J20" s="681"/>
      <c r="K20" s="681"/>
      <c r="L20" s="681"/>
      <c r="M20" s="681"/>
      <c r="N20" s="672"/>
      <c r="O20" s="1035"/>
      <c r="P20" s="1035"/>
      <c r="Q20" s="1035"/>
      <c r="R20" s="1035"/>
      <c r="S20" s="1035"/>
      <c r="T20" s="1035"/>
      <c r="U20" s="1035"/>
      <c r="V20" s="1035"/>
      <c r="W20" s="1035"/>
      <c r="X20" s="1035"/>
      <c r="Y20" s="1035"/>
      <c r="Z20" s="1035"/>
      <c r="AB20" s="681"/>
      <c r="AC20" s="1024"/>
      <c r="AD20" s="1021"/>
      <c r="AE20" s="1021"/>
      <c r="AF20" s="1021"/>
      <c r="AG20" s="1021"/>
      <c r="AH20" s="1021"/>
      <c r="AI20" s="1021"/>
      <c r="AJ20" s="1021"/>
      <c r="AK20" s="1021"/>
      <c r="AL20" s="1021"/>
      <c r="AM20" s="1021"/>
      <c r="AN20" s="1021"/>
      <c r="AO20" s="1021"/>
      <c r="AP20" s="1021"/>
      <c r="AQ20" s="681"/>
    </row>
    <row r="21" spans="1:43" ht="12">
      <c r="A21" s="1022"/>
      <c r="B21" s="1022"/>
      <c r="C21" s="1022"/>
      <c r="D21" s="1022"/>
      <c r="E21" s="1022"/>
      <c r="F21" s="1022"/>
      <c r="G21" s="706"/>
      <c r="H21" s="702"/>
      <c r="I21" s="681"/>
      <c r="J21" s="681"/>
      <c r="K21" s="681"/>
      <c r="L21" s="681"/>
      <c r="M21" s="681"/>
      <c r="N21" s="672"/>
      <c r="P21" s="705"/>
      <c r="Q21" s="705"/>
      <c r="R21" s="705"/>
      <c r="S21" s="705"/>
      <c r="T21" s="702"/>
      <c r="U21" s="702"/>
      <c r="V21" s="709"/>
      <c r="AB21" s="681"/>
      <c r="AC21" s="1024"/>
      <c r="AD21" s="1021"/>
      <c r="AE21" s="1021"/>
      <c r="AF21" s="1021"/>
      <c r="AG21" s="1021"/>
      <c r="AH21" s="1021"/>
      <c r="AI21" s="1021"/>
      <c r="AJ21" s="1021"/>
      <c r="AK21" s="1021"/>
      <c r="AL21" s="1021"/>
      <c r="AM21" s="1021"/>
      <c r="AN21" s="1021"/>
      <c r="AO21" s="1021"/>
      <c r="AP21" s="1021"/>
      <c r="AQ21" s="681"/>
    </row>
    <row r="22" spans="1:43" ht="12">
      <c r="A22" s="1022"/>
      <c r="B22" s="1022"/>
      <c r="C22" s="1022"/>
      <c r="D22" s="1022"/>
      <c r="E22" s="1022"/>
      <c r="F22" s="1022"/>
      <c r="G22" s="706"/>
      <c r="H22" s="681"/>
      <c r="I22" s="681"/>
      <c r="J22" s="681"/>
      <c r="K22" s="681"/>
      <c r="L22" s="681"/>
      <c r="M22" s="681"/>
      <c r="N22" s="672"/>
      <c r="O22" s="831" t="s">
        <v>1105</v>
      </c>
      <c r="P22" s="830"/>
      <c r="Q22" s="830"/>
      <c r="R22" s="830"/>
      <c r="S22" s="702"/>
      <c r="T22" s="702"/>
      <c r="U22" s="702"/>
      <c r="V22" s="709"/>
      <c r="AB22" s="681"/>
      <c r="AC22" s="1024"/>
      <c r="AD22" s="1021"/>
      <c r="AE22" s="1021"/>
      <c r="AF22" s="1021"/>
      <c r="AG22" s="1021"/>
      <c r="AH22" s="1021"/>
      <c r="AI22" s="1021"/>
      <c r="AJ22" s="1021"/>
      <c r="AK22" s="1021"/>
      <c r="AL22" s="1021"/>
      <c r="AM22" s="1021"/>
      <c r="AN22" s="1021"/>
      <c r="AO22" s="1021"/>
      <c r="AP22" s="1021"/>
      <c r="AQ22" s="681"/>
    </row>
    <row r="23" spans="1:43" ht="12">
      <c r="A23" s="1022"/>
      <c r="B23" s="1022"/>
      <c r="C23" s="1022"/>
      <c r="D23" s="1022"/>
      <c r="E23" s="1022"/>
      <c r="F23" s="1022"/>
      <c r="H23" s="681"/>
      <c r="I23" s="681"/>
      <c r="J23" s="681"/>
      <c r="K23" s="681"/>
      <c r="L23" s="681"/>
      <c r="M23" s="681"/>
      <c r="N23" s="672"/>
      <c r="O23" s="1113" t="s">
        <v>1541</v>
      </c>
      <c r="P23" s="1022"/>
      <c r="Q23" s="1022"/>
      <c r="R23" s="1022"/>
      <c r="S23" s="1022"/>
      <c r="T23" s="1022"/>
      <c r="U23" s="1022"/>
      <c r="V23" s="1022"/>
      <c r="W23" s="1022"/>
      <c r="X23" s="1022"/>
      <c r="Y23" s="1022"/>
      <c r="Z23" s="1022"/>
      <c r="AB23" s="681"/>
      <c r="AC23" s="1024"/>
      <c r="AD23" s="1021"/>
      <c r="AE23" s="1021"/>
      <c r="AF23" s="1021"/>
      <c r="AG23" s="1021"/>
      <c r="AH23" s="1021"/>
      <c r="AI23" s="1021"/>
      <c r="AJ23" s="1021"/>
      <c r="AK23" s="1021"/>
      <c r="AL23" s="1021"/>
      <c r="AM23" s="1021"/>
      <c r="AN23" s="1021"/>
      <c r="AO23" s="1021"/>
      <c r="AP23" s="1021"/>
      <c r="AQ23" s="681"/>
    </row>
    <row r="24" spans="1:43" ht="12">
      <c r="A24" s="1022"/>
      <c r="B24" s="1022"/>
      <c r="C24" s="1022"/>
      <c r="D24" s="1022"/>
      <c r="E24" s="1022"/>
      <c r="F24" s="1022"/>
      <c r="H24" s="681"/>
      <c r="I24" s="681"/>
      <c r="J24" s="681"/>
      <c r="K24" s="681"/>
      <c r="L24" s="681"/>
      <c r="M24" s="681"/>
      <c r="N24" s="672"/>
      <c r="O24" s="1022"/>
      <c r="P24" s="1022"/>
      <c r="Q24" s="1022"/>
      <c r="R24" s="1022"/>
      <c r="S24" s="1022"/>
      <c r="T24" s="1022"/>
      <c r="U24" s="1022"/>
      <c r="V24" s="1022"/>
      <c r="W24" s="1022"/>
      <c r="X24" s="1022"/>
      <c r="Y24" s="1022"/>
      <c r="Z24" s="1022"/>
      <c r="AB24" s="681"/>
      <c r="AC24" s="1024"/>
      <c r="AD24" s="1021"/>
      <c r="AE24" s="1021"/>
      <c r="AF24" s="1021"/>
      <c r="AG24" s="1021"/>
      <c r="AH24" s="1021"/>
      <c r="AI24" s="1021"/>
      <c r="AJ24" s="1021"/>
      <c r="AK24" s="1021"/>
      <c r="AL24" s="1021"/>
      <c r="AM24" s="1021"/>
      <c r="AN24" s="1021"/>
      <c r="AO24" s="1021"/>
      <c r="AP24" s="1021"/>
      <c r="AQ24" s="681"/>
    </row>
    <row r="25" spans="1:43" ht="12" customHeight="1">
      <c r="A25" s="1022"/>
      <c r="B25" s="1022"/>
      <c r="C25" s="1022"/>
      <c r="D25" s="1022"/>
      <c r="E25" s="1022"/>
      <c r="F25" s="1022"/>
      <c r="H25" s="681"/>
      <c r="I25" s="681"/>
      <c r="J25" s="681"/>
      <c r="K25" s="540"/>
      <c r="L25" s="681"/>
      <c r="M25" s="681"/>
      <c r="N25" s="672"/>
      <c r="O25" s="1022"/>
      <c r="P25" s="1022"/>
      <c r="Q25" s="1022"/>
      <c r="R25" s="1022"/>
      <c r="S25" s="1022"/>
      <c r="T25" s="1022"/>
      <c r="U25" s="1022"/>
      <c r="V25" s="1022"/>
      <c r="W25" s="1022"/>
      <c r="X25" s="1022"/>
      <c r="Y25" s="1022"/>
      <c r="Z25" s="1022"/>
      <c r="AB25" s="681"/>
      <c r="AC25" s="1024"/>
      <c r="AD25" s="1021"/>
      <c r="AE25" s="1021"/>
      <c r="AF25" s="1021"/>
      <c r="AG25" s="1021"/>
      <c r="AH25" s="1021"/>
      <c r="AI25" s="1021"/>
      <c r="AJ25" s="1021"/>
      <c r="AK25" s="1021"/>
      <c r="AL25" s="1021"/>
      <c r="AM25" s="1021"/>
      <c r="AN25" s="1021"/>
      <c r="AO25" s="1021"/>
      <c r="AP25" s="1021"/>
      <c r="AQ25" s="681"/>
    </row>
    <row r="26" spans="1:43" ht="12" customHeight="1">
      <c r="H26" s="681"/>
      <c r="I26" s="681"/>
      <c r="J26" s="681"/>
      <c r="K26" s="540"/>
      <c r="L26" s="681"/>
      <c r="M26" s="681"/>
      <c r="N26" s="672"/>
      <c r="O26" s="705"/>
      <c r="P26" s="705"/>
      <c r="Q26" s="705"/>
      <c r="R26" s="705"/>
      <c r="S26" s="705"/>
      <c r="T26" s="705"/>
      <c r="U26" s="705"/>
      <c r="V26" s="705"/>
      <c r="W26" s="705"/>
      <c r="X26" s="705"/>
      <c r="Y26" s="705"/>
      <c r="Z26" s="705"/>
      <c r="AB26" s="681"/>
      <c r="AC26" s="1024"/>
      <c r="AD26" s="1021"/>
      <c r="AE26" s="1021"/>
      <c r="AF26" s="1021"/>
      <c r="AG26" s="1021"/>
      <c r="AH26" s="1021"/>
      <c r="AI26" s="1021"/>
      <c r="AJ26" s="1021"/>
      <c r="AK26" s="1021"/>
      <c r="AL26" s="1021"/>
      <c r="AM26" s="1021"/>
      <c r="AN26" s="1021"/>
      <c r="AO26" s="1021"/>
      <c r="AP26" s="1021"/>
      <c r="AQ26" s="681"/>
    </row>
    <row r="27" spans="1:43" ht="12">
      <c r="A27" s="829" t="s">
        <v>1206</v>
      </c>
      <c r="B27" s="830"/>
      <c r="C27" s="702"/>
      <c r="D27" s="705"/>
      <c r="E27" s="705"/>
      <c r="F27" s="705"/>
      <c r="H27" s="783" t="s">
        <v>1106</v>
      </c>
      <c r="I27" s="784"/>
      <c r="J27" s="784"/>
      <c r="K27" s="796"/>
      <c r="L27" s="796"/>
      <c r="M27" s="796"/>
      <c r="N27" s="672"/>
      <c r="O27" s="711" t="s">
        <v>1107</v>
      </c>
      <c r="P27" s="711"/>
      <c r="Q27" s="711"/>
      <c r="R27" s="711"/>
      <c r="S27" s="711"/>
      <c r="U27" s="1023" t="s">
        <v>1222</v>
      </c>
      <c r="V27" s="1023"/>
      <c r="W27" s="1023"/>
      <c r="X27" s="1023"/>
      <c r="Y27" s="1023"/>
      <c r="Z27" s="1023"/>
      <c r="AB27" s="681"/>
      <c r="AC27" s="1024"/>
      <c r="AD27" s="1021"/>
      <c r="AE27" s="1021"/>
      <c r="AF27" s="1021"/>
      <c r="AG27" s="1021"/>
      <c r="AH27" s="1021"/>
      <c r="AI27" s="1021"/>
      <c r="AJ27" s="1021"/>
      <c r="AK27" s="1021"/>
      <c r="AL27" s="1021"/>
      <c r="AM27" s="1021"/>
      <c r="AN27" s="1021"/>
      <c r="AO27" s="1021"/>
      <c r="AP27" s="1021"/>
      <c r="AQ27" s="681"/>
    </row>
    <row r="28" spans="1:43" ht="12">
      <c r="A28" s="1022" t="s">
        <v>1166</v>
      </c>
      <c r="B28" s="1022"/>
      <c r="C28" s="1022"/>
      <c r="D28" s="1022"/>
      <c r="E28" s="1022"/>
      <c r="F28" s="1022"/>
      <c r="H28" s="785"/>
      <c r="I28" s="785"/>
      <c r="J28" s="785"/>
      <c r="K28" s="1121" t="s">
        <v>682</v>
      </c>
      <c r="L28" s="1138" t="s">
        <v>1553</v>
      </c>
      <c r="M28" s="1121" t="s">
        <v>680</v>
      </c>
      <c r="N28" s="672"/>
      <c r="O28" s="712" t="s">
        <v>1108</v>
      </c>
      <c r="P28" s="1139" t="s">
        <v>682</v>
      </c>
      <c r="Q28" s="1140" t="s">
        <v>1553</v>
      </c>
      <c r="R28" s="1141" t="s">
        <v>680</v>
      </c>
      <c r="S28" s="1141" t="s">
        <v>1554</v>
      </c>
      <c r="T28" s="713"/>
      <c r="U28" s="1023"/>
      <c r="V28" s="1023"/>
      <c r="W28" s="1023"/>
      <c r="X28" s="1023"/>
      <c r="Y28" s="1023"/>
      <c r="Z28" s="1023"/>
      <c r="AB28" s="681"/>
      <c r="AC28" s="1024"/>
      <c r="AD28" s="1021"/>
      <c r="AE28" s="1021"/>
      <c r="AF28" s="1021"/>
      <c r="AG28" s="1021"/>
      <c r="AH28" s="1021"/>
      <c r="AI28" s="1021"/>
      <c r="AJ28" s="1021"/>
      <c r="AK28" s="1021"/>
      <c r="AL28" s="1021"/>
      <c r="AM28" s="1021"/>
      <c r="AN28" s="1021"/>
      <c r="AO28" s="1021"/>
      <c r="AP28" s="1021"/>
      <c r="AQ28" s="681"/>
    </row>
    <row r="29" spans="1:43" ht="19.5">
      <c r="A29" s="1022"/>
      <c r="B29" s="1022"/>
      <c r="C29" s="1022"/>
      <c r="D29" s="1022"/>
      <c r="E29" s="1022"/>
      <c r="F29" s="1022"/>
      <c r="H29" s="785" t="s">
        <v>679</v>
      </c>
      <c r="I29" s="795"/>
      <c r="J29" s="785"/>
      <c r="K29" s="1125" t="s">
        <v>1169</v>
      </c>
      <c r="L29" s="1125" t="s">
        <v>1169</v>
      </c>
      <c r="M29" s="1125" t="s">
        <v>1169</v>
      </c>
      <c r="N29" s="1129" t="s">
        <v>1169</v>
      </c>
      <c r="O29" s="714" t="s">
        <v>1193</v>
      </c>
      <c r="P29" s="715">
        <v>-200</v>
      </c>
      <c r="Q29" s="715">
        <v>-250</v>
      </c>
      <c r="R29" s="715">
        <v>-300</v>
      </c>
      <c r="S29" s="715">
        <v>-350</v>
      </c>
      <c r="T29" s="716"/>
      <c r="U29" s="1023"/>
      <c r="V29" s="1023"/>
      <c r="W29" s="1023"/>
      <c r="X29" s="1023"/>
      <c r="Y29" s="1023"/>
      <c r="Z29" s="1023"/>
      <c r="AB29" s="681"/>
      <c r="AC29" s="1024"/>
      <c r="AD29" s="1021"/>
      <c r="AE29" s="1021"/>
      <c r="AF29" s="1021"/>
      <c r="AG29" s="1021"/>
      <c r="AH29" s="1021"/>
      <c r="AI29" s="1021"/>
      <c r="AJ29" s="1021"/>
      <c r="AK29" s="1021"/>
      <c r="AL29" s="1021"/>
      <c r="AM29" s="1021"/>
      <c r="AN29" s="1021"/>
      <c r="AO29" s="1021"/>
      <c r="AP29" s="1021"/>
      <c r="AQ29" s="681"/>
    </row>
    <row r="30" spans="1:43" ht="12">
      <c r="A30" s="1022"/>
      <c r="B30" s="1022"/>
      <c r="C30" s="1022"/>
      <c r="D30" s="1022"/>
      <c r="E30" s="1022"/>
      <c r="F30" s="1022"/>
      <c r="H30" s="785" t="s">
        <v>1109</v>
      </c>
      <c r="I30" s="785"/>
      <c r="J30" s="785"/>
      <c r="K30" s="1125" t="s">
        <v>1556</v>
      </c>
      <c r="L30" s="1125" t="s">
        <v>1556</v>
      </c>
      <c r="M30" s="1125" t="s">
        <v>1556</v>
      </c>
      <c r="N30" s="701"/>
      <c r="O30" s="714" t="s">
        <v>1192</v>
      </c>
      <c r="P30" s="717">
        <v>765</v>
      </c>
      <c r="Q30" s="717">
        <v>760</v>
      </c>
      <c r="R30" s="717">
        <v>750</v>
      </c>
      <c r="S30" s="717">
        <v>740</v>
      </c>
      <c r="T30" s="718"/>
      <c r="U30" s="1023"/>
      <c r="V30" s="1023"/>
      <c r="W30" s="1023"/>
      <c r="X30" s="1023"/>
      <c r="Y30" s="1023"/>
      <c r="Z30" s="1023"/>
      <c r="AB30" s="681"/>
      <c r="AC30" s="1024"/>
      <c r="AD30" s="1021"/>
      <c r="AE30" s="1021"/>
      <c r="AF30" s="1021"/>
      <c r="AG30" s="1021"/>
      <c r="AH30" s="1021"/>
      <c r="AI30" s="1021"/>
      <c r="AJ30" s="1021"/>
      <c r="AK30" s="1021"/>
      <c r="AL30" s="1021"/>
      <c r="AM30" s="1021"/>
      <c r="AN30" s="1021"/>
      <c r="AO30" s="1021"/>
      <c r="AP30" s="1021"/>
      <c r="AQ30" s="681"/>
    </row>
    <row r="31" spans="1:43" ht="12">
      <c r="A31" s="1022"/>
      <c r="B31" s="1022"/>
      <c r="C31" s="1022"/>
      <c r="D31" s="1022"/>
      <c r="E31" s="1022"/>
      <c r="F31" s="1022"/>
      <c r="H31" s="785" t="s">
        <v>677</v>
      </c>
      <c r="I31" s="785"/>
      <c r="J31" s="785"/>
      <c r="K31" s="1130">
        <v>7.2</v>
      </c>
      <c r="L31" s="1131">
        <v>9.6999999999999993</v>
      </c>
      <c r="M31" s="1132">
        <v>7.7</v>
      </c>
      <c r="N31" s="672"/>
      <c r="O31" s="714" t="s">
        <v>1194</v>
      </c>
      <c r="P31" s="715" t="s">
        <v>1169</v>
      </c>
      <c r="Q31" s="715" t="s">
        <v>1195</v>
      </c>
      <c r="R31" s="715" t="s">
        <v>1196</v>
      </c>
      <c r="S31" s="715" t="s">
        <v>1197</v>
      </c>
      <c r="T31" s="719"/>
      <c r="U31" s="1023"/>
      <c r="V31" s="1023"/>
      <c r="W31" s="1023"/>
      <c r="X31" s="1023"/>
      <c r="Y31" s="1023"/>
      <c r="Z31" s="1023"/>
      <c r="AB31" s="681"/>
      <c r="AC31" s="1024"/>
      <c r="AD31" s="1021"/>
      <c r="AE31" s="1021"/>
      <c r="AF31" s="1021"/>
      <c r="AG31" s="1021"/>
      <c r="AH31" s="1021"/>
      <c r="AI31" s="1021"/>
      <c r="AJ31" s="1021"/>
      <c r="AK31" s="1021"/>
      <c r="AL31" s="1021"/>
      <c r="AM31" s="1021"/>
      <c r="AN31" s="1021"/>
      <c r="AO31" s="1021"/>
      <c r="AP31" s="1021"/>
      <c r="AQ31" s="681"/>
    </row>
    <row r="32" spans="1:43" ht="12">
      <c r="A32" s="1022"/>
      <c r="B32" s="1022"/>
      <c r="C32" s="1022"/>
      <c r="D32" s="1022"/>
      <c r="E32" s="1022"/>
      <c r="F32" s="1022"/>
      <c r="H32" s="785" t="s">
        <v>676</v>
      </c>
      <c r="I32" s="785"/>
      <c r="J32" s="785"/>
      <c r="K32" s="1133">
        <v>0</v>
      </c>
      <c r="L32" s="1134">
        <v>0</v>
      </c>
      <c r="M32" s="1134">
        <v>0.01</v>
      </c>
      <c r="N32" s="672"/>
      <c r="O32" s="696" t="s">
        <v>1198</v>
      </c>
      <c r="P32" s="717" t="s">
        <v>1169</v>
      </c>
      <c r="Q32" s="717" t="s">
        <v>1199</v>
      </c>
      <c r="R32" s="717" t="s">
        <v>788</v>
      </c>
      <c r="S32" s="717" t="s">
        <v>1200</v>
      </c>
      <c r="T32" s="719"/>
      <c r="U32" s="1023"/>
      <c r="V32" s="1023"/>
      <c r="W32" s="1023"/>
      <c r="X32" s="1023"/>
      <c r="Y32" s="1023"/>
      <c r="Z32" s="1023"/>
      <c r="AB32" s="681"/>
      <c r="AC32" s="1024"/>
      <c r="AD32" s="1021"/>
      <c r="AE32" s="1021"/>
      <c r="AF32" s="1021"/>
      <c r="AG32" s="1021"/>
      <c r="AH32" s="1021"/>
      <c r="AI32" s="1021"/>
      <c r="AJ32" s="1021"/>
      <c r="AK32" s="1021"/>
      <c r="AL32" s="1021"/>
      <c r="AM32" s="1021"/>
      <c r="AN32" s="1021"/>
      <c r="AO32" s="1021"/>
      <c r="AP32" s="1021"/>
      <c r="AQ32" s="681"/>
    </row>
    <row r="33" spans="1:43" ht="12" customHeight="1">
      <c r="H33" s="785"/>
      <c r="I33" s="785"/>
      <c r="J33" s="785"/>
      <c r="K33" s="799"/>
      <c r="L33" s="785"/>
      <c r="M33" s="785"/>
      <c r="N33" s="672"/>
      <c r="O33" s="714" t="s">
        <v>1201</v>
      </c>
      <c r="P33" s="720">
        <v>-5</v>
      </c>
      <c r="Q33" s="720">
        <v>-4.5</v>
      </c>
      <c r="R33" s="720">
        <v>-4</v>
      </c>
      <c r="S33" s="720">
        <v>-3.5</v>
      </c>
      <c r="T33" s="719"/>
      <c r="U33" s="1023"/>
      <c r="V33" s="1023"/>
      <c r="W33" s="1023"/>
      <c r="X33" s="1023"/>
      <c r="Y33" s="1023"/>
      <c r="Z33" s="1023"/>
      <c r="AB33" s="681"/>
      <c r="AC33" s="1024"/>
      <c r="AD33" s="1021"/>
      <c r="AE33" s="1021"/>
      <c r="AF33" s="1021"/>
      <c r="AG33" s="1021"/>
      <c r="AH33" s="1021"/>
      <c r="AI33" s="1021"/>
      <c r="AJ33" s="1021"/>
      <c r="AK33" s="1021"/>
      <c r="AL33" s="1021"/>
      <c r="AM33" s="1021"/>
      <c r="AN33" s="1021"/>
      <c r="AO33" s="1021"/>
      <c r="AP33" s="1021"/>
      <c r="AQ33" s="681"/>
    </row>
    <row r="34" spans="1:43" ht="12" customHeight="1">
      <c r="A34" s="795" t="s">
        <v>1216</v>
      </c>
      <c r="B34" s="830"/>
      <c r="C34" s="830"/>
      <c r="D34" s="830"/>
      <c r="E34" s="705"/>
      <c r="F34" s="705"/>
      <c r="H34" s="697"/>
      <c r="I34" s="681"/>
      <c r="J34" s="681"/>
      <c r="K34" s="1008"/>
      <c r="L34" s="681"/>
      <c r="M34" s="681"/>
      <c r="N34" s="672"/>
      <c r="T34" s="719"/>
      <c r="U34" s="721"/>
      <c r="V34" s="721"/>
      <c r="W34" s="721"/>
      <c r="X34" s="721"/>
      <c r="Y34" s="721"/>
      <c r="Z34" s="721"/>
      <c r="AB34" s="681"/>
      <c r="AC34" s="1024"/>
      <c r="AD34" s="1021"/>
      <c r="AE34" s="1021"/>
      <c r="AF34" s="1021"/>
      <c r="AG34" s="1021"/>
      <c r="AH34" s="1021"/>
      <c r="AI34" s="1021"/>
      <c r="AJ34" s="1021"/>
      <c r="AK34" s="1021"/>
      <c r="AL34" s="1021"/>
      <c r="AM34" s="1021"/>
      <c r="AN34" s="1021"/>
      <c r="AO34" s="1021"/>
      <c r="AP34" s="1021"/>
      <c r="AQ34" s="681"/>
    </row>
    <row r="35" spans="1:43" ht="12">
      <c r="A35" s="1022" t="s">
        <v>1167</v>
      </c>
      <c r="B35" s="1022"/>
      <c r="C35" s="1022"/>
      <c r="D35" s="1022"/>
      <c r="E35" s="1022"/>
      <c r="F35" s="1022"/>
      <c r="H35" s="681"/>
      <c r="I35" s="681"/>
      <c r="J35" s="1009"/>
      <c r="K35" s="1010"/>
      <c r="L35" s="1011"/>
      <c r="M35" s="1011"/>
      <c r="N35" s="672"/>
      <c r="O35" s="1022" t="s">
        <v>1221</v>
      </c>
      <c r="P35" s="1022"/>
      <c r="Q35" s="1022"/>
      <c r="R35" s="1022"/>
      <c r="S35" s="1022"/>
      <c r="T35" s="1022"/>
      <c r="U35" s="1022"/>
      <c r="V35" s="1022"/>
      <c r="W35" s="1022"/>
      <c r="X35" s="1022"/>
      <c r="Y35" s="1022"/>
      <c r="Z35" s="1022"/>
      <c r="AA35" s="722"/>
      <c r="AB35" s="681"/>
      <c r="AC35" s="1024"/>
      <c r="AD35" s="1021"/>
      <c r="AE35" s="1021"/>
      <c r="AF35" s="1021"/>
      <c r="AG35" s="1021"/>
      <c r="AH35" s="1021"/>
      <c r="AI35" s="1021"/>
      <c r="AJ35" s="1021"/>
      <c r="AK35" s="1021"/>
      <c r="AL35" s="1021"/>
      <c r="AM35" s="1021"/>
      <c r="AN35" s="1021"/>
      <c r="AO35" s="1021"/>
      <c r="AP35" s="1021"/>
      <c r="AQ35" s="681"/>
    </row>
    <row r="36" spans="1:43" ht="12">
      <c r="A36" s="1022"/>
      <c r="B36" s="1022"/>
      <c r="C36" s="1022"/>
      <c r="D36" s="1022"/>
      <c r="E36" s="1022"/>
      <c r="F36" s="1022"/>
      <c r="G36" s="723"/>
      <c r="H36" s="1012"/>
      <c r="I36" s="681"/>
      <c r="J36" s="1009"/>
      <c r="K36" s="1013"/>
      <c r="L36" s="1013"/>
      <c r="M36" s="1013"/>
      <c r="N36" s="672"/>
      <c r="O36" s="1022"/>
      <c r="P36" s="1022"/>
      <c r="Q36" s="1022"/>
      <c r="R36" s="1022"/>
      <c r="S36" s="1022"/>
      <c r="T36" s="1022"/>
      <c r="U36" s="1022"/>
      <c r="V36" s="1022"/>
      <c r="W36" s="1022"/>
      <c r="X36" s="1022"/>
      <c r="Y36" s="1022"/>
      <c r="Z36" s="1022"/>
      <c r="AB36" s="681"/>
      <c r="AC36" s="1024"/>
      <c r="AD36" s="1021"/>
      <c r="AE36" s="1021"/>
      <c r="AF36" s="1021"/>
      <c r="AG36" s="1021"/>
      <c r="AH36" s="1021"/>
      <c r="AI36" s="1021"/>
      <c r="AJ36" s="1021"/>
      <c r="AK36" s="1021"/>
      <c r="AL36" s="1021"/>
      <c r="AM36" s="1021"/>
      <c r="AN36" s="1021"/>
      <c r="AO36" s="1021"/>
      <c r="AP36" s="1021"/>
      <c r="AQ36" s="681"/>
    </row>
    <row r="37" spans="1:43" ht="12">
      <c r="A37" s="1022"/>
      <c r="B37" s="1022"/>
      <c r="C37" s="1022"/>
      <c r="D37" s="1022"/>
      <c r="E37" s="1022"/>
      <c r="F37" s="1022"/>
      <c r="G37" s="724"/>
      <c r="H37" s="1012"/>
      <c r="I37" s="681"/>
      <c r="J37" s="681"/>
      <c r="K37" s="1013"/>
      <c r="L37" s="1013"/>
      <c r="M37" s="1013"/>
      <c r="N37" s="672"/>
      <c r="O37" s="1022"/>
      <c r="P37" s="1022"/>
      <c r="Q37" s="1022"/>
      <c r="R37" s="1022"/>
      <c r="S37" s="1022"/>
      <c r="T37" s="1022"/>
      <c r="U37" s="1022"/>
      <c r="V37" s="1022"/>
      <c r="W37" s="1022"/>
      <c r="X37" s="1022"/>
      <c r="Y37" s="1022"/>
      <c r="Z37" s="1022"/>
      <c r="AB37" s="681"/>
      <c r="AC37" s="1024"/>
      <c r="AD37" s="1021"/>
      <c r="AE37" s="1021"/>
      <c r="AF37" s="1021"/>
      <c r="AG37" s="1021"/>
      <c r="AH37" s="1021"/>
      <c r="AI37" s="1021"/>
      <c r="AJ37" s="1021"/>
      <c r="AK37" s="1021"/>
      <c r="AL37" s="1021"/>
      <c r="AM37" s="1021"/>
      <c r="AN37" s="1021"/>
      <c r="AO37" s="1021"/>
      <c r="AP37" s="1021"/>
      <c r="AQ37" s="681"/>
    </row>
    <row r="38" spans="1:43" ht="12">
      <c r="A38" s="1022"/>
      <c r="B38" s="1022"/>
      <c r="C38" s="1022"/>
      <c r="D38" s="1022"/>
      <c r="E38" s="1022"/>
      <c r="F38" s="1022"/>
      <c r="G38" s="705"/>
      <c r="H38" s="1012"/>
      <c r="I38" s="681"/>
      <c r="J38" s="681"/>
      <c r="K38" s="1013"/>
      <c r="L38" s="1013"/>
      <c r="M38" s="1013"/>
      <c r="N38" s="672"/>
      <c r="O38" s="705"/>
      <c r="P38" s="705"/>
      <c r="Q38" s="705"/>
      <c r="R38" s="705"/>
      <c r="S38" s="705"/>
      <c r="T38" s="725" t="s">
        <v>1110</v>
      </c>
      <c r="U38" s="726"/>
      <c r="V38" s="726"/>
      <c r="W38" s="726"/>
      <c r="X38" s="726"/>
      <c r="Y38" s="726"/>
      <c r="Z38" s="726"/>
      <c r="AB38" s="681"/>
      <c r="AC38" s="1024"/>
      <c r="AD38" s="1021"/>
      <c r="AE38" s="1021"/>
      <c r="AF38" s="1021"/>
      <c r="AG38" s="1021"/>
      <c r="AH38" s="1021"/>
      <c r="AI38" s="1021"/>
      <c r="AJ38" s="1021"/>
      <c r="AK38" s="1021"/>
      <c r="AL38" s="1021"/>
      <c r="AM38" s="1021"/>
      <c r="AN38" s="1021"/>
      <c r="AO38" s="1021"/>
      <c r="AP38" s="1021"/>
      <c r="AQ38" s="681"/>
    </row>
    <row r="39" spans="1:43" ht="12">
      <c r="A39" s="1113" t="s">
        <v>1550</v>
      </c>
      <c r="B39" s="1022"/>
      <c r="C39" s="1022"/>
      <c r="D39" s="1022"/>
      <c r="E39" s="1022"/>
      <c r="F39" s="1022"/>
      <c r="G39" s="705"/>
      <c r="H39" s="1012"/>
      <c r="I39" s="681"/>
      <c r="J39" s="681"/>
      <c r="K39" s="1013"/>
      <c r="L39" s="1013"/>
      <c r="M39" s="1013"/>
      <c r="N39" s="672"/>
      <c r="O39" s="831" t="s">
        <v>1209</v>
      </c>
      <c r="P39" s="830"/>
      <c r="Q39" s="830"/>
      <c r="R39" s="705"/>
      <c r="S39" s="705"/>
      <c r="U39" s="726"/>
      <c r="V39" s="726"/>
      <c r="W39" s="726"/>
      <c r="X39" s="726"/>
      <c r="Y39" s="726"/>
      <c r="Z39" s="726"/>
      <c r="AB39" s="681"/>
      <c r="AC39" s="1024"/>
      <c r="AD39" s="1021"/>
      <c r="AE39" s="1021"/>
      <c r="AF39" s="1021"/>
      <c r="AG39" s="1021"/>
      <c r="AH39" s="1021"/>
      <c r="AI39" s="1021"/>
      <c r="AJ39" s="1021"/>
      <c r="AK39" s="1021"/>
      <c r="AL39" s="1021"/>
      <c r="AM39" s="1021"/>
      <c r="AN39" s="1021"/>
      <c r="AO39" s="1021"/>
      <c r="AP39" s="1021"/>
      <c r="AQ39" s="681"/>
    </row>
    <row r="40" spans="1:43" ht="12">
      <c r="A40" s="1022"/>
      <c r="B40" s="1022"/>
      <c r="C40" s="1022"/>
      <c r="D40" s="1022"/>
      <c r="E40" s="1022"/>
      <c r="F40" s="1022"/>
      <c r="G40" s="705"/>
      <c r="H40" s="1014"/>
      <c r="I40" s="681"/>
      <c r="J40" s="681"/>
      <c r="K40" s="1015"/>
      <c r="L40" s="1015"/>
      <c r="M40" s="1015"/>
      <c r="N40" s="672"/>
      <c r="O40" s="1022" t="s">
        <v>1223</v>
      </c>
      <c r="P40" s="1022"/>
      <c r="Q40" s="1022"/>
      <c r="R40" s="1022"/>
      <c r="S40" s="705"/>
      <c r="T40" s="705"/>
      <c r="V40" s="705"/>
      <c r="W40" s="705"/>
      <c r="X40" s="705"/>
      <c r="Y40" s="705"/>
      <c r="Z40" s="705"/>
      <c r="AA40" s="705"/>
      <c r="AB40" s="681"/>
      <c r="AC40" s="1024"/>
      <c r="AD40" s="1021"/>
      <c r="AE40" s="1021"/>
      <c r="AF40" s="1021"/>
      <c r="AG40" s="1021"/>
      <c r="AH40" s="1021"/>
      <c r="AI40" s="1021"/>
      <c r="AJ40" s="1021"/>
      <c r="AK40" s="1021"/>
      <c r="AL40" s="1021"/>
      <c r="AM40" s="1021"/>
      <c r="AN40" s="1021"/>
      <c r="AO40" s="1021"/>
      <c r="AP40" s="1021"/>
      <c r="AQ40" s="681"/>
    </row>
    <row r="41" spans="1:43" ht="12">
      <c r="A41" s="1022"/>
      <c r="B41" s="1022"/>
      <c r="C41" s="1022"/>
      <c r="D41" s="1022"/>
      <c r="E41" s="1022"/>
      <c r="F41" s="1022"/>
      <c r="G41" s="705"/>
      <c r="H41" s="681"/>
      <c r="I41" s="681"/>
      <c r="J41" s="681"/>
      <c r="K41" s="1016"/>
      <c r="L41" s="1016"/>
      <c r="M41" s="1016"/>
      <c r="N41" s="672"/>
      <c r="O41" s="1022"/>
      <c r="P41" s="1022"/>
      <c r="Q41" s="1022"/>
      <c r="R41" s="1022"/>
      <c r="S41" s="705"/>
      <c r="T41" s="727"/>
      <c r="U41" s="705"/>
      <c r="V41" s="705"/>
      <c r="W41" s="705"/>
      <c r="X41" s="705"/>
      <c r="Y41" s="705"/>
      <c r="Z41" s="705"/>
      <c r="AA41" s="705"/>
      <c r="AB41" s="681"/>
      <c r="AC41" s="1024"/>
      <c r="AD41" s="1021"/>
      <c r="AE41" s="1021"/>
      <c r="AF41" s="1021"/>
      <c r="AG41" s="1021"/>
      <c r="AH41" s="1021"/>
      <c r="AI41" s="1021"/>
      <c r="AJ41" s="1021"/>
      <c r="AK41" s="1021"/>
      <c r="AL41" s="1021"/>
      <c r="AM41" s="1021"/>
      <c r="AN41" s="1021"/>
      <c r="AO41" s="1021"/>
      <c r="AP41" s="1021"/>
      <c r="AQ41" s="681"/>
    </row>
    <row r="42" spans="1:43" ht="12">
      <c r="A42" s="1022"/>
      <c r="B42" s="1022"/>
      <c r="C42" s="1022"/>
      <c r="D42" s="1022"/>
      <c r="E42" s="1022"/>
      <c r="F42" s="1022"/>
      <c r="G42" s="705"/>
      <c r="H42" s="1014"/>
      <c r="I42" s="681"/>
      <c r="J42" s="681"/>
      <c r="K42" s="1015"/>
      <c r="L42" s="1015"/>
      <c r="M42" s="1015"/>
      <c r="N42" s="672"/>
      <c r="O42" s="1022"/>
      <c r="P42" s="1022"/>
      <c r="Q42" s="1022"/>
      <c r="R42" s="1022"/>
      <c r="S42" s="705"/>
      <c r="T42" s="727"/>
      <c r="U42" s="705"/>
      <c r="V42" s="705"/>
      <c r="W42" s="705"/>
      <c r="X42" s="705"/>
      <c r="Y42" s="705"/>
      <c r="Z42" s="705"/>
      <c r="AA42" s="705"/>
      <c r="AB42" s="681"/>
      <c r="AC42" s="1024"/>
      <c r="AD42" s="1021"/>
      <c r="AE42" s="1021"/>
      <c r="AF42" s="1021"/>
      <c r="AG42" s="1021"/>
      <c r="AH42" s="1021"/>
      <c r="AI42" s="1021"/>
      <c r="AJ42" s="1021"/>
      <c r="AK42" s="1021"/>
      <c r="AL42" s="1021"/>
      <c r="AM42" s="1021"/>
      <c r="AN42" s="1021"/>
      <c r="AO42" s="1021"/>
      <c r="AP42" s="1021"/>
      <c r="AQ42" s="681"/>
    </row>
    <row r="43" spans="1:43" ht="12">
      <c r="A43" s="699"/>
      <c r="B43" s="699"/>
      <c r="C43" s="699"/>
      <c r="D43" s="699"/>
      <c r="E43" s="699"/>
      <c r="F43" s="699"/>
      <c r="G43" s="705"/>
      <c r="H43" s="1012"/>
      <c r="I43" s="681"/>
      <c r="J43" s="681"/>
      <c r="K43" s="1017"/>
      <c r="L43" s="1017"/>
      <c r="M43" s="1017"/>
      <c r="N43" s="672"/>
      <c r="O43" s="1022"/>
      <c r="P43" s="1022"/>
      <c r="Q43" s="1022"/>
      <c r="R43" s="1022"/>
      <c r="S43" s="705"/>
      <c r="T43" s="727"/>
      <c r="U43" s="705"/>
      <c r="V43" s="705"/>
      <c r="W43" s="705"/>
      <c r="X43" s="705"/>
      <c r="Y43" s="705"/>
      <c r="Z43" s="705"/>
      <c r="AA43" s="705"/>
      <c r="AB43" s="681"/>
      <c r="AC43" s="1024"/>
      <c r="AD43" s="1021"/>
      <c r="AE43" s="1021"/>
      <c r="AF43" s="1021"/>
      <c r="AG43" s="1021"/>
      <c r="AH43" s="1021"/>
      <c r="AI43" s="1021"/>
      <c r="AJ43" s="1021"/>
      <c r="AK43" s="1021"/>
      <c r="AL43" s="1021"/>
      <c r="AM43" s="1021"/>
      <c r="AN43" s="1021"/>
      <c r="AO43" s="1021"/>
      <c r="AP43" s="1021"/>
      <c r="AQ43" s="681"/>
    </row>
    <row r="44" spans="1:43" ht="12">
      <c r="A44" s="795" t="s">
        <v>1111</v>
      </c>
      <c r="B44" s="785"/>
      <c r="E44" s="705"/>
      <c r="F44" s="705"/>
      <c r="G44" s="705"/>
      <c r="H44" s="800" t="s">
        <v>1112</v>
      </c>
      <c r="I44" s="801"/>
      <c r="J44" s="801"/>
      <c r="K44" s="801"/>
      <c r="L44" s="802"/>
      <c r="M44" s="802"/>
      <c r="N44" s="672"/>
      <c r="O44" s="1022"/>
      <c r="P44" s="1022"/>
      <c r="Q44" s="1022"/>
      <c r="R44" s="1022"/>
      <c r="S44" s="705"/>
      <c r="U44" s="705"/>
      <c r="V44" s="705"/>
      <c r="W44" s="705"/>
      <c r="X44" s="705"/>
      <c r="Y44" s="705"/>
      <c r="Z44" s="705"/>
      <c r="AA44" s="705"/>
      <c r="AB44" s="681"/>
      <c r="AC44" s="1024"/>
      <c r="AD44" s="1021"/>
      <c r="AE44" s="1021"/>
      <c r="AF44" s="1021"/>
      <c r="AG44" s="1021"/>
      <c r="AH44" s="1021"/>
      <c r="AI44" s="1021"/>
      <c r="AJ44" s="1021"/>
      <c r="AK44" s="1021"/>
      <c r="AL44" s="1021"/>
      <c r="AM44" s="1021"/>
      <c r="AN44" s="1021"/>
      <c r="AO44" s="1021"/>
      <c r="AP44" s="1021"/>
      <c r="AQ44" s="681"/>
    </row>
    <row r="45" spans="1:43" ht="12">
      <c r="A45" s="1113" t="s">
        <v>1546</v>
      </c>
      <c r="B45" s="1022"/>
      <c r="C45" s="1022"/>
      <c r="D45" s="1022"/>
      <c r="E45" s="1022"/>
      <c r="F45" s="1022"/>
      <c r="G45" s="705"/>
      <c r="H45" s="803" t="s">
        <v>716</v>
      </c>
      <c r="I45" s="804"/>
      <c r="J45" s="804" t="s">
        <v>1513</v>
      </c>
      <c r="K45" s="803" t="s">
        <v>1514</v>
      </c>
      <c r="L45" s="1142" t="s">
        <v>1113</v>
      </c>
      <c r="M45" s="1142"/>
      <c r="N45" s="672"/>
      <c r="O45" s="1022"/>
      <c r="P45" s="1022"/>
      <c r="Q45" s="1022"/>
      <c r="R45" s="1022"/>
      <c r="S45" s="705"/>
      <c r="U45" s="705"/>
      <c r="V45" s="705"/>
      <c r="W45" s="705"/>
      <c r="X45" s="705"/>
      <c r="Y45" s="705"/>
      <c r="Z45" s="705"/>
      <c r="AA45" s="705"/>
      <c r="AB45" s="681"/>
      <c r="AC45" s="1024"/>
      <c r="AD45" s="1021"/>
      <c r="AE45" s="1021"/>
      <c r="AF45" s="1021"/>
      <c r="AG45" s="1021"/>
      <c r="AH45" s="1021"/>
      <c r="AI45" s="1021"/>
      <c r="AJ45" s="1021"/>
      <c r="AK45" s="1021"/>
      <c r="AL45" s="1021"/>
      <c r="AM45" s="1021"/>
      <c r="AN45" s="1021"/>
      <c r="AO45" s="1021"/>
      <c r="AP45" s="1021"/>
      <c r="AQ45" s="681"/>
    </row>
    <row r="46" spans="1:43" ht="12">
      <c r="A46" s="1022"/>
      <c r="B46" s="1022"/>
      <c r="C46" s="1022"/>
      <c r="D46" s="1022"/>
      <c r="E46" s="1022"/>
      <c r="F46" s="1022"/>
      <c r="G46" s="705"/>
      <c r="H46" s="1116" t="s">
        <v>1562</v>
      </c>
      <c r="I46" s="804"/>
      <c r="J46" s="1117" t="s">
        <v>1558</v>
      </c>
      <c r="K46" s="1118" t="s">
        <v>1542</v>
      </c>
      <c r="L46" s="1143" t="s">
        <v>1563</v>
      </c>
      <c r="M46" s="1143"/>
      <c r="N46" s="672"/>
      <c r="O46" s="1022"/>
      <c r="P46" s="1022"/>
      <c r="Q46" s="1022"/>
      <c r="R46" s="1022"/>
      <c r="S46" s="705"/>
      <c r="T46" s="728"/>
      <c r="U46" s="705"/>
      <c r="V46" s="705"/>
      <c r="W46" s="705"/>
      <c r="X46" s="705"/>
      <c r="Y46" s="705"/>
      <c r="Z46" s="705"/>
      <c r="AA46" s="705"/>
      <c r="AB46" s="681"/>
      <c r="AC46" s="1024"/>
      <c r="AD46" s="1021"/>
      <c r="AE46" s="1021"/>
      <c r="AF46" s="1021"/>
      <c r="AG46" s="1021"/>
      <c r="AH46" s="1021"/>
      <c r="AI46" s="1021"/>
      <c r="AJ46" s="1021"/>
      <c r="AK46" s="1021"/>
      <c r="AL46" s="1021"/>
      <c r="AM46" s="1021"/>
      <c r="AN46" s="1021"/>
      <c r="AO46" s="1021"/>
      <c r="AP46" s="1021"/>
      <c r="AQ46" s="681"/>
    </row>
    <row r="47" spans="1:43" ht="12">
      <c r="A47" s="1022"/>
      <c r="B47" s="1022"/>
      <c r="C47" s="1022"/>
      <c r="D47" s="1022"/>
      <c r="E47" s="1022"/>
      <c r="F47" s="1022"/>
      <c r="H47" s="1116" t="s">
        <v>1557</v>
      </c>
      <c r="I47" s="804"/>
      <c r="J47" s="1117" t="s">
        <v>1561</v>
      </c>
      <c r="K47" s="1118" t="s">
        <v>1515</v>
      </c>
      <c r="L47" s="1144" t="s">
        <v>1516</v>
      </c>
      <c r="M47" s="1144"/>
      <c r="N47" s="672"/>
      <c r="O47" s="1022"/>
      <c r="P47" s="1022"/>
      <c r="Q47" s="1022"/>
      <c r="R47" s="1022"/>
      <c r="S47" s="705"/>
      <c r="U47" s="705"/>
      <c r="V47" s="705"/>
      <c r="W47" s="705"/>
      <c r="X47" s="705"/>
      <c r="Y47" s="705"/>
      <c r="Z47" s="705"/>
      <c r="AA47" s="705"/>
      <c r="AB47" s="681"/>
      <c r="AC47" s="1024"/>
      <c r="AD47" s="1021"/>
      <c r="AE47" s="1021"/>
      <c r="AF47" s="1021"/>
      <c r="AG47" s="1021"/>
      <c r="AH47" s="1021"/>
      <c r="AI47" s="1021"/>
      <c r="AJ47" s="1021"/>
      <c r="AK47" s="1021"/>
      <c r="AL47" s="1021"/>
      <c r="AM47" s="1021"/>
      <c r="AN47" s="1021"/>
      <c r="AO47" s="1021"/>
      <c r="AP47" s="1021"/>
      <c r="AQ47" s="681"/>
    </row>
    <row r="48" spans="1:43" ht="12" customHeight="1">
      <c r="A48" s="1022"/>
      <c r="B48" s="1022"/>
      <c r="C48" s="1022"/>
      <c r="D48" s="1022"/>
      <c r="E48" s="1022"/>
      <c r="F48" s="1022"/>
      <c r="H48" s="805" t="s">
        <v>1559</v>
      </c>
      <c r="I48" s="804"/>
      <c r="J48" s="804" t="s">
        <v>1517</v>
      </c>
      <c r="K48" s="806" t="s">
        <v>1518</v>
      </c>
      <c r="L48" s="1145" t="s">
        <v>1519</v>
      </c>
      <c r="M48" s="1145"/>
      <c r="N48" s="672"/>
      <c r="U48" s="807" t="s">
        <v>1114</v>
      </c>
      <c r="V48" s="816"/>
      <c r="W48" s="816"/>
      <c r="X48" s="844" t="s">
        <v>682</v>
      </c>
      <c r="Y48" s="844" t="s">
        <v>681</v>
      </c>
      <c r="Z48" s="844" t="s">
        <v>680</v>
      </c>
      <c r="AA48" s="705"/>
      <c r="AB48" s="681"/>
      <c r="AC48" s="1024"/>
      <c r="AD48" s="1021"/>
      <c r="AE48" s="1021"/>
      <c r="AF48" s="1021"/>
      <c r="AG48" s="1021"/>
      <c r="AH48" s="1021"/>
      <c r="AI48" s="1021"/>
      <c r="AJ48" s="1021"/>
      <c r="AK48" s="1021"/>
      <c r="AL48" s="1021"/>
      <c r="AM48" s="1021"/>
      <c r="AN48" s="1021"/>
      <c r="AO48" s="1021"/>
      <c r="AP48" s="1021"/>
      <c r="AQ48" s="681"/>
    </row>
    <row r="49" spans="1:199" ht="12">
      <c r="A49" s="1022"/>
      <c r="B49" s="1022"/>
      <c r="C49" s="1022"/>
      <c r="D49" s="1022"/>
      <c r="E49" s="1022"/>
      <c r="F49" s="1022"/>
      <c r="H49" s="805" t="s">
        <v>1560</v>
      </c>
      <c r="I49" s="804"/>
      <c r="J49" s="804" t="s">
        <v>1168</v>
      </c>
      <c r="K49" s="806" t="s">
        <v>1520</v>
      </c>
      <c r="L49" s="1145" t="s">
        <v>1521</v>
      </c>
      <c r="M49" s="1145"/>
      <c r="N49" s="672"/>
      <c r="O49" s="838" t="s">
        <v>1210</v>
      </c>
      <c r="P49" s="786"/>
      <c r="Q49" s="775"/>
      <c r="R49" s="727"/>
      <c r="S49" s="727"/>
      <c r="U49" s="809" t="s">
        <v>308</v>
      </c>
      <c r="V49" s="830"/>
      <c r="W49" s="830"/>
      <c r="X49" s="845">
        <v>2.5</v>
      </c>
      <c r="Y49" s="845">
        <v>2.7</v>
      </c>
      <c r="Z49" s="845">
        <v>2.9</v>
      </c>
      <c r="AB49" s="681"/>
      <c r="AC49" s="1024"/>
      <c r="AD49" s="1021"/>
      <c r="AE49" s="1021"/>
      <c r="AF49" s="1021"/>
      <c r="AG49" s="1021"/>
      <c r="AH49" s="1021"/>
      <c r="AI49" s="1021"/>
      <c r="AJ49" s="1021"/>
      <c r="AK49" s="1021"/>
      <c r="AL49" s="1021"/>
      <c r="AM49" s="1021"/>
      <c r="AN49" s="1021"/>
      <c r="AO49" s="1021"/>
      <c r="AP49" s="1021"/>
      <c r="AQ49" s="681"/>
    </row>
    <row r="50" spans="1:199" ht="12" customHeight="1">
      <c r="A50" s="1119" t="s">
        <v>1544</v>
      </c>
      <c r="H50" s="1127" t="s">
        <v>1543</v>
      </c>
      <c r="N50" s="672"/>
      <c r="O50" s="1020" t="s">
        <v>1224</v>
      </c>
      <c r="P50" s="1020"/>
      <c r="Q50" s="1020"/>
      <c r="R50" s="1020"/>
      <c r="S50" s="1020"/>
      <c r="U50" s="809" t="s">
        <v>307</v>
      </c>
      <c r="V50" s="830"/>
      <c r="W50" s="830"/>
      <c r="X50" s="845">
        <v>1.5</v>
      </c>
      <c r="Y50" s="845">
        <v>1.6</v>
      </c>
      <c r="Z50" s="845">
        <v>1.7</v>
      </c>
      <c r="AB50" s="681"/>
      <c r="AC50" s="1024"/>
      <c r="AD50" s="1021"/>
      <c r="AE50" s="1021"/>
      <c r="AF50" s="1021"/>
      <c r="AG50" s="1021"/>
      <c r="AH50" s="1021"/>
      <c r="AI50" s="1021"/>
      <c r="AJ50" s="1021"/>
      <c r="AK50" s="1021"/>
      <c r="AL50" s="1021"/>
      <c r="AM50" s="1021"/>
      <c r="AN50" s="1021"/>
      <c r="AO50" s="1021"/>
      <c r="AP50" s="1021"/>
      <c r="AQ50" s="681"/>
    </row>
    <row r="51" spans="1:199" ht="12">
      <c r="A51" s="831" t="s">
        <v>1115</v>
      </c>
      <c r="B51" s="830"/>
      <c r="C51" s="705"/>
      <c r="D51" s="705"/>
      <c r="E51" s="705"/>
      <c r="F51" s="705"/>
      <c r="G51" s="705"/>
      <c r="H51" s="767"/>
      <c r="I51" s="768"/>
      <c r="J51" s="768"/>
      <c r="K51" s="769"/>
      <c r="L51" s="705"/>
      <c r="N51" s="672"/>
      <c r="O51" s="1020"/>
      <c r="P51" s="1020"/>
      <c r="Q51" s="1020"/>
      <c r="R51" s="1020"/>
      <c r="S51" s="1020"/>
      <c r="U51" s="809" t="s">
        <v>1116</v>
      </c>
      <c r="V51" s="830"/>
      <c r="W51" s="830"/>
      <c r="X51" s="845">
        <v>0.45</v>
      </c>
      <c r="Y51" s="845">
        <v>0.5</v>
      </c>
      <c r="Z51" s="845">
        <v>0.6</v>
      </c>
      <c r="AB51" s="681"/>
      <c r="AC51" s="1024"/>
      <c r="AD51" s="1021"/>
      <c r="AE51" s="1021"/>
      <c r="AF51" s="1021"/>
      <c r="AG51" s="1021"/>
      <c r="AH51" s="1021"/>
      <c r="AI51" s="1021"/>
      <c r="AJ51" s="1021"/>
      <c r="AK51" s="1021"/>
      <c r="AL51" s="1021"/>
      <c r="AM51" s="1021"/>
      <c r="AN51" s="1021"/>
      <c r="AO51" s="1021"/>
      <c r="AP51" s="1021"/>
      <c r="AQ51" s="681"/>
    </row>
    <row r="52" spans="1:199" ht="12">
      <c r="A52" s="1034" t="s">
        <v>1522</v>
      </c>
      <c r="B52" s="1034"/>
      <c r="C52" s="1034"/>
      <c r="D52" s="1034"/>
      <c r="E52" s="1034"/>
      <c r="F52" s="1034"/>
      <c r="G52" s="1034"/>
      <c r="H52" s="1034"/>
      <c r="I52" s="1034"/>
      <c r="J52" s="1034"/>
      <c r="K52" s="1034"/>
      <c r="L52" s="1034"/>
      <c r="M52" s="1034"/>
      <c r="N52" s="672"/>
      <c r="O52" s="1020"/>
      <c r="P52" s="1020"/>
      <c r="Q52" s="1020"/>
      <c r="R52" s="1020"/>
      <c r="S52" s="1020"/>
      <c r="Z52" s="729"/>
      <c r="AB52" s="681"/>
      <c r="AC52" s="1024"/>
      <c r="AD52" s="1021"/>
      <c r="AE52" s="1021"/>
      <c r="AF52" s="1021"/>
      <c r="AG52" s="1021"/>
      <c r="AH52" s="1021"/>
      <c r="AI52" s="1021"/>
      <c r="AJ52" s="1021"/>
      <c r="AK52" s="1021"/>
      <c r="AL52" s="1021"/>
      <c r="AM52" s="1021"/>
      <c r="AN52" s="1021"/>
      <c r="AO52" s="1021"/>
      <c r="AP52" s="1021"/>
      <c r="AQ52" s="681"/>
    </row>
    <row r="53" spans="1:199" ht="12">
      <c r="A53" s="1034"/>
      <c r="B53" s="1034"/>
      <c r="C53" s="1034"/>
      <c r="D53" s="1034"/>
      <c r="E53" s="1034"/>
      <c r="F53" s="1034"/>
      <c r="G53" s="1034"/>
      <c r="H53" s="1034"/>
      <c r="I53" s="1034"/>
      <c r="J53" s="1034"/>
      <c r="K53" s="1034"/>
      <c r="L53" s="1034"/>
      <c r="M53" s="1034"/>
      <c r="N53" s="672"/>
      <c r="O53" s="1020"/>
      <c r="P53" s="1020"/>
      <c r="Q53" s="1020"/>
      <c r="R53" s="1020"/>
      <c r="S53" s="1020"/>
      <c r="Z53" s="729"/>
      <c r="AB53" s="681"/>
      <c r="AC53" s="1024"/>
      <c r="AD53" s="1021"/>
      <c r="AE53" s="1021"/>
      <c r="AF53" s="1021"/>
      <c r="AG53" s="1021"/>
      <c r="AH53" s="1021"/>
      <c r="AI53" s="1021"/>
      <c r="AJ53" s="1021"/>
      <c r="AK53" s="1021"/>
      <c r="AL53" s="1021"/>
      <c r="AM53" s="1021"/>
      <c r="AN53" s="1021"/>
      <c r="AO53" s="1021"/>
      <c r="AP53" s="1021"/>
      <c r="AQ53" s="681"/>
    </row>
    <row r="54" spans="1:199" ht="12">
      <c r="A54" s="1034"/>
      <c r="B54" s="1034"/>
      <c r="C54" s="1034"/>
      <c r="D54" s="1034"/>
      <c r="E54" s="1034"/>
      <c r="F54" s="1034"/>
      <c r="G54" s="1034"/>
      <c r="H54" s="1034"/>
      <c r="I54" s="1034"/>
      <c r="J54" s="1034"/>
      <c r="K54" s="1034"/>
      <c r="L54" s="1034"/>
      <c r="M54" s="1034"/>
      <c r="N54" s="730"/>
      <c r="O54" s="1020"/>
      <c r="P54" s="1020"/>
      <c r="Q54" s="1020"/>
      <c r="R54" s="1020"/>
      <c r="S54" s="1020"/>
      <c r="AB54" s="681"/>
      <c r="AC54" s="1024"/>
      <c r="AD54" s="1021"/>
      <c r="AE54" s="1021"/>
      <c r="AF54" s="1021"/>
      <c r="AG54" s="1021"/>
      <c r="AH54" s="1021"/>
      <c r="AI54" s="1021"/>
      <c r="AJ54" s="1021"/>
      <c r="AK54" s="1021"/>
      <c r="AL54" s="1021"/>
      <c r="AM54" s="1021"/>
      <c r="AN54" s="1021"/>
      <c r="AO54" s="1021"/>
      <c r="AP54" s="1021"/>
      <c r="AQ54" s="681"/>
    </row>
    <row r="55" spans="1:199" ht="12">
      <c r="A55" s="1034"/>
      <c r="B55" s="1034"/>
      <c r="C55" s="1034"/>
      <c r="D55" s="1034"/>
      <c r="E55" s="1034"/>
      <c r="F55" s="1034"/>
      <c r="G55" s="1034"/>
      <c r="H55" s="1034"/>
      <c r="I55" s="1034"/>
      <c r="J55" s="1034"/>
      <c r="K55" s="1034"/>
      <c r="L55" s="1034"/>
      <c r="M55" s="1034"/>
      <c r="N55" s="730"/>
      <c r="O55" s="1020" t="s">
        <v>1202</v>
      </c>
      <c r="P55" s="1020"/>
      <c r="Q55" s="1020"/>
      <c r="R55" s="1020"/>
      <c r="S55" s="1020"/>
      <c r="U55" s="807" t="s">
        <v>1117</v>
      </c>
      <c r="V55" s="807"/>
      <c r="W55" s="807"/>
      <c r="X55" s="807" t="s">
        <v>682</v>
      </c>
      <c r="Y55" s="807" t="s">
        <v>681</v>
      </c>
      <c r="Z55" s="807" t="s">
        <v>680</v>
      </c>
      <c r="AB55" s="681"/>
      <c r="AC55" s="1024"/>
      <c r="AD55" s="1021"/>
      <c r="AE55" s="1021"/>
      <c r="AF55" s="1021"/>
      <c r="AG55" s="1021"/>
      <c r="AH55" s="1021"/>
      <c r="AI55" s="1021"/>
      <c r="AJ55" s="1021"/>
      <c r="AK55" s="1021"/>
      <c r="AL55" s="1021"/>
      <c r="AM55" s="1021"/>
      <c r="AN55" s="1021"/>
      <c r="AO55" s="1021"/>
      <c r="AP55" s="1021"/>
      <c r="AQ55" s="681"/>
      <c r="AR55" s="1237"/>
      <c r="AS55" s="1237"/>
      <c r="AT55" s="1237"/>
      <c r="AU55" s="1237"/>
      <c r="AV55" s="1237"/>
      <c r="AW55" s="1237"/>
      <c r="AX55" s="1237"/>
      <c r="AY55" s="1237"/>
      <c r="AZ55" s="1237"/>
      <c r="BA55" s="1237"/>
      <c r="BB55" s="1237"/>
      <c r="BC55" s="1237"/>
      <c r="BD55" s="1237"/>
      <c r="BE55" s="1237"/>
      <c r="BF55" s="1237"/>
      <c r="BG55" s="1237"/>
      <c r="BH55" s="1237"/>
      <c r="BI55" s="1237"/>
      <c r="BJ55" s="1237"/>
      <c r="BK55" s="1237"/>
      <c r="BL55" s="1237"/>
      <c r="BM55" s="1237"/>
      <c r="BN55" s="1237"/>
      <c r="BO55" s="1237"/>
      <c r="BP55" s="1237"/>
      <c r="BQ55" s="1237"/>
      <c r="BR55" s="1237"/>
      <c r="BS55" s="1237"/>
      <c r="BT55" s="1237"/>
      <c r="BU55" s="1237"/>
      <c r="BV55" s="1237"/>
      <c r="BW55" s="1237"/>
      <c r="BX55" s="1237"/>
      <c r="BY55" s="1237"/>
      <c r="BZ55" s="1237"/>
      <c r="CA55" s="1237"/>
      <c r="CB55" s="1237"/>
      <c r="CC55" s="1237"/>
      <c r="CD55" s="1237"/>
      <c r="CE55" s="1237"/>
      <c r="CF55" s="1237"/>
      <c r="CG55" s="1237"/>
      <c r="CH55" s="1237"/>
      <c r="CI55" s="1237"/>
      <c r="CJ55" s="1237"/>
      <c r="CK55" s="1237"/>
      <c r="CL55" s="1237"/>
      <c r="CM55" s="1237"/>
      <c r="CN55" s="1237"/>
      <c r="CO55" s="1237"/>
      <c r="CP55" s="1237"/>
      <c r="CQ55" s="1237"/>
      <c r="CR55" s="1237"/>
      <c r="CS55" s="1237"/>
      <c r="CT55" s="1237"/>
      <c r="CU55" s="1237"/>
      <c r="CV55" s="1237"/>
      <c r="CW55" s="1237"/>
      <c r="CX55" s="1237"/>
      <c r="CY55" s="1237"/>
      <c r="CZ55" s="1237"/>
      <c r="DA55" s="1237"/>
      <c r="DB55" s="1237"/>
      <c r="DC55" s="1237"/>
      <c r="DD55" s="1237"/>
      <c r="DE55" s="1237"/>
      <c r="DF55" s="1237"/>
      <c r="DG55" s="1237"/>
      <c r="DH55" s="1237"/>
      <c r="DI55" s="1237"/>
      <c r="DJ55" s="1237"/>
      <c r="DK55" s="1237"/>
      <c r="DL55" s="1237"/>
      <c r="DM55" s="1237"/>
      <c r="DN55" s="1237"/>
      <c r="DO55" s="1237"/>
      <c r="DP55" s="1237"/>
      <c r="DQ55" s="1237"/>
      <c r="DR55" s="1237"/>
      <c r="DS55" s="1237"/>
      <c r="DT55" s="1237"/>
      <c r="DU55" s="1237"/>
      <c r="DV55" s="1237"/>
      <c r="DW55" s="1237"/>
      <c r="DX55" s="1237"/>
      <c r="DY55" s="1237"/>
      <c r="DZ55" s="1237"/>
      <c r="EA55" s="1237"/>
      <c r="EB55" s="1237"/>
      <c r="EC55" s="1237"/>
      <c r="ED55" s="1237"/>
      <c r="EE55" s="1237"/>
      <c r="EF55" s="1237"/>
      <c r="EG55" s="1237"/>
      <c r="EH55" s="1237"/>
      <c r="EI55" s="1237"/>
      <c r="EJ55" s="1237"/>
      <c r="EK55" s="1237"/>
      <c r="EL55" s="1237"/>
      <c r="EM55" s="1237"/>
      <c r="EN55" s="1237"/>
      <c r="EO55" s="1237"/>
      <c r="EP55" s="1237"/>
      <c r="EQ55" s="1237"/>
      <c r="ER55" s="1237"/>
      <c r="ES55" s="1237"/>
      <c r="ET55" s="1237"/>
      <c r="EU55" s="1237"/>
      <c r="EV55" s="1237"/>
      <c r="EW55" s="1237"/>
      <c r="EX55" s="1237"/>
      <c r="EY55" s="1237"/>
      <c r="EZ55" s="1237"/>
      <c r="FA55" s="1237"/>
      <c r="FB55" s="1237"/>
      <c r="FC55" s="1237"/>
      <c r="FD55" s="1237"/>
      <c r="FE55" s="1237"/>
      <c r="FF55" s="1237"/>
      <c r="FG55" s="1237"/>
      <c r="FH55" s="1237"/>
      <c r="FI55" s="1237"/>
      <c r="FJ55" s="1237"/>
      <c r="FK55" s="1237"/>
      <c r="FL55" s="1237"/>
      <c r="FM55" s="1237"/>
      <c r="FN55" s="1237"/>
      <c r="FO55" s="1237"/>
      <c r="FP55" s="1237"/>
      <c r="FQ55" s="1237"/>
      <c r="FR55" s="1237"/>
      <c r="FS55" s="1237"/>
      <c r="FT55" s="1237"/>
      <c r="FU55" s="1237"/>
      <c r="FV55" s="1237"/>
      <c r="FW55" s="1237"/>
      <c r="FX55" s="1237"/>
      <c r="FY55" s="1237"/>
      <c r="FZ55" s="1237"/>
      <c r="GA55" s="1237"/>
      <c r="GB55" s="1237"/>
      <c r="GC55" s="1237"/>
      <c r="GD55" s="1237"/>
      <c r="GE55" s="1237"/>
      <c r="GF55" s="1237"/>
      <c r="GG55" s="1237"/>
      <c r="GH55" s="1237"/>
      <c r="GI55" s="1237"/>
      <c r="GJ55" s="1237"/>
      <c r="GK55" s="1237"/>
      <c r="GL55" s="1237"/>
      <c r="GM55" s="1237"/>
      <c r="GN55" s="1237"/>
      <c r="GO55" s="1237"/>
      <c r="GP55" s="1237"/>
      <c r="GQ55" s="1237"/>
    </row>
    <row r="56" spans="1:199" ht="12">
      <c r="A56" s="1034"/>
      <c r="B56" s="1034"/>
      <c r="C56" s="1034"/>
      <c r="D56" s="1034"/>
      <c r="E56" s="1034"/>
      <c r="F56" s="1034"/>
      <c r="G56" s="1034"/>
      <c r="H56" s="1034"/>
      <c r="I56" s="1034"/>
      <c r="J56" s="1034"/>
      <c r="K56" s="1034"/>
      <c r="L56" s="1034"/>
      <c r="M56" s="1034"/>
      <c r="N56" s="730"/>
      <c r="O56" s="1020"/>
      <c r="P56" s="1020"/>
      <c r="Q56" s="1020"/>
      <c r="R56" s="1020"/>
      <c r="S56" s="1020"/>
      <c r="U56" s="809" t="s">
        <v>667</v>
      </c>
      <c r="V56" s="846"/>
      <c r="W56" s="847"/>
      <c r="X56" s="848">
        <v>5.5E-2</v>
      </c>
      <c r="Y56" s="848">
        <v>0.05</v>
      </c>
      <c r="Z56" s="848">
        <v>4.4999999999999998E-2</v>
      </c>
      <c r="AB56" s="681"/>
      <c r="AC56" s="1024"/>
      <c r="AD56" s="1021"/>
      <c r="AE56" s="1021"/>
      <c r="AF56" s="1021"/>
      <c r="AG56" s="1021"/>
      <c r="AH56" s="1021"/>
      <c r="AI56" s="1021"/>
      <c r="AJ56" s="1021"/>
      <c r="AK56" s="1021"/>
      <c r="AL56" s="1021"/>
      <c r="AM56" s="1021"/>
      <c r="AN56" s="1021"/>
      <c r="AO56" s="1021"/>
      <c r="AP56" s="1021"/>
      <c r="AQ56" s="681"/>
      <c r="AR56" s="1237"/>
      <c r="AS56" s="1237"/>
      <c r="AT56" s="1237"/>
      <c r="AU56" s="1237"/>
      <c r="AV56" s="1237"/>
      <c r="AW56" s="1237"/>
      <c r="AX56" s="1237"/>
      <c r="AY56" s="1237"/>
      <c r="AZ56" s="1237"/>
      <c r="BA56" s="1237"/>
      <c r="BB56" s="1237"/>
      <c r="BC56" s="1237"/>
      <c r="BD56" s="1237"/>
      <c r="BE56" s="1237"/>
      <c r="BF56" s="1237"/>
      <c r="BG56" s="1237"/>
      <c r="BH56" s="1237"/>
      <c r="BI56" s="1237"/>
      <c r="BJ56" s="1237"/>
      <c r="BK56" s="1237"/>
      <c r="BL56" s="1237"/>
      <c r="BM56" s="1237"/>
      <c r="BN56" s="1237"/>
      <c r="BO56" s="1237"/>
      <c r="BP56" s="1237"/>
      <c r="BQ56" s="1237"/>
      <c r="BR56" s="1237"/>
      <c r="BS56" s="1237"/>
      <c r="BT56" s="1237"/>
      <c r="BU56" s="1237"/>
      <c r="BV56" s="1237"/>
      <c r="BW56" s="1237"/>
      <c r="BX56" s="1237"/>
      <c r="BY56" s="1237"/>
      <c r="BZ56" s="1237"/>
      <c r="CA56" s="1237"/>
      <c r="CB56" s="1237"/>
      <c r="CC56" s="1237"/>
      <c r="CD56" s="1237"/>
      <c r="CE56" s="1237"/>
      <c r="CF56" s="1237"/>
      <c r="CG56" s="1237"/>
      <c r="CH56" s="1237"/>
      <c r="CI56" s="1237"/>
      <c r="CJ56" s="1237"/>
      <c r="CK56" s="1237"/>
      <c r="CL56" s="1237"/>
      <c r="CM56" s="1237"/>
      <c r="CN56" s="1237"/>
      <c r="CO56" s="1237"/>
      <c r="CP56" s="1237"/>
      <c r="CQ56" s="1237"/>
      <c r="CR56" s="1237"/>
      <c r="CS56" s="1237"/>
      <c r="CT56" s="1237"/>
      <c r="CU56" s="1237"/>
      <c r="CV56" s="1237"/>
      <c r="CW56" s="1237"/>
      <c r="CX56" s="1237"/>
      <c r="CY56" s="1237"/>
      <c r="CZ56" s="1237"/>
      <c r="DA56" s="1237"/>
      <c r="DB56" s="1237"/>
      <c r="DC56" s="1237"/>
      <c r="DD56" s="1237"/>
      <c r="DE56" s="1237"/>
      <c r="DF56" s="1237"/>
      <c r="DG56" s="1237"/>
      <c r="DH56" s="1237"/>
      <c r="DI56" s="1237"/>
      <c r="DJ56" s="1237"/>
      <c r="DK56" s="1237"/>
      <c r="DL56" s="1237"/>
      <c r="DM56" s="1237"/>
      <c r="DN56" s="1237"/>
      <c r="DO56" s="1237"/>
      <c r="DP56" s="1237"/>
      <c r="DQ56" s="1237"/>
      <c r="DR56" s="1237"/>
      <c r="DS56" s="1237"/>
      <c r="DT56" s="1237"/>
      <c r="DU56" s="1237"/>
      <c r="DV56" s="1237"/>
      <c r="DW56" s="1237"/>
      <c r="DX56" s="1237"/>
      <c r="DY56" s="1237"/>
      <c r="DZ56" s="1237"/>
      <c r="EA56" s="1237"/>
      <c r="EB56" s="1237"/>
      <c r="EC56" s="1237"/>
      <c r="ED56" s="1237"/>
      <c r="EE56" s="1237"/>
      <c r="EF56" s="1237"/>
      <c r="EG56" s="1237"/>
      <c r="EH56" s="1237"/>
      <c r="EI56" s="1237"/>
      <c r="EJ56" s="1237"/>
      <c r="EK56" s="1237"/>
      <c r="EL56" s="1237"/>
      <c r="EM56" s="1237"/>
      <c r="EN56" s="1237"/>
      <c r="EO56" s="1237"/>
      <c r="EP56" s="1237"/>
      <c r="EQ56" s="1237"/>
      <c r="ER56" s="1237"/>
      <c r="ES56" s="1237"/>
      <c r="ET56" s="1237"/>
      <c r="EU56" s="1237"/>
      <c r="EV56" s="1237"/>
      <c r="EW56" s="1237"/>
      <c r="EX56" s="1237"/>
      <c r="EY56" s="1237"/>
      <c r="EZ56" s="1237"/>
      <c r="FA56" s="1237"/>
      <c r="FB56" s="1237"/>
      <c r="FC56" s="1237"/>
      <c r="FD56" s="1237"/>
      <c r="FE56" s="1237"/>
      <c r="FF56" s="1237"/>
      <c r="FG56" s="1237"/>
      <c r="FH56" s="1237"/>
      <c r="FI56" s="1237"/>
      <c r="FJ56" s="1237"/>
      <c r="FK56" s="1237"/>
      <c r="FL56" s="1237"/>
      <c r="FM56" s="1237"/>
      <c r="FN56" s="1237"/>
      <c r="FO56" s="1237"/>
      <c r="FP56" s="1237"/>
      <c r="FQ56" s="1237"/>
      <c r="FR56" s="1237"/>
      <c r="FS56" s="1237"/>
      <c r="FT56" s="1237"/>
      <c r="FU56" s="1237"/>
      <c r="FV56" s="1237"/>
      <c r="FW56" s="1237"/>
      <c r="FX56" s="1237"/>
      <c r="FY56" s="1237"/>
      <c r="FZ56" s="1237"/>
      <c r="GA56" s="1237"/>
      <c r="GB56" s="1237"/>
      <c r="GC56" s="1237"/>
      <c r="GD56" s="1237"/>
      <c r="GE56" s="1237"/>
      <c r="GF56" s="1237"/>
      <c r="GG56" s="1237"/>
      <c r="GH56" s="1237"/>
      <c r="GI56" s="1237"/>
      <c r="GJ56" s="1237"/>
      <c r="GK56" s="1237"/>
      <c r="GL56" s="1237"/>
      <c r="GM56" s="1237"/>
      <c r="GN56" s="1237"/>
      <c r="GO56" s="1237"/>
      <c r="GP56" s="1237"/>
      <c r="GQ56" s="1237"/>
    </row>
    <row r="57" spans="1:199" ht="15.95" customHeight="1">
      <c r="A57" s="1034"/>
      <c r="B57" s="1034"/>
      <c r="C57" s="1034"/>
      <c r="D57" s="1034"/>
      <c r="E57" s="1034"/>
      <c r="F57" s="1034"/>
      <c r="G57" s="1034"/>
      <c r="H57" s="1034"/>
      <c r="I57" s="1034"/>
      <c r="J57" s="1034"/>
      <c r="K57" s="1034"/>
      <c r="L57" s="1034"/>
      <c r="M57" s="1034"/>
      <c r="N57" s="730"/>
      <c r="O57" s="1020"/>
      <c r="P57" s="1020"/>
      <c r="Q57" s="1020"/>
      <c r="R57" s="1020"/>
      <c r="S57" s="1020"/>
      <c r="U57" s="809" t="s">
        <v>1118</v>
      </c>
      <c r="V57" s="846"/>
      <c r="W57" s="847"/>
      <c r="X57" s="849">
        <v>0.04</v>
      </c>
      <c r="Y57" s="849">
        <v>3.5000000000000003E-2</v>
      </c>
      <c r="Z57" s="849">
        <v>0.03</v>
      </c>
      <c r="AA57" s="731"/>
      <c r="AB57" s="673"/>
      <c r="AC57" s="1024"/>
      <c r="AD57" s="1021"/>
      <c r="AE57" s="1021"/>
      <c r="AF57" s="1021"/>
      <c r="AG57" s="1021"/>
      <c r="AH57" s="1021"/>
      <c r="AI57" s="1021"/>
      <c r="AJ57" s="1021"/>
      <c r="AK57" s="1021"/>
      <c r="AL57" s="1021"/>
      <c r="AM57" s="1021"/>
      <c r="AN57" s="1021"/>
      <c r="AO57" s="1021"/>
      <c r="AP57" s="1021"/>
      <c r="AQ57" s="681"/>
      <c r="AR57" s="1237"/>
      <c r="AS57" s="1237"/>
      <c r="AT57" s="1237"/>
      <c r="AU57" s="1237"/>
      <c r="AV57" s="1237"/>
      <c r="AW57" s="1237"/>
      <c r="AX57" s="1237"/>
      <c r="AY57" s="1237"/>
      <c r="AZ57" s="1237"/>
      <c r="BA57" s="1237"/>
      <c r="BB57" s="1237"/>
      <c r="BC57" s="1237"/>
      <c r="BD57" s="1237"/>
      <c r="BE57" s="1237"/>
      <c r="BF57" s="1237"/>
      <c r="BG57" s="1237"/>
      <c r="BH57" s="1237"/>
      <c r="BI57" s="1237"/>
      <c r="BJ57" s="1237"/>
      <c r="BK57" s="1237"/>
      <c r="BL57" s="1237"/>
      <c r="BM57" s="1237"/>
      <c r="BN57" s="1237"/>
      <c r="BO57" s="1237"/>
      <c r="BP57" s="1237"/>
      <c r="BQ57" s="1237"/>
      <c r="BR57" s="1237"/>
      <c r="BS57" s="1237"/>
      <c r="BT57" s="1237"/>
      <c r="BU57" s="1237"/>
      <c r="BV57" s="1237"/>
      <c r="BW57" s="1237"/>
      <c r="BX57" s="1237"/>
      <c r="BY57" s="1237"/>
      <c r="BZ57" s="1237"/>
      <c r="CA57" s="1237"/>
      <c r="CB57" s="1237"/>
      <c r="CC57" s="1237"/>
      <c r="CD57" s="1237"/>
      <c r="CE57" s="1237"/>
      <c r="CF57" s="1237"/>
      <c r="CG57" s="1237"/>
      <c r="CH57" s="1237"/>
      <c r="CI57" s="1237"/>
      <c r="CJ57" s="1237"/>
      <c r="CK57" s="1237"/>
      <c r="CL57" s="1237"/>
      <c r="CM57" s="1237"/>
      <c r="CN57" s="1237"/>
      <c r="CO57" s="1237"/>
      <c r="CP57" s="1237"/>
      <c r="CQ57" s="1237"/>
      <c r="CR57" s="1237"/>
      <c r="CS57" s="1237"/>
      <c r="CT57" s="1237"/>
      <c r="CU57" s="1237"/>
      <c r="CV57" s="1237"/>
      <c r="CW57" s="1237"/>
      <c r="CX57" s="1237"/>
      <c r="CY57" s="1237"/>
      <c r="CZ57" s="1237"/>
      <c r="DA57" s="1237"/>
      <c r="DB57" s="1237"/>
      <c r="DC57" s="1237"/>
      <c r="DD57" s="1237"/>
      <c r="DE57" s="1237"/>
      <c r="DF57" s="1237"/>
      <c r="DG57" s="1237"/>
      <c r="DH57" s="1237"/>
      <c r="DI57" s="1237"/>
      <c r="DJ57" s="1237"/>
      <c r="DK57" s="1237"/>
      <c r="DL57" s="1237"/>
      <c r="DM57" s="1237"/>
      <c r="DN57" s="1237"/>
      <c r="DO57" s="1237"/>
      <c r="DP57" s="1237"/>
      <c r="DQ57" s="1237"/>
      <c r="DR57" s="1237"/>
      <c r="DS57" s="1237"/>
      <c r="DT57" s="1237"/>
      <c r="DU57" s="1237"/>
      <c r="DV57" s="1237"/>
      <c r="DW57" s="1237"/>
      <c r="DX57" s="1237"/>
      <c r="DY57" s="1237"/>
      <c r="DZ57" s="1237"/>
      <c r="EA57" s="1237"/>
      <c r="EB57" s="1237"/>
      <c r="EC57" s="1237"/>
      <c r="ED57" s="1237"/>
      <c r="EE57" s="1237"/>
      <c r="EF57" s="1237"/>
      <c r="EG57" s="1237"/>
      <c r="EH57" s="1237"/>
      <c r="EI57" s="1237"/>
      <c r="EJ57" s="1237"/>
      <c r="EK57" s="1237"/>
      <c r="EL57" s="1237"/>
      <c r="EM57" s="1237"/>
      <c r="EN57" s="1237"/>
      <c r="EO57" s="1237"/>
      <c r="EP57" s="1237"/>
      <c r="EQ57" s="1237"/>
      <c r="ER57" s="1237"/>
      <c r="ES57" s="1237"/>
      <c r="ET57" s="1237"/>
      <c r="EU57" s="1237"/>
      <c r="EV57" s="1237"/>
      <c r="EW57" s="1237"/>
      <c r="EX57" s="1237"/>
      <c r="EY57" s="1237"/>
      <c r="EZ57" s="1237"/>
      <c r="FA57" s="1237"/>
      <c r="FB57" s="1237"/>
      <c r="FC57" s="1237"/>
      <c r="FD57" s="1237"/>
      <c r="FE57" s="1237"/>
      <c r="FF57" s="1237"/>
      <c r="FG57" s="1237"/>
      <c r="FH57" s="1237"/>
      <c r="FI57" s="1237"/>
      <c r="FJ57" s="1237"/>
      <c r="FK57" s="1237"/>
      <c r="FL57" s="1237"/>
      <c r="FM57" s="1237"/>
      <c r="FN57" s="1237"/>
      <c r="FO57" s="1237"/>
      <c r="FP57" s="1237"/>
      <c r="FQ57" s="1237"/>
      <c r="FR57" s="1237"/>
      <c r="FS57" s="1237"/>
      <c r="FT57" s="1237"/>
      <c r="FU57" s="1237"/>
      <c r="FV57" s="1237"/>
      <c r="FW57" s="1237"/>
      <c r="FX57" s="1237"/>
      <c r="FY57" s="1237"/>
      <c r="FZ57" s="1237"/>
      <c r="GA57" s="1237"/>
      <c r="GB57" s="1237"/>
      <c r="GC57" s="1237"/>
      <c r="GD57" s="1237"/>
      <c r="GE57" s="1237"/>
      <c r="GF57" s="1237"/>
      <c r="GG57" s="1237"/>
      <c r="GH57" s="1237"/>
      <c r="GI57" s="1237"/>
      <c r="GJ57" s="1237"/>
      <c r="GK57" s="1237"/>
      <c r="GL57" s="1237"/>
      <c r="GM57" s="1237"/>
      <c r="GN57" s="1237"/>
      <c r="GO57" s="1237"/>
      <c r="GP57" s="1237"/>
      <c r="GQ57" s="1237"/>
    </row>
    <row r="58" spans="1:199" s="735" customFormat="1" ht="12">
      <c r="A58" s="1034"/>
      <c r="B58" s="1034"/>
      <c r="C58" s="1034"/>
      <c r="D58" s="1034"/>
      <c r="E58" s="1034"/>
      <c r="F58" s="1034"/>
      <c r="G58" s="1034"/>
      <c r="H58" s="1034"/>
      <c r="I58" s="1034"/>
      <c r="J58" s="1034"/>
      <c r="K58" s="1034"/>
      <c r="L58" s="1034"/>
      <c r="M58" s="1034"/>
      <c r="N58" s="730"/>
      <c r="O58" s="1020"/>
      <c r="P58" s="1020"/>
      <c r="Q58" s="1020"/>
      <c r="R58" s="1020"/>
      <c r="S58" s="1020"/>
      <c r="T58" s="675"/>
      <c r="U58" s="809" t="s">
        <v>663</v>
      </c>
      <c r="V58" s="785"/>
      <c r="W58" s="785"/>
      <c r="X58" s="850">
        <v>0.08</v>
      </c>
      <c r="Y58" s="850">
        <v>0.06</v>
      </c>
      <c r="Z58" s="850">
        <v>9.5000000000000001E-2</v>
      </c>
      <c r="AA58" s="731"/>
      <c r="AB58" s="673"/>
      <c r="AC58" s="1024"/>
      <c r="AD58" s="675"/>
      <c r="AE58" s="675"/>
      <c r="AF58" s="675"/>
      <c r="AG58" s="675"/>
      <c r="AH58" s="675"/>
      <c r="AI58" s="675"/>
      <c r="AJ58" s="675"/>
      <c r="AK58" s="709"/>
      <c r="AL58" s="675"/>
      <c r="AM58" s="732"/>
      <c r="AN58" s="733"/>
      <c r="AO58" s="731"/>
      <c r="AP58" s="731"/>
      <c r="AQ58" s="1111"/>
      <c r="AR58" s="1237"/>
      <c r="AS58" s="1237"/>
      <c r="AT58" s="1237"/>
      <c r="AU58" s="1237"/>
      <c r="AV58" s="1237"/>
      <c r="AW58" s="1237"/>
      <c r="AX58" s="1237"/>
      <c r="AY58" s="1237"/>
      <c r="AZ58" s="1237"/>
      <c r="BA58" s="1237"/>
      <c r="BB58" s="1237"/>
      <c r="BC58" s="1237"/>
      <c r="BD58" s="1237"/>
      <c r="BE58" s="1237"/>
      <c r="BF58" s="1237"/>
      <c r="BG58" s="1237"/>
      <c r="BH58" s="1237"/>
      <c r="BI58" s="1237"/>
      <c r="BJ58" s="1237"/>
      <c r="BK58" s="1237"/>
      <c r="BL58" s="1237"/>
      <c r="BM58" s="1237"/>
      <c r="BN58" s="1237"/>
      <c r="BO58" s="1237"/>
      <c r="BP58" s="1237"/>
      <c r="BQ58" s="1237"/>
      <c r="BR58" s="1237"/>
      <c r="BS58" s="1237"/>
      <c r="BT58" s="1237"/>
      <c r="BU58" s="1237"/>
      <c r="BV58" s="1237"/>
      <c r="BW58" s="1237"/>
      <c r="BX58" s="1237"/>
      <c r="BY58" s="1237"/>
      <c r="BZ58" s="1237"/>
      <c r="CA58" s="1237"/>
      <c r="CB58" s="1237"/>
      <c r="CC58" s="1237"/>
      <c r="CD58" s="1237"/>
      <c r="CE58" s="1237"/>
      <c r="CF58" s="1237"/>
      <c r="CG58" s="1237"/>
      <c r="CH58" s="1237"/>
      <c r="CI58" s="1237"/>
      <c r="CJ58" s="1237"/>
      <c r="CK58" s="1237"/>
      <c r="CL58" s="1237"/>
      <c r="CM58" s="1237"/>
      <c r="CN58" s="1237"/>
      <c r="CO58" s="1237"/>
      <c r="CP58" s="1237"/>
      <c r="CQ58" s="1237"/>
      <c r="CR58" s="1237"/>
      <c r="CS58" s="1237"/>
      <c r="CT58" s="1237"/>
      <c r="CU58" s="1237"/>
      <c r="CV58" s="1237"/>
      <c r="CW58" s="1237"/>
      <c r="CX58" s="1237"/>
      <c r="CY58" s="1237"/>
      <c r="CZ58" s="1237"/>
      <c r="DA58" s="1237"/>
      <c r="DB58" s="1237"/>
      <c r="DC58" s="1237"/>
      <c r="DD58" s="1237"/>
      <c r="DE58" s="1237"/>
      <c r="DF58" s="1237"/>
      <c r="DG58" s="1237"/>
      <c r="DH58" s="1237"/>
      <c r="DI58" s="1237"/>
      <c r="DJ58" s="1237"/>
      <c r="DK58" s="1237"/>
      <c r="DL58" s="1237"/>
      <c r="DM58" s="1237"/>
      <c r="DN58" s="1237"/>
      <c r="DO58" s="1237"/>
      <c r="DP58" s="1237"/>
      <c r="DQ58" s="1237"/>
      <c r="DR58" s="1237"/>
      <c r="DS58" s="1237"/>
      <c r="DT58" s="1237"/>
      <c r="DU58" s="1237"/>
      <c r="DV58" s="1237"/>
      <c r="DW58" s="1237"/>
      <c r="DX58" s="1237"/>
      <c r="DY58" s="1237"/>
      <c r="DZ58" s="1237"/>
      <c r="EA58" s="1237"/>
      <c r="EB58" s="1237"/>
      <c r="EC58" s="1237"/>
      <c r="ED58" s="1237"/>
      <c r="EE58" s="1237"/>
      <c r="EF58" s="1237"/>
      <c r="EG58" s="1237"/>
      <c r="EH58" s="1237"/>
      <c r="EI58" s="1237"/>
      <c r="EJ58" s="1237"/>
      <c r="EK58" s="1237"/>
      <c r="EL58" s="1237"/>
      <c r="EM58" s="1237"/>
      <c r="EN58" s="1237"/>
      <c r="EO58" s="1237"/>
      <c r="EP58" s="1237"/>
      <c r="EQ58" s="1237"/>
      <c r="ER58" s="1237"/>
      <c r="ES58" s="1237"/>
      <c r="ET58" s="1237"/>
      <c r="EU58" s="1237"/>
      <c r="EV58" s="1237"/>
      <c r="EW58" s="1237"/>
      <c r="EX58" s="1237"/>
      <c r="EY58" s="1237"/>
      <c r="EZ58" s="1237"/>
      <c r="FA58" s="1237"/>
      <c r="FB58" s="1237"/>
      <c r="FC58" s="1237"/>
      <c r="FD58" s="1237"/>
      <c r="FE58" s="1237"/>
      <c r="FF58" s="1237"/>
      <c r="FG58" s="1237"/>
      <c r="FH58" s="1237"/>
      <c r="FI58" s="1237"/>
      <c r="FJ58" s="1237"/>
      <c r="FK58" s="1237"/>
      <c r="FL58" s="1237"/>
      <c r="FM58" s="1237"/>
      <c r="FN58" s="1237"/>
      <c r="FO58" s="1237"/>
      <c r="FP58" s="1237"/>
      <c r="FQ58" s="1237"/>
      <c r="FR58" s="1237"/>
      <c r="FS58" s="1237"/>
      <c r="FT58" s="1237"/>
      <c r="FU58" s="1237"/>
      <c r="FV58" s="1237"/>
      <c r="FW58" s="1237"/>
      <c r="FX58" s="1237"/>
      <c r="FY58" s="1237"/>
      <c r="FZ58" s="1237"/>
      <c r="GA58" s="1237"/>
      <c r="GB58" s="1237"/>
      <c r="GC58" s="1237"/>
      <c r="GD58" s="1237"/>
      <c r="GE58" s="1237"/>
      <c r="GF58" s="1237"/>
      <c r="GG58" s="1237"/>
      <c r="GH58" s="1237"/>
      <c r="GI58" s="1237"/>
      <c r="GJ58" s="1237"/>
      <c r="GK58" s="1237"/>
      <c r="GL58" s="1237"/>
      <c r="GM58" s="1237"/>
      <c r="GN58" s="1237"/>
      <c r="GO58" s="1237"/>
      <c r="GP58" s="1237"/>
      <c r="GQ58" s="1237"/>
    </row>
    <row r="59" spans="1:199" s="581" customFormat="1" ht="12" customHeight="1">
      <c r="A59" s="1034"/>
      <c r="B59" s="1034"/>
      <c r="C59" s="1034"/>
      <c r="D59" s="1034"/>
      <c r="E59" s="1034"/>
      <c r="F59" s="1034"/>
      <c r="G59" s="1034"/>
      <c r="H59" s="1034"/>
      <c r="I59" s="1034"/>
      <c r="J59" s="1034"/>
      <c r="K59" s="1034"/>
      <c r="L59" s="1034"/>
      <c r="M59" s="1034"/>
      <c r="O59" s="1020"/>
      <c r="P59" s="1020"/>
      <c r="Q59" s="1020"/>
      <c r="R59" s="1020"/>
      <c r="S59" s="1020"/>
      <c r="T59" s="675"/>
      <c r="U59" s="675"/>
      <c r="V59" s="675"/>
      <c r="W59" s="675"/>
      <c r="X59" s="675"/>
      <c r="Y59" s="675"/>
      <c r="AR59" s="1238"/>
      <c r="AS59" s="1238"/>
      <c r="AT59" s="1238"/>
      <c r="AU59" s="1238"/>
      <c r="AV59" s="1238"/>
      <c r="AW59" s="1238"/>
      <c r="AX59" s="1238"/>
      <c r="AY59" s="1238"/>
      <c r="AZ59" s="1238"/>
      <c r="BA59" s="1238"/>
      <c r="BB59" s="1238"/>
      <c r="BC59" s="1238"/>
      <c r="BD59" s="1238"/>
      <c r="BE59" s="1238"/>
      <c r="BF59" s="1238"/>
      <c r="BG59" s="1238"/>
      <c r="BH59" s="1238"/>
      <c r="BI59" s="1238"/>
      <c r="BJ59" s="1238"/>
      <c r="BK59" s="1238"/>
      <c r="BL59" s="1238"/>
      <c r="BM59" s="1238"/>
      <c r="BN59" s="1238"/>
      <c r="BO59" s="1238"/>
      <c r="BP59" s="1238"/>
      <c r="BQ59" s="1238"/>
      <c r="BR59" s="1238"/>
      <c r="BS59" s="1238"/>
      <c r="BT59" s="1238"/>
      <c r="BU59" s="1238"/>
      <c r="BV59" s="1238"/>
      <c r="BW59" s="1238"/>
      <c r="BX59" s="1238"/>
      <c r="BY59" s="1238"/>
      <c r="BZ59" s="1238"/>
      <c r="CA59" s="1238"/>
      <c r="CB59" s="1238"/>
      <c r="CC59" s="1238"/>
      <c r="CD59" s="1238"/>
      <c r="CE59" s="1238"/>
      <c r="CF59" s="1238"/>
      <c r="CG59" s="1238"/>
      <c r="CH59" s="1238"/>
      <c r="CI59" s="1238"/>
      <c r="CJ59" s="1238"/>
      <c r="CK59" s="1238"/>
      <c r="CL59" s="1238"/>
      <c r="CM59" s="1238"/>
      <c r="CN59" s="1238"/>
      <c r="CO59" s="1238"/>
      <c r="CP59" s="1238"/>
      <c r="CQ59" s="1238"/>
      <c r="CR59" s="1238"/>
      <c r="CS59" s="1238"/>
      <c r="CT59" s="1238"/>
      <c r="CU59" s="1238"/>
      <c r="CV59" s="1238"/>
      <c r="CW59" s="1238"/>
      <c r="CX59" s="1238"/>
      <c r="CY59" s="1238"/>
      <c r="CZ59" s="1238"/>
      <c r="DA59" s="1238"/>
      <c r="DB59" s="1238"/>
      <c r="DC59" s="1238"/>
      <c r="DD59" s="1238"/>
      <c r="DE59" s="1238"/>
      <c r="DF59" s="1238"/>
      <c r="DG59" s="1238"/>
      <c r="DH59" s="1238"/>
      <c r="DI59" s="1238"/>
      <c r="DJ59" s="1238"/>
      <c r="DK59" s="1238"/>
      <c r="DL59" s="1238"/>
      <c r="DM59" s="1238"/>
      <c r="DN59" s="1238"/>
      <c r="DO59" s="1238"/>
      <c r="DP59" s="1238"/>
      <c r="DQ59" s="1238"/>
      <c r="DR59" s="1238"/>
      <c r="DS59" s="1238"/>
      <c r="DT59" s="1238"/>
      <c r="DU59" s="1238"/>
      <c r="DV59" s="1238"/>
      <c r="DW59" s="1238"/>
      <c r="DX59" s="1238"/>
      <c r="DY59" s="1238"/>
      <c r="DZ59" s="1238"/>
      <c r="EA59" s="1238"/>
      <c r="EB59" s="1238"/>
      <c r="EC59" s="1238"/>
      <c r="ED59" s="1238"/>
      <c r="EE59" s="1238"/>
      <c r="EF59" s="1238"/>
      <c r="EG59" s="1238"/>
      <c r="EH59" s="1238"/>
      <c r="EI59" s="1238"/>
      <c r="EJ59" s="1238"/>
      <c r="EK59" s="1238"/>
      <c r="EL59" s="1238"/>
      <c r="EM59" s="1238"/>
      <c r="EN59" s="1238"/>
      <c r="EO59" s="1238"/>
      <c r="EP59" s="1238"/>
      <c r="EQ59" s="1238"/>
      <c r="ER59" s="1238"/>
      <c r="ES59" s="1238"/>
      <c r="ET59" s="1238"/>
      <c r="EU59" s="1238"/>
      <c r="EV59" s="1238"/>
      <c r="EW59" s="1238"/>
      <c r="EX59" s="1238"/>
      <c r="EY59" s="1238"/>
      <c r="EZ59" s="1238"/>
      <c r="FA59" s="1238"/>
      <c r="FB59" s="1238"/>
      <c r="FC59" s="1238"/>
      <c r="FD59" s="1238"/>
      <c r="FE59" s="1238"/>
      <c r="FF59" s="1238"/>
      <c r="FG59" s="1238"/>
      <c r="FH59" s="1238"/>
      <c r="FI59" s="1238"/>
      <c r="FJ59" s="1238"/>
      <c r="FK59" s="1238"/>
      <c r="FL59" s="1238"/>
      <c r="FM59" s="1238"/>
      <c r="FN59" s="1238"/>
      <c r="FO59" s="1238"/>
      <c r="FP59" s="1238"/>
      <c r="FQ59" s="1238"/>
      <c r="FR59" s="1238"/>
      <c r="FS59" s="1238"/>
      <c r="FT59" s="1238"/>
      <c r="FU59" s="1238"/>
      <c r="FV59" s="1238"/>
      <c r="FW59" s="1238"/>
      <c r="FX59" s="1238"/>
      <c r="FY59" s="1238"/>
      <c r="FZ59" s="1238"/>
      <c r="GA59" s="1238"/>
      <c r="GB59" s="1238"/>
      <c r="GC59" s="1238"/>
      <c r="GD59" s="1238"/>
      <c r="GE59" s="1238"/>
      <c r="GF59" s="1238"/>
      <c r="GG59" s="1238"/>
      <c r="GH59" s="1238"/>
      <c r="GI59" s="1238"/>
      <c r="GJ59" s="1238"/>
      <c r="GK59" s="1238"/>
      <c r="GL59" s="1238"/>
      <c r="GM59" s="1238"/>
      <c r="GN59" s="1238"/>
      <c r="GO59" s="1238"/>
      <c r="GP59" s="1238"/>
      <c r="GQ59" s="1238"/>
    </row>
    <row r="60" spans="1:199" ht="15" customHeight="1">
      <c r="A60" s="782" t="s">
        <v>1204</v>
      </c>
      <c r="B60" s="781"/>
      <c r="C60" s="781"/>
      <c r="D60" s="781"/>
      <c r="E60" s="781"/>
      <c r="F60" s="781"/>
      <c r="G60" s="781"/>
      <c r="H60" s="1019" t="s">
        <v>1089</v>
      </c>
      <c r="I60" s="1019"/>
      <c r="J60" s="1019"/>
      <c r="K60" s="1019"/>
      <c r="L60" s="1019"/>
      <c r="M60" s="1019"/>
      <c r="N60" s="673"/>
      <c r="O60" s="782" t="s">
        <v>1204</v>
      </c>
      <c r="P60" s="781"/>
      <c r="Q60" s="781"/>
      <c r="R60" s="781"/>
      <c r="S60" s="781"/>
      <c r="T60" s="781"/>
      <c r="U60" s="781"/>
      <c r="V60" s="1019" t="s">
        <v>1089</v>
      </c>
      <c r="W60" s="1019"/>
      <c r="X60" s="1019"/>
      <c r="Y60" s="1019"/>
      <c r="Z60" s="1019"/>
      <c r="AA60" s="1019"/>
      <c r="AB60" s="673"/>
      <c r="AC60" s="1024"/>
      <c r="AD60" s="782" t="s">
        <v>1204</v>
      </c>
      <c r="AE60" s="781"/>
      <c r="AF60" s="781"/>
      <c r="AG60" s="781"/>
      <c r="AH60" s="781"/>
      <c r="AI60" s="781"/>
      <c r="AJ60" s="781"/>
      <c r="AK60" s="1019" t="s">
        <v>1089</v>
      </c>
      <c r="AL60" s="1019"/>
      <c r="AM60" s="1019"/>
      <c r="AN60" s="1019"/>
      <c r="AO60" s="1019"/>
      <c r="AP60" s="1019"/>
      <c r="AQ60" s="1236"/>
      <c r="AR60" s="1237"/>
      <c r="AS60" s="1237"/>
      <c r="AT60" s="1237"/>
      <c r="AU60" s="1237"/>
      <c r="AV60" s="1237"/>
      <c r="AW60" s="1237"/>
      <c r="AX60" s="1237"/>
      <c r="AY60" s="1237"/>
      <c r="AZ60" s="1237"/>
      <c r="BA60" s="1237"/>
      <c r="BB60" s="1237"/>
      <c r="BC60" s="1237"/>
      <c r="BD60" s="1237"/>
      <c r="BE60" s="1237"/>
      <c r="BF60" s="1237"/>
      <c r="BG60" s="1237"/>
      <c r="BH60" s="1237"/>
      <c r="BI60" s="1237"/>
      <c r="BJ60" s="1237"/>
      <c r="BK60" s="1237"/>
      <c r="BL60" s="1237"/>
      <c r="BM60" s="1237"/>
      <c r="BN60" s="1237"/>
      <c r="BO60" s="1237"/>
      <c r="BP60" s="1237"/>
      <c r="BQ60" s="1237"/>
      <c r="BR60" s="1237"/>
      <c r="BS60" s="1237"/>
      <c r="BT60" s="1237"/>
      <c r="BU60" s="1237"/>
      <c r="BV60" s="1237"/>
      <c r="BW60" s="1237"/>
      <c r="BX60" s="1237"/>
      <c r="BY60" s="1237"/>
      <c r="BZ60" s="1237"/>
      <c r="CA60" s="1237"/>
      <c r="CB60" s="1237"/>
      <c r="CC60" s="1237"/>
      <c r="CD60" s="1237"/>
      <c r="CE60" s="1237"/>
      <c r="CF60" s="1237"/>
      <c r="CG60" s="1237"/>
      <c r="CH60" s="1237"/>
      <c r="CI60" s="1237"/>
      <c r="CJ60" s="1237"/>
      <c r="CK60" s="1237"/>
      <c r="CL60" s="1237"/>
      <c r="CM60" s="1237"/>
      <c r="CN60" s="1237"/>
      <c r="CO60" s="1237"/>
      <c r="CP60" s="1237"/>
      <c r="CQ60" s="1237"/>
      <c r="CR60" s="1237"/>
      <c r="CS60" s="1237"/>
      <c r="CT60" s="1237"/>
      <c r="CU60" s="1237"/>
      <c r="CV60" s="1237"/>
      <c r="CW60" s="1237"/>
      <c r="CX60" s="1237"/>
      <c r="CY60" s="1237"/>
      <c r="CZ60" s="1237"/>
      <c r="DA60" s="1237"/>
      <c r="DB60" s="1237"/>
      <c r="DC60" s="1237"/>
      <c r="DD60" s="1237"/>
      <c r="DE60" s="1237"/>
      <c r="DF60" s="1237"/>
      <c r="DG60" s="1237"/>
      <c r="DH60" s="1237"/>
      <c r="DI60" s="1237"/>
      <c r="DJ60" s="1237"/>
      <c r="DK60" s="1237"/>
      <c r="DL60" s="1237"/>
      <c r="DM60" s="1237"/>
      <c r="DN60" s="1237"/>
      <c r="DO60" s="1237"/>
      <c r="DP60" s="1237"/>
      <c r="DQ60" s="1237"/>
      <c r="DR60" s="1237"/>
      <c r="DS60" s="1237"/>
      <c r="DT60" s="1237"/>
      <c r="DU60" s="1237"/>
      <c r="DV60" s="1237"/>
      <c r="DW60" s="1237"/>
      <c r="DX60" s="1237"/>
      <c r="DY60" s="1237"/>
      <c r="DZ60" s="1237"/>
      <c r="EA60" s="1237"/>
      <c r="EB60" s="1237"/>
      <c r="EC60" s="1237"/>
      <c r="ED60" s="1237"/>
      <c r="EE60" s="1237"/>
      <c r="EF60" s="1237"/>
      <c r="EG60" s="1237"/>
      <c r="EH60" s="1237"/>
      <c r="EI60" s="1237"/>
      <c r="EJ60" s="1237"/>
      <c r="EK60" s="1237"/>
      <c r="EL60" s="1237"/>
      <c r="EM60" s="1237"/>
      <c r="EN60" s="1237"/>
      <c r="EO60" s="1237"/>
      <c r="EP60" s="1237"/>
      <c r="EQ60" s="1237"/>
      <c r="ER60" s="1237"/>
      <c r="ES60" s="1237"/>
      <c r="ET60" s="1237"/>
      <c r="EU60" s="1237"/>
      <c r="EV60" s="1237"/>
      <c r="EW60" s="1237"/>
      <c r="EX60" s="1237"/>
      <c r="EY60" s="1237"/>
      <c r="EZ60" s="1237"/>
      <c r="FA60" s="1237"/>
      <c r="FB60" s="1237"/>
      <c r="FC60" s="1237"/>
      <c r="FD60" s="1237"/>
      <c r="FE60" s="1237"/>
      <c r="FF60" s="1237"/>
      <c r="FG60" s="1237"/>
      <c r="FH60" s="1237"/>
      <c r="FI60" s="1237"/>
      <c r="FJ60" s="1237"/>
      <c r="FK60" s="1237"/>
      <c r="FL60" s="1237"/>
      <c r="FM60" s="1237"/>
      <c r="FN60" s="1237"/>
      <c r="FO60" s="1237"/>
      <c r="FP60" s="1237"/>
      <c r="FQ60" s="1237"/>
      <c r="FR60" s="1237"/>
      <c r="FS60" s="1237"/>
      <c r="FT60" s="1237"/>
      <c r="FU60" s="1237"/>
      <c r="FV60" s="1237"/>
      <c r="FW60" s="1237"/>
      <c r="FX60" s="1237"/>
      <c r="FY60" s="1237"/>
      <c r="FZ60" s="1237"/>
      <c r="GA60" s="1237"/>
      <c r="GB60" s="1237"/>
      <c r="GC60" s="1237"/>
      <c r="GD60" s="1237"/>
      <c r="GE60" s="1237"/>
      <c r="GF60" s="1237"/>
      <c r="GG60" s="1237"/>
      <c r="GH60" s="1237"/>
      <c r="GI60" s="1237"/>
      <c r="GJ60" s="1237"/>
      <c r="GK60" s="1237"/>
      <c r="GL60" s="1237"/>
      <c r="GM60" s="1237"/>
      <c r="GN60" s="1237"/>
      <c r="GO60" s="1237"/>
      <c r="GP60" s="1237"/>
      <c r="GQ60" s="1237"/>
    </row>
    <row r="61" spans="1:199" ht="15" customHeight="1">
      <c r="A61" s="676" t="s">
        <v>552</v>
      </c>
      <c r="B61" s="676"/>
      <c r="C61" s="676"/>
      <c r="D61" s="676"/>
      <c r="E61" s="676"/>
      <c r="F61" s="676"/>
      <c r="G61" s="676"/>
      <c r="H61" s="1026" t="s">
        <v>1090</v>
      </c>
      <c r="I61" s="1026"/>
      <c r="J61" s="1026"/>
      <c r="K61" s="679"/>
      <c r="L61" s="774">
        <v>7.02</v>
      </c>
      <c r="M61" s="770"/>
      <c r="N61" s="681"/>
      <c r="O61" s="676"/>
      <c r="P61" s="676"/>
      <c r="Q61" s="676"/>
      <c r="R61" s="676"/>
      <c r="S61" s="676"/>
      <c r="T61" s="676"/>
      <c r="U61" s="676"/>
      <c r="V61" s="1026" t="s">
        <v>1090</v>
      </c>
      <c r="W61" s="1026"/>
      <c r="X61" s="1026"/>
      <c r="Y61" s="679"/>
      <c r="Z61" s="680">
        <f>L61</f>
        <v>7.02</v>
      </c>
      <c r="AA61" s="680"/>
      <c r="AB61" s="1111"/>
      <c r="AC61" s="1239"/>
      <c r="AD61" s="736"/>
      <c r="AE61" s="682"/>
      <c r="AF61" s="682"/>
      <c r="AG61" s="682"/>
      <c r="AH61" s="682"/>
      <c r="AI61" s="682"/>
      <c r="AJ61" s="682"/>
      <c r="AK61" s="682"/>
      <c r="AL61" s="682"/>
      <c r="AM61" s="682"/>
      <c r="AN61" s="682"/>
      <c r="AO61" s="683"/>
      <c r="AP61" s="684"/>
      <c r="AQ61" s="681"/>
      <c r="AR61" s="1237"/>
      <c r="AS61" s="1237"/>
      <c r="AT61" s="1237"/>
      <c r="AU61" s="1237"/>
      <c r="AV61" s="1237"/>
      <c r="AW61" s="1237"/>
      <c r="AX61" s="1237"/>
      <c r="AY61" s="1237"/>
      <c r="AZ61" s="1237"/>
      <c r="BA61" s="1237"/>
      <c r="BB61" s="1237"/>
      <c r="BC61" s="1237"/>
      <c r="BD61" s="1237"/>
      <c r="BE61" s="1237"/>
      <c r="BF61" s="1237"/>
      <c r="BG61" s="1237"/>
      <c r="BH61" s="1237"/>
      <c r="BI61" s="1237"/>
      <c r="BJ61" s="1237"/>
      <c r="BK61" s="1237"/>
      <c r="BL61" s="1237"/>
      <c r="BM61" s="1237"/>
      <c r="BN61" s="1237"/>
      <c r="BO61" s="1237"/>
      <c r="BP61" s="1237"/>
      <c r="BQ61" s="1237"/>
      <c r="BR61" s="1237"/>
      <c r="BS61" s="1237"/>
      <c r="BT61" s="1237"/>
      <c r="BU61" s="1237"/>
      <c r="BV61" s="1237"/>
      <c r="BW61" s="1237"/>
      <c r="BX61" s="1237"/>
      <c r="BY61" s="1237"/>
      <c r="BZ61" s="1237"/>
      <c r="CA61" s="1237"/>
      <c r="CB61" s="1237"/>
      <c r="CC61" s="1237"/>
      <c r="CD61" s="1237"/>
      <c r="CE61" s="1237"/>
      <c r="CF61" s="1237"/>
      <c r="CG61" s="1237"/>
      <c r="CH61" s="1237"/>
      <c r="CI61" s="1237"/>
      <c r="CJ61" s="1237"/>
      <c r="CK61" s="1237"/>
      <c r="CL61" s="1237"/>
      <c r="CM61" s="1237"/>
      <c r="CN61" s="1237"/>
      <c r="CO61" s="1237"/>
      <c r="CP61" s="1237"/>
      <c r="CQ61" s="1237"/>
      <c r="CR61" s="1237"/>
      <c r="CS61" s="1237"/>
      <c r="CT61" s="1237"/>
      <c r="CU61" s="1237"/>
      <c r="CV61" s="1237"/>
      <c r="CW61" s="1237"/>
      <c r="CX61" s="1237"/>
      <c r="CY61" s="1237"/>
      <c r="CZ61" s="1237"/>
      <c r="DA61" s="1237"/>
      <c r="DB61" s="1237"/>
      <c r="DC61" s="1237"/>
      <c r="DD61" s="1237"/>
      <c r="DE61" s="1237"/>
      <c r="DF61" s="1237"/>
      <c r="DG61" s="1237"/>
      <c r="DH61" s="1237"/>
      <c r="DI61" s="1237"/>
      <c r="DJ61" s="1237"/>
      <c r="DK61" s="1237"/>
      <c r="DL61" s="1237"/>
      <c r="DM61" s="1237"/>
      <c r="DN61" s="1237"/>
      <c r="DO61" s="1237"/>
      <c r="DP61" s="1237"/>
      <c r="DQ61" s="1237"/>
      <c r="DR61" s="1237"/>
      <c r="DS61" s="1237"/>
      <c r="DT61" s="1237"/>
      <c r="DU61" s="1237"/>
      <c r="DV61" s="1237"/>
      <c r="DW61" s="1237"/>
      <c r="DX61" s="1237"/>
      <c r="DY61" s="1237"/>
      <c r="DZ61" s="1237"/>
      <c r="EA61" s="1237"/>
      <c r="EB61" s="1237"/>
      <c r="EC61" s="1237"/>
      <c r="ED61" s="1237"/>
      <c r="EE61" s="1237"/>
      <c r="EF61" s="1237"/>
      <c r="EG61" s="1237"/>
      <c r="EH61" s="1237"/>
      <c r="EI61" s="1237"/>
      <c r="EJ61" s="1237"/>
      <c r="EK61" s="1237"/>
      <c r="EL61" s="1237"/>
      <c r="EM61" s="1237"/>
      <c r="EN61" s="1237"/>
      <c r="EO61" s="1237"/>
      <c r="EP61" s="1237"/>
      <c r="EQ61" s="1237"/>
      <c r="ER61" s="1237"/>
      <c r="ES61" s="1237"/>
      <c r="ET61" s="1237"/>
      <c r="EU61" s="1237"/>
      <c r="EV61" s="1237"/>
      <c r="EW61" s="1237"/>
      <c r="EX61" s="1237"/>
      <c r="EY61" s="1237"/>
      <c r="EZ61" s="1237"/>
      <c r="FA61" s="1237"/>
      <c r="FB61" s="1237"/>
      <c r="FC61" s="1237"/>
      <c r="FD61" s="1237"/>
      <c r="FE61" s="1237"/>
      <c r="FF61" s="1237"/>
      <c r="FG61" s="1237"/>
      <c r="FH61" s="1237"/>
      <c r="FI61" s="1237"/>
      <c r="FJ61" s="1237"/>
      <c r="FK61" s="1237"/>
      <c r="FL61" s="1237"/>
      <c r="FM61" s="1237"/>
      <c r="FN61" s="1237"/>
      <c r="FO61" s="1237"/>
      <c r="FP61" s="1237"/>
      <c r="FQ61" s="1237"/>
      <c r="FR61" s="1237"/>
      <c r="FS61" s="1237"/>
      <c r="FT61" s="1237"/>
      <c r="FU61" s="1237"/>
      <c r="FV61" s="1237"/>
      <c r="FW61" s="1237"/>
      <c r="FX61" s="1237"/>
      <c r="FY61" s="1237"/>
      <c r="FZ61" s="1237"/>
      <c r="GA61" s="1237"/>
      <c r="GB61" s="1237"/>
      <c r="GC61" s="1237"/>
      <c r="GD61" s="1237"/>
      <c r="GE61" s="1237"/>
      <c r="GF61" s="1237"/>
      <c r="GG61" s="1237"/>
      <c r="GH61" s="1237"/>
      <c r="GI61" s="1237"/>
      <c r="GJ61" s="1237"/>
      <c r="GK61" s="1237"/>
      <c r="GL61" s="1237"/>
      <c r="GM61" s="1237"/>
      <c r="GN61" s="1237"/>
      <c r="GO61" s="1237"/>
      <c r="GP61" s="1237"/>
      <c r="GQ61" s="1237"/>
    </row>
    <row r="62" spans="1:199" ht="15" customHeight="1">
      <c r="A62" s="685" t="s">
        <v>1119</v>
      </c>
      <c r="B62" s="676"/>
      <c r="C62" s="676"/>
      <c r="D62" s="676"/>
      <c r="E62" s="676"/>
      <c r="F62" s="676"/>
      <c r="G62" s="676"/>
      <c r="H62" s="1026" t="s">
        <v>1092</v>
      </c>
      <c r="I62" s="1026"/>
      <c r="J62" s="1026"/>
      <c r="K62" s="679"/>
      <c r="L62" s="774">
        <v>6.82</v>
      </c>
      <c r="M62" s="770"/>
      <c r="N62" s="681"/>
      <c r="O62" s="685" t="s">
        <v>1120</v>
      </c>
      <c r="P62" s="676"/>
      <c r="Q62" s="676"/>
      <c r="R62" s="676"/>
      <c r="S62" s="676"/>
      <c r="T62" s="676"/>
      <c r="U62" s="676"/>
      <c r="V62" s="1026" t="s">
        <v>1092</v>
      </c>
      <c r="W62" s="1026"/>
      <c r="X62" s="1026"/>
      <c r="Y62" s="679"/>
      <c r="Z62" s="680">
        <f>L3</f>
        <v>6.69</v>
      </c>
      <c r="AA62" s="680"/>
      <c r="AB62" s="1111"/>
      <c r="AC62" s="1239"/>
      <c r="AD62" s="737"/>
      <c r="AE62" s="676"/>
      <c r="AF62" s="676"/>
      <c r="AG62" s="676"/>
      <c r="AH62" s="1030" t="s">
        <v>1213</v>
      </c>
      <c r="AI62" s="1030"/>
      <c r="AJ62" s="676"/>
      <c r="AK62" s="676"/>
      <c r="AL62" s="676"/>
      <c r="AM62" s="676"/>
      <c r="AN62" s="676"/>
      <c r="AO62" s="686"/>
      <c r="AP62" s="684"/>
      <c r="AQ62" s="681"/>
      <c r="AR62" s="1237"/>
      <c r="AS62" s="1237"/>
      <c r="AT62" s="1237"/>
      <c r="AU62" s="1237"/>
      <c r="AV62" s="1237"/>
      <c r="AW62" s="1237"/>
      <c r="AX62" s="1237"/>
      <c r="AY62" s="1237"/>
      <c r="AZ62" s="1237"/>
      <c r="BA62" s="1237"/>
      <c r="BB62" s="1237"/>
      <c r="BC62" s="1237"/>
      <c r="BD62" s="1237"/>
      <c r="BE62" s="1237"/>
      <c r="BF62" s="1237"/>
      <c r="BG62" s="1237"/>
      <c r="BH62" s="1237"/>
      <c r="BI62" s="1237"/>
      <c r="BJ62" s="1237"/>
      <c r="BK62" s="1237"/>
      <c r="BL62" s="1237"/>
      <c r="BM62" s="1237"/>
      <c r="BN62" s="1237"/>
      <c r="BO62" s="1237"/>
      <c r="BP62" s="1237"/>
      <c r="BQ62" s="1237"/>
      <c r="BR62" s="1237"/>
      <c r="BS62" s="1237"/>
      <c r="BT62" s="1237"/>
      <c r="BU62" s="1237"/>
      <c r="BV62" s="1237"/>
      <c r="BW62" s="1237"/>
      <c r="BX62" s="1237"/>
      <c r="BY62" s="1237"/>
      <c r="BZ62" s="1237"/>
      <c r="CA62" s="1237"/>
      <c r="CB62" s="1237"/>
      <c r="CC62" s="1237"/>
      <c r="CD62" s="1237"/>
      <c r="CE62" s="1237"/>
      <c r="CF62" s="1237"/>
      <c r="CG62" s="1237"/>
      <c r="CH62" s="1237"/>
      <c r="CI62" s="1237"/>
      <c r="CJ62" s="1237"/>
      <c r="CK62" s="1237"/>
      <c r="CL62" s="1237"/>
      <c r="CM62" s="1237"/>
      <c r="CN62" s="1237"/>
      <c r="CO62" s="1237"/>
      <c r="CP62" s="1237"/>
      <c r="CQ62" s="1237"/>
      <c r="CR62" s="1237"/>
      <c r="CS62" s="1237"/>
      <c r="CT62" s="1237"/>
      <c r="CU62" s="1237"/>
      <c r="CV62" s="1237"/>
      <c r="CW62" s="1237"/>
      <c r="CX62" s="1237"/>
      <c r="CY62" s="1237"/>
      <c r="CZ62" s="1237"/>
      <c r="DA62" s="1237"/>
      <c r="DB62" s="1237"/>
      <c r="DC62" s="1237"/>
      <c r="DD62" s="1237"/>
      <c r="DE62" s="1237"/>
      <c r="DF62" s="1237"/>
      <c r="DG62" s="1237"/>
      <c r="DH62" s="1237"/>
      <c r="DI62" s="1237"/>
      <c r="DJ62" s="1237"/>
      <c r="DK62" s="1237"/>
      <c r="DL62" s="1237"/>
      <c r="DM62" s="1237"/>
      <c r="DN62" s="1237"/>
      <c r="DO62" s="1237"/>
      <c r="DP62" s="1237"/>
      <c r="DQ62" s="1237"/>
      <c r="DR62" s="1237"/>
      <c r="DS62" s="1237"/>
      <c r="DT62" s="1237"/>
      <c r="DU62" s="1237"/>
      <c r="DV62" s="1237"/>
      <c r="DW62" s="1237"/>
      <c r="DX62" s="1237"/>
      <c r="DY62" s="1237"/>
      <c r="DZ62" s="1237"/>
      <c r="EA62" s="1237"/>
      <c r="EB62" s="1237"/>
      <c r="EC62" s="1237"/>
      <c r="ED62" s="1237"/>
      <c r="EE62" s="1237"/>
      <c r="EF62" s="1237"/>
      <c r="EG62" s="1237"/>
      <c r="EH62" s="1237"/>
      <c r="EI62" s="1237"/>
      <c r="EJ62" s="1237"/>
      <c r="EK62" s="1237"/>
      <c r="EL62" s="1237"/>
      <c r="EM62" s="1237"/>
      <c r="EN62" s="1237"/>
      <c r="EO62" s="1237"/>
      <c r="EP62" s="1237"/>
      <c r="EQ62" s="1237"/>
      <c r="ER62" s="1237"/>
      <c r="ES62" s="1237"/>
      <c r="ET62" s="1237"/>
      <c r="EU62" s="1237"/>
      <c r="EV62" s="1237"/>
      <c r="EW62" s="1237"/>
      <c r="EX62" s="1237"/>
      <c r="EY62" s="1237"/>
      <c r="EZ62" s="1237"/>
      <c r="FA62" s="1237"/>
      <c r="FB62" s="1237"/>
      <c r="FC62" s="1237"/>
      <c r="FD62" s="1237"/>
      <c r="FE62" s="1237"/>
      <c r="FF62" s="1237"/>
      <c r="FG62" s="1237"/>
      <c r="FH62" s="1237"/>
      <c r="FI62" s="1237"/>
      <c r="FJ62" s="1237"/>
      <c r="FK62" s="1237"/>
      <c r="FL62" s="1237"/>
      <c r="FM62" s="1237"/>
      <c r="FN62" s="1237"/>
      <c r="FO62" s="1237"/>
      <c r="FP62" s="1237"/>
      <c r="FQ62" s="1237"/>
      <c r="FR62" s="1237"/>
      <c r="FS62" s="1237"/>
      <c r="FT62" s="1237"/>
      <c r="FU62" s="1237"/>
      <c r="FV62" s="1237"/>
      <c r="FW62" s="1237"/>
      <c r="FX62" s="1237"/>
      <c r="FY62" s="1237"/>
      <c r="FZ62" s="1237"/>
      <c r="GA62" s="1237"/>
      <c r="GB62" s="1237"/>
      <c r="GC62" s="1237"/>
      <c r="GD62" s="1237"/>
      <c r="GE62" s="1237"/>
      <c r="GF62" s="1237"/>
      <c r="GG62" s="1237"/>
      <c r="GH62" s="1237"/>
      <c r="GI62" s="1237"/>
      <c r="GJ62" s="1237"/>
      <c r="GK62" s="1237"/>
      <c r="GL62" s="1237"/>
      <c r="GM62" s="1237"/>
      <c r="GN62" s="1237"/>
      <c r="GO62" s="1237"/>
      <c r="GP62" s="1237"/>
      <c r="GQ62" s="1237"/>
    </row>
    <row r="63" spans="1:199" ht="15" customHeight="1">
      <c r="A63" s="676"/>
      <c r="B63" s="676"/>
      <c r="C63" s="676"/>
      <c r="D63" s="676"/>
      <c r="E63" s="676"/>
      <c r="F63" s="676"/>
      <c r="G63" s="676"/>
      <c r="H63" s="1027"/>
      <c r="I63" s="1027"/>
      <c r="J63" s="1027"/>
      <c r="K63" s="679"/>
      <c r="L63" s="771"/>
      <c r="M63" s="771"/>
      <c r="N63" s="681"/>
      <c r="O63" s="676"/>
      <c r="P63" s="676"/>
      <c r="Q63" s="676"/>
      <c r="R63" s="676"/>
      <c r="S63" s="676"/>
      <c r="T63" s="676"/>
      <c r="U63" s="676"/>
      <c r="V63" s="1027"/>
      <c r="W63" s="1027"/>
      <c r="X63" s="1027"/>
      <c r="Y63" s="679"/>
      <c r="Z63" s="688"/>
      <c r="AA63" s="688"/>
      <c r="AB63" s="1111"/>
      <c r="AC63" s="1239"/>
      <c r="AD63" s="738"/>
      <c r="AE63" s="689"/>
      <c r="AF63" s="689"/>
      <c r="AG63" s="689"/>
      <c r="AH63" s="689"/>
      <c r="AI63" s="689"/>
      <c r="AJ63" s="689"/>
      <c r="AK63" s="689"/>
      <c r="AL63" s="689"/>
      <c r="AM63" s="689"/>
      <c r="AN63" s="689"/>
      <c r="AO63" s="690"/>
      <c r="AP63" s="691"/>
      <c r="AQ63" s="681"/>
      <c r="AR63" s="1237"/>
      <c r="AS63" s="1237"/>
      <c r="AT63" s="1237"/>
      <c r="AU63" s="1237"/>
      <c r="AV63" s="1237"/>
      <c r="AW63" s="1237"/>
      <c r="AX63" s="1237"/>
      <c r="AY63" s="1237"/>
      <c r="AZ63" s="1237"/>
      <c r="BA63" s="1237"/>
      <c r="BB63" s="1237"/>
      <c r="BC63" s="1237"/>
      <c r="BD63" s="1237"/>
      <c r="BE63" s="1237"/>
      <c r="BF63" s="1237"/>
      <c r="BG63" s="1237"/>
      <c r="BH63" s="1237"/>
      <c r="BI63" s="1237"/>
      <c r="BJ63" s="1237"/>
      <c r="BK63" s="1237"/>
      <c r="BL63" s="1237"/>
      <c r="BM63" s="1237"/>
      <c r="BN63" s="1237"/>
      <c r="BO63" s="1237"/>
      <c r="BP63" s="1237"/>
      <c r="BQ63" s="1237"/>
      <c r="BR63" s="1237"/>
      <c r="BS63" s="1237"/>
      <c r="BT63" s="1237"/>
      <c r="BU63" s="1237"/>
      <c r="BV63" s="1237"/>
      <c r="BW63" s="1237"/>
      <c r="BX63" s="1237"/>
      <c r="BY63" s="1237"/>
      <c r="BZ63" s="1237"/>
      <c r="CA63" s="1237"/>
      <c r="CB63" s="1237"/>
      <c r="CC63" s="1237"/>
      <c r="CD63" s="1237"/>
      <c r="CE63" s="1237"/>
      <c r="CF63" s="1237"/>
      <c r="CG63" s="1237"/>
      <c r="CH63" s="1237"/>
      <c r="CI63" s="1237"/>
      <c r="CJ63" s="1237"/>
      <c r="CK63" s="1237"/>
      <c r="CL63" s="1237"/>
      <c r="CM63" s="1237"/>
      <c r="CN63" s="1237"/>
      <c r="CO63" s="1237"/>
      <c r="CP63" s="1237"/>
      <c r="CQ63" s="1237"/>
      <c r="CR63" s="1237"/>
      <c r="CS63" s="1237"/>
      <c r="CT63" s="1237"/>
      <c r="CU63" s="1237"/>
      <c r="CV63" s="1237"/>
      <c r="CW63" s="1237"/>
      <c r="CX63" s="1237"/>
      <c r="CY63" s="1237"/>
      <c r="CZ63" s="1237"/>
      <c r="DA63" s="1237"/>
      <c r="DB63" s="1237"/>
      <c r="DC63" s="1237"/>
      <c r="DD63" s="1237"/>
      <c r="DE63" s="1237"/>
      <c r="DF63" s="1237"/>
      <c r="DG63" s="1237"/>
      <c r="DH63" s="1237"/>
      <c r="DI63" s="1237"/>
      <c r="DJ63" s="1237"/>
      <c r="DK63" s="1237"/>
      <c r="DL63" s="1237"/>
      <c r="DM63" s="1237"/>
      <c r="DN63" s="1237"/>
      <c r="DO63" s="1237"/>
      <c r="DP63" s="1237"/>
      <c r="DQ63" s="1237"/>
      <c r="DR63" s="1237"/>
      <c r="DS63" s="1237"/>
      <c r="DT63" s="1237"/>
      <c r="DU63" s="1237"/>
      <c r="DV63" s="1237"/>
      <c r="DW63" s="1237"/>
      <c r="DX63" s="1237"/>
      <c r="DY63" s="1237"/>
      <c r="DZ63" s="1237"/>
      <c r="EA63" s="1237"/>
      <c r="EB63" s="1237"/>
      <c r="EC63" s="1237"/>
      <c r="ED63" s="1237"/>
      <c r="EE63" s="1237"/>
      <c r="EF63" s="1237"/>
      <c r="EG63" s="1237"/>
      <c r="EH63" s="1237"/>
      <c r="EI63" s="1237"/>
      <c r="EJ63" s="1237"/>
      <c r="EK63" s="1237"/>
      <c r="EL63" s="1237"/>
      <c r="EM63" s="1237"/>
      <c r="EN63" s="1237"/>
      <c r="EO63" s="1237"/>
      <c r="EP63" s="1237"/>
      <c r="EQ63" s="1237"/>
      <c r="ER63" s="1237"/>
      <c r="ES63" s="1237"/>
      <c r="ET63" s="1237"/>
      <c r="EU63" s="1237"/>
      <c r="EV63" s="1237"/>
      <c r="EW63" s="1237"/>
      <c r="EX63" s="1237"/>
      <c r="EY63" s="1237"/>
      <c r="EZ63" s="1237"/>
      <c r="FA63" s="1237"/>
      <c r="FB63" s="1237"/>
      <c r="FC63" s="1237"/>
      <c r="FD63" s="1237"/>
      <c r="FE63" s="1237"/>
      <c r="FF63" s="1237"/>
      <c r="FG63" s="1237"/>
      <c r="FH63" s="1237"/>
      <c r="FI63" s="1237"/>
      <c r="FJ63" s="1237"/>
      <c r="FK63" s="1237"/>
      <c r="FL63" s="1237"/>
      <c r="FM63" s="1237"/>
      <c r="FN63" s="1237"/>
      <c r="FO63" s="1237"/>
      <c r="FP63" s="1237"/>
      <c r="FQ63" s="1237"/>
      <c r="FR63" s="1237"/>
      <c r="FS63" s="1237"/>
      <c r="FT63" s="1237"/>
      <c r="FU63" s="1237"/>
      <c r="FV63" s="1237"/>
      <c r="FW63" s="1237"/>
      <c r="FX63" s="1237"/>
      <c r="FY63" s="1237"/>
      <c r="FZ63" s="1237"/>
      <c r="GA63" s="1237"/>
      <c r="GB63" s="1237"/>
      <c r="GC63" s="1237"/>
      <c r="GD63" s="1237"/>
      <c r="GE63" s="1237"/>
      <c r="GF63" s="1237"/>
      <c r="GG63" s="1237"/>
      <c r="GH63" s="1237"/>
      <c r="GI63" s="1237"/>
      <c r="GJ63" s="1237"/>
      <c r="GK63" s="1237"/>
      <c r="GL63" s="1237"/>
      <c r="GM63" s="1237"/>
      <c r="GN63" s="1237"/>
      <c r="GO63" s="1237"/>
      <c r="GP63" s="1237"/>
      <c r="GQ63" s="1237"/>
    </row>
    <row r="64" spans="1:199" ht="12">
      <c r="A64" s="681"/>
      <c r="B64" s="681"/>
      <c r="C64" s="739">
        <v>1</v>
      </c>
      <c r="D64" s="739">
        <v>2</v>
      </c>
      <c r="E64" s="739">
        <v>1</v>
      </c>
      <c r="F64" s="739">
        <v>2</v>
      </c>
      <c r="G64" s="739">
        <v>3</v>
      </c>
      <c r="H64" s="739">
        <v>4</v>
      </c>
      <c r="I64" s="740">
        <v>5</v>
      </c>
      <c r="J64" s="739">
        <v>6</v>
      </c>
      <c r="K64" s="739"/>
      <c r="L64" s="681"/>
      <c r="M64" s="681"/>
      <c r="N64" s="681"/>
      <c r="O64" s="681"/>
      <c r="P64" s="681"/>
      <c r="Q64" s="681"/>
      <c r="R64" s="681"/>
      <c r="S64" s="681"/>
      <c r="T64" s="681"/>
      <c r="U64" s="681"/>
      <c r="V64" s="673"/>
      <c r="W64" s="681"/>
      <c r="X64" s="681"/>
      <c r="Y64" s="681"/>
      <c r="Z64" s="681"/>
      <c r="AA64" s="681"/>
      <c r="AB64" s="1111"/>
      <c r="AC64" s="1239"/>
      <c r="AD64" s="681"/>
      <c r="AE64" s="681"/>
      <c r="AF64" s="681"/>
      <c r="AG64" s="681"/>
      <c r="AH64" s="681"/>
      <c r="AI64" s="681"/>
      <c r="AJ64" s="681"/>
      <c r="AK64" s="673"/>
      <c r="AL64" s="681"/>
      <c r="AM64" s="681"/>
      <c r="AN64" s="681"/>
      <c r="AO64" s="681"/>
      <c r="AP64" s="681"/>
      <c r="AQ64" s="681"/>
      <c r="AR64" s="1237"/>
      <c r="AS64" s="1237"/>
      <c r="AT64" s="1237"/>
      <c r="AU64" s="1237"/>
      <c r="AV64" s="1237"/>
      <c r="AW64" s="1237"/>
      <c r="AX64" s="1237"/>
      <c r="AY64" s="1237"/>
      <c r="AZ64" s="1237"/>
      <c r="BA64" s="1237"/>
      <c r="BB64" s="1237"/>
      <c r="BC64" s="1237"/>
      <c r="BD64" s="1237"/>
      <c r="BE64" s="1237"/>
      <c r="BF64" s="1237"/>
      <c r="BG64" s="1237"/>
      <c r="BH64" s="1237"/>
      <c r="BI64" s="1237"/>
      <c r="BJ64" s="1237"/>
      <c r="BK64" s="1237"/>
      <c r="BL64" s="1237"/>
      <c r="BM64" s="1237"/>
      <c r="BN64" s="1237"/>
      <c r="BO64" s="1237"/>
      <c r="BP64" s="1237"/>
      <c r="BQ64" s="1237"/>
      <c r="BR64" s="1237"/>
      <c r="BS64" s="1237"/>
      <c r="BT64" s="1237"/>
      <c r="BU64" s="1237"/>
      <c r="BV64" s="1237"/>
      <c r="BW64" s="1237"/>
      <c r="BX64" s="1237"/>
      <c r="BY64" s="1237"/>
      <c r="BZ64" s="1237"/>
      <c r="CA64" s="1237"/>
      <c r="CB64" s="1237"/>
      <c r="CC64" s="1237"/>
      <c r="CD64" s="1237"/>
      <c r="CE64" s="1237"/>
      <c r="CF64" s="1237"/>
      <c r="CG64" s="1237"/>
      <c r="CH64" s="1237"/>
      <c r="CI64" s="1237"/>
      <c r="CJ64" s="1237"/>
      <c r="CK64" s="1237"/>
      <c r="CL64" s="1237"/>
      <c r="CM64" s="1237"/>
      <c r="CN64" s="1237"/>
      <c r="CO64" s="1237"/>
      <c r="CP64" s="1237"/>
      <c r="CQ64" s="1237"/>
      <c r="CR64" s="1237"/>
      <c r="CS64" s="1237"/>
      <c r="CT64" s="1237"/>
      <c r="CU64" s="1237"/>
      <c r="CV64" s="1237"/>
      <c r="CW64" s="1237"/>
      <c r="CX64" s="1237"/>
      <c r="CY64" s="1237"/>
      <c r="CZ64" s="1237"/>
      <c r="DA64" s="1237"/>
      <c r="DB64" s="1237"/>
      <c r="DC64" s="1237"/>
      <c r="DD64" s="1237"/>
      <c r="DE64" s="1237"/>
      <c r="DF64" s="1237"/>
      <c r="DG64" s="1237"/>
      <c r="DH64" s="1237"/>
      <c r="DI64" s="1237"/>
      <c r="DJ64" s="1237"/>
      <c r="DK64" s="1237"/>
      <c r="DL64" s="1237"/>
      <c r="DM64" s="1237"/>
      <c r="DN64" s="1237"/>
      <c r="DO64" s="1237"/>
      <c r="DP64" s="1237"/>
      <c r="DQ64" s="1237"/>
      <c r="DR64" s="1237"/>
      <c r="DS64" s="1237"/>
      <c r="DT64" s="1237"/>
      <c r="DU64" s="1237"/>
      <c r="DV64" s="1237"/>
      <c r="DW64" s="1237"/>
      <c r="DX64" s="1237"/>
      <c r="DY64" s="1237"/>
      <c r="DZ64" s="1237"/>
      <c r="EA64" s="1237"/>
      <c r="EB64" s="1237"/>
      <c r="EC64" s="1237"/>
      <c r="ED64" s="1237"/>
      <c r="EE64" s="1237"/>
      <c r="EF64" s="1237"/>
      <c r="EG64" s="1237"/>
      <c r="EH64" s="1237"/>
      <c r="EI64" s="1237"/>
      <c r="EJ64" s="1237"/>
      <c r="EK64" s="1237"/>
      <c r="EL64" s="1237"/>
      <c r="EM64" s="1237"/>
      <c r="EN64" s="1237"/>
      <c r="EO64" s="1237"/>
      <c r="EP64" s="1237"/>
      <c r="EQ64" s="1237"/>
      <c r="ER64" s="1237"/>
      <c r="ES64" s="1237"/>
      <c r="ET64" s="1237"/>
      <c r="EU64" s="1237"/>
      <c r="EV64" s="1237"/>
      <c r="EW64" s="1237"/>
      <c r="EX64" s="1237"/>
      <c r="EY64" s="1237"/>
      <c r="EZ64" s="1237"/>
      <c r="FA64" s="1237"/>
      <c r="FB64" s="1237"/>
      <c r="FC64" s="1237"/>
      <c r="FD64" s="1237"/>
      <c r="FE64" s="1237"/>
      <c r="FF64" s="1237"/>
      <c r="FG64" s="1237"/>
      <c r="FH64" s="1237"/>
      <c r="FI64" s="1237"/>
      <c r="FJ64" s="1237"/>
      <c r="FK64" s="1237"/>
      <c r="FL64" s="1237"/>
      <c r="FM64" s="1237"/>
      <c r="FN64" s="1237"/>
      <c r="FO64" s="1237"/>
      <c r="FP64" s="1237"/>
      <c r="FQ64" s="1237"/>
      <c r="FR64" s="1237"/>
      <c r="FS64" s="1237"/>
      <c r="FT64" s="1237"/>
      <c r="FU64" s="1237"/>
      <c r="FV64" s="1237"/>
      <c r="FW64" s="1237"/>
      <c r="FX64" s="1237"/>
      <c r="FY64" s="1237"/>
      <c r="FZ64" s="1237"/>
      <c r="GA64" s="1237"/>
      <c r="GB64" s="1237"/>
      <c r="GC64" s="1237"/>
      <c r="GD64" s="1237"/>
      <c r="GE64" s="1237"/>
      <c r="GF64" s="1237"/>
      <c r="GG64" s="1237"/>
      <c r="GH64" s="1237"/>
      <c r="GI64" s="1237"/>
      <c r="GJ64" s="1237"/>
      <c r="GK64" s="1237"/>
      <c r="GL64" s="1237"/>
      <c r="GM64" s="1237"/>
      <c r="GN64" s="1237"/>
      <c r="GO64" s="1237"/>
      <c r="GP64" s="1237"/>
      <c r="GQ64" s="1237"/>
    </row>
    <row r="65" spans="1:199">
      <c r="A65" s="807" t="s">
        <v>1121</v>
      </c>
      <c r="B65" s="802"/>
      <c r="C65" s="802"/>
      <c r="D65" s="802"/>
      <c r="E65" s="1121"/>
      <c r="F65" s="1121" t="s">
        <v>1549</v>
      </c>
      <c r="G65" s="1121"/>
      <c r="H65" s="772"/>
      <c r="I65" s="772"/>
      <c r="J65" s="772"/>
      <c r="K65" s="772"/>
      <c r="L65" s="772"/>
      <c r="M65" s="772"/>
      <c r="N65" s="681"/>
      <c r="O65" s="912" t="s">
        <v>1122</v>
      </c>
      <c r="P65" s="912">
        <v>2022</v>
      </c>
      <c r="Q65" s="912">
        <v>2023</v>
      </c>
      <c r="R65" s="912">
        <v>2024</v>
      </c>
      <c r="S65" s="912">
        <v>2025</v>
      </c>
      <c r="T65" s="912">
        <v>2026</v>
      </c>
      <c r="U65" s="912">
        <v>2027</v>
      </c>
      <c r="V65" s="912">
        <v>2028</v>
      </c>
      <c r="W65" s="912">
        <v>2029</v>
      </c>
      <c r="X65" s="912">
        <v>2030</v>
      </c>
      <c r="AB65" s="1111"/>
      <c r="AC65" s="1239"/>
      <c r="AD65" s="710"/>
      <c r="AK65" s="709"/>
      <c r="AP65" s="681"/>
      <c r="AQ65" s="681"/>
      <c r="AR65" s="1237"/>
      <c r="AS65" s="1237"/>
      <c r="AT65" s="1237"/>
      <c r="AU65" s="1237"/>
      <c r="AV65" s="1237"/>
      <c r="AW65" s="1237"/>
      <c r="AX65" s="1237"/>
      <c r="AY65" s="1237"/>
      <c r="AZ65" s="1237"/>
      <c r="BA65" s="1237"/>
      <c r="BB65" s="1237"/>
      <c r="BC65" s="1237"/>
      <c r="BD65" s="1237"/>
      <c r="BE65" s="1237"/>
      <c r="BF65" s="1237"/>
      <c r="BG65" s="1237"/>
      <c r="BH65" s="1237"/>
      <c r="BI65" s="1237"/>
      <c r="BJ65" s="1237"/>
      <c r="BK65" s="1237"/>
      <c r="BL65" s="1237"/>
      <c r="BM65" s="1237"/>
      <c r="BN65" s="1237"/>
      <c r="BO65" s="1237"/>
      <c r="BP65" s="1237"/>
      <c r="BQ65" s="1237"/>
      <c r="BR65" s="1237"/>
      <c r="BS65" s="1237"/>
      <c r="BT65" s="1237"/>
      <c r="BU65" s="1237"/>
      <c r="BV65" s="1237"/>
      <c r="BW65" s="1237"/>
      <c r="BX65" s="1237"/>
      <c r="BY65" s="1237"/>
      <c r="BZ65" s="1237"/>
      <c r="CA65" s="1237"/>
      <c r="CB65" s="1237"/>
      <c r="CC65" s="1237"/>
      <c r="CD65" s="1237"/>
      <c r="CE65" s="1237"/>
      <c r="CF65" s="1237"/>
      <c r="CG65" s="1237"/>
      <c r="CH65" s="1237"/>
      <c r="CI65" s="1237"/>
      <c r="CJ65" s="1237"/>
      <c r="CK65" s="1237"/>
      <c r="CL65" s="1237"/>
      <c r="CM65" s="1237"/>
      <c r="CN65" s="1237"/>
      <c r="CO65" s="1237"/>
      <c r="CP65" s="1237"/>
      <c r="CQ65" s="1237"/>
      <c r="CR65" s="1237"/>
      <c r="CS65" s="1237"/>
      <c r="CT65" s="1237"/>
      <c r="CU65" s="1237"/>
      <c r="CV65" s="1237"/>
      <c r="CW65" s="1237"/>
      <c r="CX65" s="1237"/>
      <c r="CY65" s="1237"/>
      <c r="CZ65" s="1237"/>
      <c r="DA65" s="1237"/>
      <c r="DB65" s="1237"/>
      <c r="DC65" s="1237"/>
      <c r="DD65" s="1237"/>
      <c r="DE65" s="1237"/>
      <c r="DF65" s="1237"/>
      <c r="DG65" s="1237"/>
      <c r="DH65" s="1237"/>
      <c r="DI65" s="1237"/>
      <c r="DJ65" s="1237"/>
      <c r="DK65" s="1237"/>
      <c r="DL65" s="1237"/>
      <c r="DM65" s="1237"/>
      <c r="DN65" s="1237"/>
      <c r="DO65" s="1237"/>
      <c r="DP65" s="1237"/>
      <c r="DQ65" s="1237"/>
      <c r="DR65" s="1237"/>
      <c r="DS65" s="1237"/>
      <c r="DT65" s="1237"/>
      <c r="DU65" s="1237"/>
      <c r="DV65" s="1237"/>
      <c r="DW65" s="1237"/>
      <c r="DX65" s="1237"/>
      <c r="DY65" s="1237"/>
      <c r="DZ65" s="1237"/>
      <c r="EA65" s="1237"/>
      <c r="EB65" s="1237"/>
      <c r="EC65" s="1237"/>
      <c r="ED65" s="1237"/>
      <c r="EE65" s="1237"/>
      <c r="EF65" s="1237"/>
      <c r="EG65" s="1237"/>
      <c r="EH65" s="1237"/>
      <c r="EI65" s="1237"/>
      <c r="EJ65" s="1237"/>
      <c r="EK65" s="1237"/>
      <c r="EL65" s="1237"/>
      <c r="EM65" s="1237"/>
      <c r="EN65" s="1237"/>
      <c r="EO65" s="1237"/>
      <c r="EP65" s="1237"/>
      <c r="EQ65" s="1237"/>
      <c r="ER65" s="1237"/>
      <c r="ES65" s="1237"/>
      <c r="ET65" s="1237"/>
      <c r="EU65" s="1237"/>
      <c r="EV65" s="1237"/>
      <c r="EW65" s="1237"/>
      <c r="EX65" s="1237"/>
      <c r="EY65" s="1237"/>
      <c r="EZ65" s="1237"/>
      <c r="FA65" s="1237"/>
      <c r="FB65" s="1237"/>
      <c r="FC65" s="1237"/>
      <c r="FD65" s="1237"/>
      <c r="FE65" s="1237"/>
      <c r="FF65" s="1237"/>
      <c r="FG65" s="1237"/>
      <c r="FH65" s="1237"/>
      <c r="FI65" s="1237"/>
      <c r="FJ65" s="1237"/>
      <c r="FK65" s="1237"/>
      <c r="FL65" s="1237"/>
      <c r="FM65" s="1237"/>
      <c r="FN65" s="1237"/>
      <c r="FO65" s="1237"/>
      <c r="FP65" s="1237"/>
      <c r="FQ65" s="1237"/>
      <c r="FR65" s="1237"/>
      <c r="FS65" s="1237"/>
      <c r="FT65" s="1237"/>
      <c r="FU65" s="1237"/>
      <c r="FV65" s="1237"/>
      <c r="FW65" s="1237"/>
      <c r="FX65" s="1237"/>
      <c r="FY65" s="1237"/>
      <c r="FZ65" s="1237"/>
      <c r="GA65" s="1237"/>
      <c r="GB65" s="1237"/>
      <c r="GC65" s="1237"/>
      <c r="GD65" s="1237"/>
      <c r="GE65" s="1237"/>
      <c r="GF65" s="1237"/>
      <c r="GG65" s="1237"/>
      <c r="GH65" s="1237"/>
      <c r="GI65" s="1237"/>
      <c r="GJ65" s="1237"/>
      <c r="GK65" s="1237"/>
      <c r="GL65" s="1237"/>
      <c r="GM65" s="1237"/>
      <c r="GN65" s="1237"/>
      <c r="GO65" s="1237"/>
      <c r="GP65" s="1237"/>
      <c r="GQ65" s="1237"/>
    </row>
    <row r="66" spans="1:199" ht="12.75" customHeight="1">
      <c r="A66" s="808" t="s">
        <v>1123</v>
      </c>
      <c r="B66" s="1128">
        <v>2020</v>
      </c>
      <c r="C66" s="1128">
        <v>2021</v>
      </c>
      <c r="D66" s="1128">
        <v>2022</v>
      </c>
      <c r="E66" s="1147">
        <v>2023</v>
      </c>
      <c r="F66" s="1147">
        <v>2024</v>
      </c>
      <c r="G66" s="1146">
        <v>2025</v>
      </c>
      <c r="I66" s="699"/>
      <c r="J66" s="699"/>
      <c r="K66" s="699"/>
      <c r="L66" s="699"/>
      <c r="M66" s="699"/>
      <c r="N66" s="681"/>
      <c r="O66" s="743" t="str">
        <f>'Forecasts '!A14</f>
        <v>Revenues</v>
      </c>
      <c r="P66" s="743">
        <f>'Forecasts '!B14</f>
        <v>1251808</v>
      </c>
      <c r="Q66" s="743">
        <f>'Forecasts '!C14</f>
        <v>1156271</v>
      </c>
      <c r="R66" s="743">
        <f>'Forecasts '!D14</f>
        <v>1035106</v>
      </c>
      <c r="S66" s="743">
        <f>'Forecasts '!E14</f>
        <v>1046253.44</v>
      </c>
      <c r="T66" s="743">
        <f>'Forecasts '!F14</f>
        <v>1083489.8600999999</v>
      </c>
      <c r="U66" s="743">
        <f>'Forecasts '!G14</f>
        <v>1131787.7638109999</v>
      </c>
      <c r="V66" s="743">
        <f>'Forecasts '!H14</f>
        <v>1184145.70522527</v>
      </c>
      <c r="W66" s="743">
        <f>'Forecasts '!I14</f>
        <v>1233098.4724433867</v>
      </c>
      <c r="X66" s="743">
        <f>'Forecasts '!J14</f>
        <v>1270091.4266166883</v>
      </c>
      <c r="AB66" s="1111"/>
      <c r="AC66" s="1239"/>
      <c r="AK66" s="709"/>
      <c r="AP66" s="681"/>
      <c r="AQ66" s="681"/>
      <c r="AR66" s="1237"/>
      <c r="AS66" s="1237"/>
      <c r="AT66" s="1237"/>
      <c r="AU66" s="1237"/>
      <c r="AV66" s="1237"/>
      <c r="AW66" s="1237"/>
      <c r="AX66" s="1237"/>
      <c r="AY66" s="1237"/>
      <c r="AZ66" s="1237"/>
      <c r="BA66" s="1237"/>
      <c r="BB66" s="1237"/>
      <c r="BC66" s="1237"/>
      <c r="BD66" s="1237"/>
      <c r="BE66" s="1237"/>
      <c r="BF66" s="1237"/>
      <c r="BG66" s="1237"/>
      <c r="BH66" s="1237"/>
      <c r="BI66" s="1237"/>
      <c r="BJ66" s="1237"/>
      <c r="BK66" s="1237"/>
      <c r="BL66" s="1237"/>
      <c r="BM66" s="1237"/>
      <c r="BN66" s="1237"/>
      <c r="BO66" s="1237"/>
      <c r="BP66" s="1237"/>
      <c r="BQ66" s="1237"/>
      <c r="BR66" s="1237"/>
      <c r="BS66" s="1237"/>
      <c r="BT66" s="1237"/>
      <c r="BU66" s="1237"/>
      <c r="BV66" s="1237"/>
      <c r="BW66" s="1237"/>
      <c r="BX66" s="1237"/>
      <c r="BY66" s="1237"/>
      <c r="BZ66" s="1237"/>
      <c r="CA66" s="1237"/>
      <c r="CB66" s="1237"/>
      <c r="CC66" s="1237"/>
      <c r="CD66" s="1237"/>
      <c r="CE66" s="1237"/>
      <c r="CF66" s="1237"/>
      <c r="CG66" s="1237"/>
      <c r="CH66" s="1237"/>
      <c r="CI66" s="1237"/>
      <c r="CJ66" s="1237"/>
      <c r="CK66" s="1237"/>
      <c r="CL66" s="1237"/>
      <c r="CM66" s="1237"/>
      <c r="CN66" s="1237"/>
      <c r="CO66" s="1237"/>
      <c r="CP66" s="1237"/>
      <c r="CQ66" s="1237"/>
      <c r="CR66" s="1237"/>
      <c r="CS66" s="1237"/>
      <c r="CT66" s="1237"/>
      <c r="CU66" s="1237"/>
      <c r="CV66" s="1237"/>
      <c r="CW66" s="1237"/>
      <c r="CX66" s="1237"/>
      <c r="CY66" s="1237"/>
      <c r="CZ66" s="1237"/>
      <c r="DA66" s="1237"/>
      <c r="DB66" s="1237"/>
      <c r="DC66" s="1237"/>
      <c r="DD66" s="1237"/>
      <c r="DE66" s="1237"/>
      <c r="DF66" s="1237"/>
      <c r="DG66" s="1237"/>
      <c r="DH66" s="1237"/>
      <c r="DI66" s="1237"/>
      <c r="DJ66" s="1237"/>
      <c r="DK66" s="1237"/>
      <c r="DL66" s="1237"/>
      <c r="DM66" s="1237"/>
      <c r="DN66" s="1237"/>
      <c r="DO66" s="1237"/>
      <c r="DP66" s="1237"/>
      <c r="DQ66" s="1237"/>
      <c r="DR66" s="1237"/>
      <c r="DS66" s="1237"/>
      <c r="DT66" s="1237"/>
      <c r="DU66" s="1237"/>
      <c r="DV66" s="1237"/>
      <c r="DW66" s="1237"/>
      <c r="DX66" s="1237"/>
      <c r="DY66" s="1237"/>
      <c r="DZ66" s="1237"/>
      <c r="EA66" s="1237"/>
      <c r="EB66" s="1237"/>
      <c r="EC66" s="1237"/>
      <c r="ED66" s="1237"/>
      <c r="EE66" s="1237"/>
      <c r="EF66" s="1237"/>
      <c r="EG66" s="1237"/>
      <c r="EH66" s="1237"/>
      <c r="EI66" s="1237"/>
      <c r="EJ66" s="1237"/>
      <c r="EK66" s="1237"/>
      <c r="EL66" s="1237"/>
      <c r="EM66" s="1237"/>
      <c r="EN66" s="1237"/>
      <c r="EO66" s="1237"/>
      <c r="EP66" s="1237"/>
      <c r="EQ66" s="1237"/>
      <c r="ER66" s="1237"/>
      <c r="ES66" s="1237"/>
      <c r="ET66" s="1237"/>
      <c r="EU66" s="1237"/>
      <c r="EV66" s="1237"/>
      <c r="EW66" s="1237"/>
      <c r="EX66" s="1237"/>
      <c r="EY66" s="1237"/>
      <c r="EZ66" s="1237"/>
      <c r="FA66" s="1237"/>
      <c r="FB66" s="1237"/>
      <c r="FC66" s="1237"/>
      <c r="FD66" s="1237"/>
      <c r="FE66" s="1237"/>
      <c r="FF66" s="1237"/>
      <c r="FG66" s="1237"/>
      <c r="FH66" s="1237"/>
      <c r="FI66" s="1237"/>
      <c r="FJ66" s="1237"/>
      <c r="FK66" s="1237"/>
      <c r="FL66" s="1237"/>
      <c r="FM66" s="1237"/>
      <c r="FN66" s="1237"/>
      <c r="FO66" s="1237"/>
      <c r="FP66" s="1237"/>
      <c r="FQ66" s="1237"/>
      <c r="FR66" s="1237"/>
      <c r="FS66" s="1237"/>
      <c r="FT66" s="1237"/>
      <c r="FU66" s="1237"/>
      <c r="FV66" s="1237"/>
      <c r="FW66" s="1237"/>
      <c r="FX66" s="1237"/>
      <c r="FY66" s="1237"/>
      <c r="FZ66" s="1237"/>
      <c r="GA66" s="1237"/>
      <c r="GB66" s="1237"/>
      <c r="GC66" s="1237"/>
      <c r="GD66" s="1237"/>
      <c r="GE66" s="1237"/>
      <c r="GF66" s="1237"/>
      <c r="GG66" s="1237"/>
      <c r="GH66" s="1237"/>
      <c r="GI66" s="1237"/>
      <c r="GJ66" s="1237"/>
      <c r="GK66" s="1237"/>
      <c r="GL66" s="1237"/>
      <c r="GM66" s="1237"/>
      <c r="GN66" s="1237"/>
      <c r="GO66" s="1237"/>
      <c r="GP66" s="1237"/>
      <c r="GQ66" s="1237"/>
    </row>
    <row r="67" spans="1:199" ht="12">
      <c r="A67" s="810" t="s">
        <v>1124</v>
      </c>
      <c r="B67" s="811">
        <v>876.5</v>
      </c>
      <c r="C67" s="811">
        <v>1136</v>
      </c>
      <c r="D67" s="811">
        <v>1252</v>
      </c>
      <c r="E67" s="1148">
        <v>1156.3</v>
      </c>
      <c r="F67" s="811">
        <v>1035.0999999999999</v>
      </c>
      <c r="G67" s="1114">
        <v>977</v>
      </c>
      <c r="H67" s="699"/>
      <c r="I67" s="699"/>
      <c r="J67" s="699"/>
      <c r="K67" s="699"/>
      <c r="L67" s="699"/>
      <c r="M67" s="699"/>
      <c r="N67" s="681"/>
      <c r="O67" s="743" t="str">
        <f>'Forecasts '!A17</f>
        <v>&lt;Cost of goods sold&gt;</v>
      </c>
      <c r="P67" s="743">
        <f>'Forecasts '!B17</f>
        <v>-350693</v>
      </c>
      <c r="Q67" s="743">
        <f>'Forecasts '!C17</f>
        <v>-316839</v>
      </c>
      <c r="R67" s="743">
        <f>'Forecasts '!D17</f>
        <v>-295098</v>
      </c>
      <c r="S67" s="743">
        <f>'Forecasts '!E17</f>
        <v>-298182.23039999994</v>
      </c>
      <c r="T67" s="743">
        <f>'Forecasts '!F17</f>
        <v>-308794.61012849997</v>
      </c>
      <c r="U67" s="743">
        <f>'Forecasts '!G17</f>
        <v>-322559.51268613496</v>
      </c>
      <c r="V67" s="743">
        <f>'Forecasts '!H17</f>
        <v>-337481.52598920191</v>
      </c>
      <c r="W67" s="743">
        <f>'Forecasts '!I17</f>
        <v>-351433.06464636518</v>
      </c>
      <c r="X67" s="743">
        <f>'Forecasts '!J17</f>
        <v>-361976.05658575613</v>
      </c>
      <c r="Y67" s="708"/>
      <c r="Z67" s="708"/>
      <c r="AA67" s="708"/>
      <c r="AB67" s="1111"/>
      <c r="AC67" s="1239"/>
      <c r="AK67" s="709"/>
      <c r="AM67" s="741"/>
      <c r="AN67" s="741"/>
      <c r="AO67" s="741"/>
      <c r="AP67" s="742"/>
      <c r="AQ67" s="681"/>
      <c r="AR67" s="1237"/>
      <c r="AS67" s="1237"/>
      <c r="AT67" s="1237"/>
      <c r="AU67" s="1237"/>
      <c r="AV67" s="1237"/>
      <c r="AW67" s="1237"/>
      <c r="AX67" s="1237"/>
      <c r="AY67" s="1237"/>
      <c r="AZ67" s="1237"/>
      <c r="BA67" s="1237"/>
      <c r="BB67" s="1237"/>
      <c r="BC67" s="1237"/>
      <c r="BD67" s="1237"/>
      <c r="BE67" s="1237"/>
      <c r="BF67" s="1237"/>
      <c r="BG67" s="1237"/>
      <c r="BH67" s="1237"/>
      <c r="BI67" s="1237"/>
      <c r="BJ67" s="1237"/>
      <c r="BK67" s="1237"/>
      <c r="BL67" s="1237"/>
      <c r="BM67" s="1237"/>
      <c r="BN67" s="1237"/>
      <c r="BO67" s="1237"/>
      <c r="BP67" s="1237"/>
      <c r="BQ67" s="1237"/>
      <c r="BR67" s="1237"/>
      <c r="BS67" s="1237"/>
      <c r="BT67" s="1237"/>
      <c r="BU67" s="1237"/>
      <c r="BV67" s="1237"/>
      <c r="BW67" s="1237"/>
      <c r="BX67" s="1237"/>
      <c r="BY67" s="1237"/>
      <c r="BZ67" s="1237"/>
      <c r="CA67" s="1237"/>
      <c r="CB67" s="1237"/>
      <c r="CC67" s="1237"/>
      <c r="CD67" s="1237"/>
      <c r="CE67" s="1237"/>
      <c r="CF67" s="1237"/>
      <c r="CG67" s="1237"/>
      <c r="CH67" s="1237"/>
      <c r="CI67" s="1237"/>
      <c r="CJ67" s="1237"/>
      <c r="CK67" s="1237"/>
      <c r="CL67" s="1237"/>
      <c r="CM67" s="1237"/>
      <c r="CN67" s="1237"/>
      <c r="CO67" s="1237"/>
      <c r="CP67" s="1237"/>
      <c r="CQ67" s="1237"/>
      <c r="CR67" s="1237"/>
      <c r="CS67" s="1237"/>
      <c r="CT67" s="1237"/>
      <c r="CU67" s="1237"/>
      <c r="CV67" s="1237"/>
      <c r="CW67" s="1237"/>
      <c r="CX67" s="1237"/>
      <c r="CY67" s="1237"/>
      <c r="CZ67" s="1237"/>
      <c r="DA67" s="1237"/>
      <c r="DB67" s="1237"/>
      <c r="DC67" s="1237"/>
      <c r="DD67" s="1237"/>
      <c r="DE67" s="1237"/>
      <c r="DF67" s="1237"/>
      <c r="DG67" s="1237"/>
      <c r="DH67" s="1237"/>
      <c r="DI67" s="1237"/>
      <c r="DJ67" s="1237"/>
      <c r="DK67" s="1237"/>
      <c r="DL67" s="1237"/>
      <c r="DM67" s="1237"/>
      <c r="DN67" s="1237"/>
      <c r="DO67" s="1237"/>
      <c r="DP67" s="1237"/>
      <c r="DQ67" s="1237"/>
      <c r="DR67" s="1237"/>
      <c r="DS67" s="1237"/>
      <c r="DT67" s="1237"/>
      <c r="DU67" s="1237"/>
      <c r="DV67" s="1237"/>
      <c r="DW67" s="1237"/>
      <c r="DX67" s="1237"/>
      <c r="DY67" s="1237"/>
      <c r="DZ67" s="1237"/>
      <c r="EA67" s="1237"/>
      <c r="EB67" s="1237"/>
      <c r="EC67" s="1237"/>
      <c r="ED67" s="1237"/>
      <c r="EE67" s="1237"/>
      <c r="EF67" s="1237"/>
      <c r="EG67" s="1237"/>
      <c r="EH67" s="1237"/>
      <c r="EI67" s="1237"/>
      <c r="EJ67" s="1237"/>
      <c r="EK67" s="1237"/>
      <c r="EL67" s="1237"/>
      <c r="EM67" s="1237"/>
      <c r="EN67" s="1237"/>
      <c r="EO67" s="1237"/>
      <c r="EP67" s="1237"/>
      <c r="EQ67" s="1237"/>
      <c r="ER67" s="1237"/>
      <c r="ES67" s="1237"/>
      <c r="ET67" s="1237"/>
      <c r="EU67" s="1237"/>
      <c r="EV67" s="1237"/>
      <c r="EW67" s="1237"/>
      <c r="EX67" s="1237"/>
      <c r="EY67" s="1237"/>
      <c r="EZ67" s="1237"/>
      <c r="FA67" s="1237"/>
      <c r="FB67" s="1237"/>
      <c r="FC67" s="1237"/>
      <c r="FD67" s="1237"/>
      <c r="FE67" s="1237"/>
      <c r="FF67" s="1237"/>
      <c r="FG67" s="1237"/>
      <c r="FH67" s="1237"/>
      <c r="FI67" s="1237"/>
      <c r="FJ67" s="1237"/>
      <c r="FK67" s="1237"/>
      <c r="FL67" s="1237"/>
      <c r="FM67" s="1237"/>
      <c r="FN67" s="1237"/>
      <c r="FO67" s="1237"/>
      <c r="FP67" s="1237"/>
      <c r="FQ67" s="1237"/>
      <c r="FR67" s="1237"/>
      <c r="FS67" s="1237"/>
      <c r="FT67" s="1237"/>
      <c r="FU67" s="1237"/>
      <c r="FV67" s="1237"/>
      <c r="FW67" s="1237"/>
      <c r="FX67" s="1237"/>
      <c r="FY67" s="1237"/>
      <c r="FZ67" s="1237"/>
      <c r="GA67" s="1237"/>
      <c r="GB67" s="1237"/>
      <c r="GC67" s="1237"/>
      <c r="GD67" s="1237"/>
      <c r="GE67" s="1237"/>
      <c r="GF67" s="1237"/>
      <c r="GG67" s="1237"/>
      <c r="GH67" s="1237"/>
      <c r="GI67" s="1237"/>
      <c r="GJ67" s="1237"/>
      <c r="GK67" s="1237"/>
      <c r="GL67" s="1237"/>
      <c r="GM67" s="1237"/>
      <c r="GN67" s="1237"/>
      <c r="GO67" s="1237"/>
      <c r="GP67" s="1237"/>
      <c r="GQ67" s="1237"/>
    </row>
    <row r="68" spans="1:199" ht="12.95" customHeight="1">
      <c r="A68" s="810" t="s">
        <v>1126</v>
      </c>
      <c r="B68" s="811">
        <v>-31.2</v>
      </c>
      <c r="C68" s="811">
        <v>141.19999999999999</v>
      </c>
      <c r="D68" s="811">
        <v>133.4</v>
      </c>
      <c r="E68" s="811">
        <v>72</v>
      </c>
      <c r="F68" s="811">
        <v>-49</v>
      </c>
      <c r="G68" s="1126">
        <v>-50</v>
      </c>
      <c r="H68" s="699"/>
      <c r="I68" s="699"/>
      <c r="J68" s="699"/>
      <c r="K68" s="699"/>
      <c r="L68" s="699"/>
      <c r="M68" s="699"/>
      <c r="N68" s="681"/>
      <c r="O68" s="913" t="str">
        <f>[1]Forecasts!A27</f>
        <v xml:space="preserve">  Gross Profit</v>
      </c>
      <c r="P68" s="913">
        <f>'Forecasts '!B20</f>
        <v>901115</v>
      </c>
      <c r="Q68" s="913">
        <f>'Forecasts '!C20</f>
        <v>839432</v>
      </c>
      <c r="R68" s="913">
        <f>'Forecasts '!D20</f>
        <v>740008</v>
      </c>
      <c r="S68" s="913">
        <f>'Forecasts '!E20</f>
        <v>748071.20959999994</v>
      </c>
      <c r="T68" s="913">
        <f>'Forecasts '!F20</f>
        <v>774695.2499714999</v>
      </c>
      <c r="U68" s="913">
        <f>'Forecasts '!G20</f>
        <v>809228.25112486491</v>
      </c>
      <c r="V68" s="913">
        <f>'Forecasts '!H20</f>
        <v>846664.17923606816</v>
      </c>
      <c r="W68" s="913">
        <f>'Forecasts '!I20</f>
        <v>881665.40779702156</v>
      </c>
      <c r="X68" s="913">
        <f>'Forecasts '!J20</f>
        <v>908115.37003093213</v>
      </c>
      <c r="AB68" s="1111"/>
      <c r="AC68" s="1239"/>
      <c r="AK68" s="709"/>
      <c r="AL68" s="1031"/>
      <c r="AM68" s="1031"/>
      <c r="AN68" s="1031"/>
      <c r="AO68" s="1031"/>
      <c r="AP68" s="742"/>
      <c r="AQ68" s="681"/>
      <c r="AR68" s="1237"/>
      <c r="AS68" s="1237"/>
      <c r="AT68" s="1237"/>
      <c r="AU68" s="1237"/>
      <c r="AV68" s="1237"/>
      <c r="AW68" s="1237"/>
      <c r="AX68" s="1237"/>
      <c r="AY68" s="1237"/>
      <c r="AZ68" s="1237"/>
      <c r="BA68" s="1237"/>
      <c r="BB68" s="1237"/>
      <c r="BC68" s="1237"/>
      <c r="BD68" s="1237"/>
      <c r="BE68" s="1237"/>
      <c r="BF68" s="1237"/>
      <c r="BG68" s="1237"/>
      <c r="BH68" s="1237"/>
      <c r="BI68" s="1237"/>
      <c r="BJ68" s="1237"/>
      <c r="BK68" s="1237"/>
      <c r="BL68" s="1237"/>
      <c r="BM68" s="1237"/>
      <c r="BN68" s="1237"/>
      <c r="BO68" s="1237"/>
      <c r="BP68" s="1237"/>
      <c r="BQ68" s="1237"/>
      <c r="BR68" s="1237"/>
      <c r="BS68" s="1237"/>
      <c r="BT68" s="1237"/>
      <c r="BU68" s="1237"/>
      <c r="BV68" s="1237"/>
      <c r="BW68" s="1237"/>
      <c r="BX68" s="1237"/>
      <c r="BY68" s="1237"/>
      <c r="BZ68" s="1237"/>
      <c r="CA68" s="1237"/>
      <c r="CB68" s="1237"/>
      <c r="CC68" s="1237"/>
      <c r="CD68" s="1237"/>
      <c r="CE68" s="1237"/>
      <c r="CF68" s="1237"/>
      <c r="CG68" s="1237"/>
      <c r="CH68" s="1237"/>
      <c r="CI68" s="1237"/>
      <c r="CJ68" s="1237"/>
      <c r="CK68" s="1237"/>
      <c r="CL68" s="1237"/>
      <c r="CM68" s="1237"/>
      <c r="CN68" s="1237"/>
      <c r="CO68" s="1237"/>
      <c r="CP68" s="1237"/>
      <c r="CQ68" s="1237"/>
      <c r="CR68" s="1237"/>
      <c r="CS68" s="1237"/>
      <c r="CT68" s="1237"/>
      <c r="CU68" s="1237"/>
      <c r="CV68" s="1237"/>
      <c r="CW68" s="1237"/>
      <c r="CX68" s="1237"/>
      <c r="CY68" s="1237"/>
      <c r="CZ68" s="1237"/>
      <c r="DA68" s="1237"/>
      <c r="DB68" s="1237"/>
      <c r="DC68" s="1237"/>
      <c r="DD68" s="1237"/>
      <c r="DE68" s="1237"/>
      <c r="DF68" s="1237"/>
      <c r="DG68" s="1237"/>
      <c r="DH68" s="1237"/>
      <c r="DI68" s="1237"/>
      <c r="DJ68" s="1237"/>
      <c r="DK68" s="1237"/>
      <c r="DL68" s="1237"/>
      <c r="DM68" s="1237"/>
      <c r="DN68" s="1237"/>
      <c r="DO68" s="1237"/>
      <c r="DP68" s="1237"/>
      <c r="DQ68" s="1237"/>
      <c r="DR68" s="1237"/>
      <c r="DS68" s="1237"/>
      <c r="DT68" s="1237"/>
      <c r="DU68" s="1237"/>
      <c r="DV68" s="1237"/>
      <c r="DW68" s="1237"/>
      <c r="DX68" s="1237"/>
      <c r="DY68" s="1237"/>
      <c r="DZ68" s="1237"/>
      <c r="EA68" s="1237"/>
      <c r="EB68" s="1237"/>
      <c r="EC68" s="1237"/>
      <c r="ED68" s="1237"/>
      <c r="EE68" s="1237"/>
      <c r="EF68" s="1237"/>
      <c r="EG68" s="1237"/>
      <c r="EH68" s="1237"/>
      <c r="EI68" s="1237"/>
      <c r="EJ68" s="1237"/>
      <c r="EK68" s="1237"/>
      <c r="EL68" s="1237"/>
      <c r="EM68" s="1237"/>
      <c r="EN68" s="1237"/>
      <c r="EO68" s="1237"/>
      <c r="EP68" s="1237"/>
      <c r="EQ68" s="1237"/>
      <c r="ER68" s="1237"/>
      <c r="ES68" s="1237"/>
      <c r="ET68" s="1237"/>
      <c r="EU68" s="1237"/>
      <c r="EV68" s="1237"/>
      <c r="EW68" s="1237"/>
      <c r="EX68" s="1237"/>
      <c r="EY68" s="1237"/>
      <c r="EZ68" s="1237"/>
      <c r="FA68" s="1237"/>
      <c r="FB68" s="1237"/>
      <c r="FC68" s="1237"/>
      <c r="FD68" s="1237"/>
      <c r="FE68" s="1237"/>
      <c r="FF68" s="1237"/>
      <c r="FG68" s="1237"/>
      <c r="FH68" s="1237"/>
      <c r="FI68" s="1237"/>
      <c r="FJ68" s="1237"/>
      <c r="FK68" s="1237"/>
      <c r="FL68" s="1237"/>
      <c r="FM68" s="1237"/>
      <c r="FN68" s="1237"/>
      <c r="FO68" s="1237"/>
      <c r="FP68" s="1237"/>
      <c r="FQ68" s="1237"/>
      <c r="FR68" s="1237"/>
      <c r="FS68" s="1237"/>
      <c r="FT68" s="1237"/>
      <c r="FU68" s="1237"/>
      <c r="FV68" s="1237"/>
      <c r="FW68" s="1237"/>
      <c r="FX68" s="1237"/>
      <c r="FY68" s="1237"/>
      <c r="FZ68" s="1237"/>
      <c r="GA68" s="1237"/>
      <c r="GB68" s="1237"/>
      <c r="GC68" s="1237"/>
      <c r="GD68" s="1237"/>
      <c r="GE68" s="1237"/>
      <c r="GF68" s="1237"/>
      <c r="GG68" s="1237"/>
      <c r="GH68" s="1237"/>
      <c r="GI68" s="1237"/>
      <c r="GJ68" s="1237"/>
      <c r="GK68" s="1237"/>
      <c r="GL68" s="1237"/>
      <c r="GM68" s="1237"/>
      <c r="GN68" s="1237"/>
      <c r="GO68" s="1237"/>
      <c r="GP68" s="1237"/>
      <c r="GQ68" s="1237"/>
    </row>
    <row r="69" spans="1:199" ht="12">
      <c r="A69" s="810" t="s">
        <v>1127</v>
      </c>
      <c r="B69" s="812">
        <v>-3.5999999999999997E-2</v>
      </c>
      <c r="C69" s="812">
        <v>0.124</v>
      </c>
      <c r="D69" s="812">
        <v>0.107</v>
      </c>
      <c r="E69" s="812">
        <v>6.2E-2</v>
      </c>
      <c r="F69" s="812">
        <v>-4.7E-2</v>
      </c>
      <c r="G69" s="1018">
        <v>-8.4000000000000005E-2</v>
      </c>
      <c r="H69" s="699"/>
      <c r="I69" s="699"/>
      <c r="J69" s="699"/>
      <c r="K69" s="699"/>
      <c r="L69" s="699"/>
      <c r="M69" s="699"/>
      <c r="N69" s="681"/>
      <c r="O69" s="743"/>
      <c r="P69" s="743"/>
      <c r="Q69" s="743"/>
      <c r="R69" s="743"/>
      <c r="S69" s="914"/>
      <c r="T69" s="914"/>
      <c r="U69" s="914"/>
      <c r="V69" s="914"/>
      <c r="W69" s="914"/>
      <c r="X69" s="914"/>
      <c r="Y69" s="744"/>
      <c r="Z69" s="744"/>
      <c r="AA69" s="744"/>
      <c r="AB69" s="1111"/>
      <c r="AC69" s="1239"/>
      <c r="AE69" s="745"/>
      <c r="AK69" s="709"/>
      <c r="AL69" s="1031"/>
      <c r="AM69" s="1031"/>
      <c r="AN69" s="1031"/>
      <c r="AO69" s="1031"/>
      <c r="AP69" s="742"/>
      <c r="AQ69" s="681"/>
      <c r="AR69" s="1237"/>
      <c r="AS69" s="1237"/>
      <c r="AT69" s="1237"/>
      <c r="AU69" s="1237"/>
      <c r="AV69" s="1237"/>
      <c r="AW69" s="1237"/>
      <c r="AX69" s="1237"/>
      <c r="AY69" s="1237"/>
      <c r="AZ69" s="1237"/>
      <c r="BA69" s="1237"/>
      <c r="BB69" s="1237"/>
      <c r="BC69" s="1237"/>
      <c r="BD69" s="1237"/>
      <c r="BE69" s="1237"/>
      <c r="BF69" s="1237"/>
      <c r="BG69" s="1237"/>
      <c r="BH69" s="1237"/>
      <c r="BI69" s="1237"/>
      <c r="BJ69" s="1237"/>
      <c r="BK69" s="1237"/>
      <c r="BL69" s="1237"/>
      <c r="BM69" s="1237"/>
      <c r="BN69" s="1237"/>
      <c r="BO69" s="1237"/>
      <c r="BP69" s="1237"/>
      <c r="BQ69" s="1237"/>
      <c r="BR69" s="1237"/>
      <c r="BS69" s="1237"/>
      <c r="BT69" s="1237"/>
      <c r="BU69" s="1237"/>
      <c r="BV69" s="1237"/>
      <c r="BW69" s="1237"/>
      <c r="BX69" s="1237"/>
      <c r="BY69" s="1237"/>
      <c r="BZ69" s="1237"/>
      <c r="CA69" s="1237"/>
      <c r="CB69" s="1237"/>
      <c r="CC69" s="1237"/>
      <c r="CD69" s="1237"/>
      <c r="CE69" s="1237"/>
      <c r="CF69" s="1237"/>
      <c r="CG69" s="1237"/>
      <c r="CH69" s="1237"/>
      <c r="CI69" s="1237"/>
      <c r="CJ69" s="1237"/>
      <c r="CK69" s="1237"/>
      <c r="CL69" s="1237"/>
      <c r="CM69" s="1237"/>
      <c r="CN69" s="1237"/>
      <c r="CO69" s="1237"/>
      <c r="CP69" s="1237"/>
      <c r="CQ69" s="1237"/>
      <c r="CR69" s="1237"/>
      <c r="CS69" s="1237"/>
      <c r="CT69" s="1237"/>
      <c r="CU69" s="1237"/>
      <c r="CV69" s="1237"/>
      <c r="CW69" s="1237"/>
      <c r="CX69" s="1237"/>
      <c r="CY69" s="1237"/>
      <c r="CZ69" s="1237"/>
      <c r="DA69" s="1237"/>
      <c r="DB69" s="1237"/>
      <c r="DC69" s="1237"/>
      <c r="DD69" s="1237"/>
      <c r="DE69" s="1237"/>
      <c r="DF69" s="1237"/>
      <c r="DG69" s="1237"/>
      <c r="DH69" s="1237"/>
      <c r="DI69" s="1237"/>
      <c r="DJ69" s="1237"/>
      <c r="DK69" s="1237"/>
      <c r="DL69" s="1237"/>
      <c r="DM69" s="1237"/>
      <c r="DN69" s="1237"/>
      <c r="DO69" s="1237"/>
      <c r="DP69" s="1237"/>
      <c r="DQ69" s="1237"/>
      <c r="DR69" s="1237"/>
      <c r="DS69" s="1237"/>
      <c r="DT69" s="1237"/>
      <c r="DU69" s="1237"/>
      <c r="DV69" s="1237"/>
      <c r="DW69" s="1237"/>
      <c r="DX69" s="1237"/>
      <c r="DY69" s="1237"/>
      <c r="DZ69" s="1237"/>
      <c r="EA69" s="1237"/>
      <c r="EB69" s="1237"/>
      <c r="EC69" s="1237"/>
      <c r="ED69" s="1237"/>
      <c r="EE69" s="1237"/>
      <c r="EF69" s="1237"/>
      <c r="EG69" s="1237"/>
      <c r="EH69" s="1237"/>
      <c r="EI69" s="1237"/>
      <c r="EJ69" s="1237"/>
      <c r="EK69" s="1237"/>
      <c r="EL69" s="1237"/>
      <c r="EM69" s="1237"/>
      <c r="EN69" s="1237"/>
      <c r="EO69" s="1237"/>
      <c r="EP69" s="1237"/>
      <c r="EQ69" s="1237"/>
      <c r="ER69" s="1237"/>
      <c r="ES69" s="1237"/>
      <c r="ET69" s="1237"/>
      <c r="EU69" s="1237"/>
      <c r="EV69" s="1237"/>
      <c r="EW69" s="1237"/>
      <c r="EX69" s="1237"/>
      <c r="EY69" s="1237"/>
      <c r="EZ69" s="1237"/>
      <c r="FA69" s="1237"/>
      <c r="FB69" s="1237"/>
      <c r="FC69" s="1237"/>
      <c r="FD69" s="1237"/>
      <c r="FE69" s="1237"/>
      <c r="FF69" s="1237"/>
      <c r="FG69" s="1237"/>
      <c r="FH69" s="1237"/>
      <c r="FI69" s="1237"/>
      <c r="FJ69" s="1237"/>
      <c r="FK69" s="1237"/>
      <c r="FL69" s="1237"/>
      <c r="FM69" s="1237"/>
      <c r="FN69" s="1237"/>
      <c r="FO69" s="1237"/>
      <c r="FP69" s="1237"/>
      <c r="FQ69" s="1237"/>
      <c r="FR69" s="1237"/>
      <c r="FS69" s="1237"/>
      <c r="FT69" s="1237"/>
      <c r="FU69" s="1237"/>
      <c r="FV69" s="1237"/>
      <c r="FW69" s="1237"/>
      <c r="FX69" s="1237"/>
      <c r="FY69" s="1237"/>
      <c r="FZ69" s="1237"/>
      <c r="GA69" s="1237"/>
      <c r="GB69" s="1237"/>
      <c r="GC69" s="1237"/>
      <c r="GD69" s="1237"/>
      <c r="GE69" s="1237"/>
      <c r="GF69" s="1237"/>
      <c r="GG69" s="1237"/>
      <c r="GH69" s="1237"/>
      <c r="GI69" s="1237"/>
      <c r="GJ69" s="1237"/>
      <c r="GK69" s="1237"/>
      <c r="GL69" s="1237"/>
      <c r="GM69" s="1237"/>
      <c r="GN69" s="1237"/>
      <c r="GO69" s="1237"/>
      <c r="GP69" s="1237"/>
      <c r="GQ69" s="1237"/>
    </row>
    <row r="70" spans="1:199" ht="12.95" customHeight="1">
      <c r="A70" s="810" t="s">
        <v>1547</v>
      </c>
      <c r="B70" s="811">
        <v>-71.7</v>
      </c>
      <c r="C70" s="811">
        <v>81</v>
      </c>
      <c r="D70" s="811">
        <v>106.8</v>
      </c>
      <c r="E70" s="811">
        <v>26.2</v>
      </c>
      <c r="F70" s="811">
        <v>-68.099999999999994</v>
      </c>
      <c r="G70" s="1018">
        <v>0</v>
      </c>
      <c r="H70" s="699"/>
      <c r="I70" s="699"/>
      <c r="J70" s="699"/>
      <c r="K70" s="699"/>
      <c r="L70" s="699"/>
      <c r="M70" s="699"/>
      <c r="N70" s="681"/>
      <c r="O70" s="743" t="s">
        <v>1128</v>
      </c>
      <c r="P70" s="743">
        <f>'Forecasts '!B24+'Forecasts '!B27</f>
        <v>-480172</v>
      </c>
      <c r="Q70" s="743">
        <f>'Forecasts '!C24+'Forecasts '!C27</f>
        <v>-412002</v>
      </c>
      <c r="R70" s="743">
        <f>'Forecasts '!D24+'Forecasts '!D27</f>
        <v>-389393</v>
      </c>
      <c r="S70" s="743">
        <f>'Forecasts '!E24+'Forecasts '!E27</f>
        <v>-365142.45056000003</v>
      </c>
      <c r="T70" s="743">
        <f>'Forecasts '!F24+'Forecasts '!F27</f>
        <v>-378137.9611749</v>
      </c>
      <c r="U70" s="743">
        <f>'Forecasts '!G24+'Forecasts '!G27</f>
        <v>-394993.92957003898</v>
      </c>
      <c r="V70" s="743">
        <f>'Forecasts '!H24+'Forecasts '!H27</f>
        <v>-413266.85112361924</v>
      </c>
      <c r="W70" s="743">
        <f>'Forecasts '!I24+'Forecasts '!I27</f>
        <v>-430351.36688274192</v>
      </c>
      <c r="X70" s="743">
        <f>'Forecasts '!J24+'Forecasts '!J27</f>
        <v>-443261.90788922424</v>
      </c>
      <c r="Y70" s="744"/>
      <c r="Z70" s="744"/>
      <c r="AA70" s="744"/>
      <c r="AB70" s="1111"/>
      <c r="AC70" s="1239"/>
      <c r="AE70" s="745"/>
      <c r="AK70" s="709"/>
      <c r="AL70" s="1031"/>
      <c r="AM70" s="1031"/>
      <c r="AN70" s="1031"/>
      <c r="AO70" s="1031"/>
      <c r="AP70" s="742"/>
      <c r="AQ70" s="681"/>
      <c r="AR70" s="1237"/>
      <c r="AS70" s="1237"/>
      <c r="AT70" s="1237"/>
      <c r="AU70" s="1237"/>
      <c r="AV70" s="1237"/>
      <c r="AW70" s="1237"/>
      <c r="AX70" s="1237"/>
      <c r="AY70" s="1237"/>
      <c r="AZ70" s="1237"/>
      <c r="BA70" s="1237"/>
      <c r="BB70" s="1237"/>
      <c r="BC70" s="1237"/>
      <c r="BD70" s="1237"/>
      <c r="BE70" s="1237"/>
      <c r="BF70" s="1237"/>
      <c r="BG70" s="1237"/>
      <c r="BH70" s="1237"/>
      <c r="BI70" s="1237"/>
      <c r="BJ70" s="1237"/>
      <c r="BK70" s="1237"/>
      <c r="BL70" s="1237"/>
      <c r="BM70" s="1237"/>
      <c r="BN70" s="1237"/>
      <c r="BO70" s="1237"/>
      <c r="BP70" s="1237"/>
      <c r="BQ70" s="1237"/>
      <c r="BR70" s="1237"/>
      <c r="BS70" s="1237"/>
      <c r="BT70" s="1237"/>
      <c r="BU70" s="1237"/>
      <c r="BV70" s="1237"/>
      <c r="BW70" s="1237"/>
      <c r="BX70" s="1237"/>
      <c r="BY70" s="1237"/>
      <c r="BZ70" s="1237"/>
      <c r="CA70" s="1237"/>
      <c r="CB70" s="1237"/>
      <c r="CC70" s="1237"/>
      <c r="CD70" s="1237"/>
      <c r="CE70" s="1237"/>
      <c r="CF70" s="1237"/>
      <c r="CG70" s="1237"/>
      <c r="CH70" s="1237"/>
      <c r="CI70" s="1237"/>
      <c r="CJ70" s="1237"/>
      <c r="CK70" s="1237"/>
      <c r="CL70" s="1237"/>
      <c r="CM70" s="1237"/>
      <c r="CN70" s="1237"/>
      <c r="CO70" s="1237"/>
      <c r="CP70" s="1237"/>
      <c r="CQ70" s="1237"/>
      <c r="CR70" s="1237"/>
      <c r="CS70" s="1237"/>
      <c r="CT70" s="1237"/>
      <c r="CU70" s="1237"/>
      <c r="CV70" s="1237"/>
      <c r="CW70" s="1237"/>
      <c r="CX70" s="1237"/>
      <c r="CY70" s="1237"/>
      <c r="CZ70" s="1237"/>
      <c r="DA70" s="1237"/>
      <c r="DB70" s="1237"/>
      <c r="DC70" s="1237"/>
      <c r="DD70" s="1237"/>
      <c r="DE70" s="1237"/>
      <c r="DF70" s="1237"/>
      <c r="DG70" s="1237"/>
      <c r="DH70" s="1237"/>
      <c r="DI70" s="1237"/>
      <c r="DJ70" s="1237"/>
      <c r="DK70" s="1237"/>
      <c r="DL70" s="1237"/>
      <c r="DM70" s="1237"/>
      <c r="DN70" s="1237"/>
      <c r="DO70" s="1237"/>
      <c r="DP70" s="1237"/>
      <c r="DQ70" s="1237"/>
      <c r="DR70" s="1237"/>
      <c r="DS70" s="1237"/>
      <c r="DT70" s="1237"/>
      <c r="DU70" s="1237"/>
      <c r="DV70" s="1237"/>
      <c r="DW70" s="1237"/>
      <c r="DX70" s="1237"/>
      <c r="DY70" s="1237"/>
      <c r="DZ70" s="1237"/>
      <c r="EA70" s="1237"/>
      <c r="EB70" s="1237"/>
      <c r="EC70" s="1237"/>
      <c r="ED70" s="1237"/>
      <c r="EE70" s="1237"/>
      <c r="EF70" s="1237"/>
      <c r="EG70" s="1237"/>
      <c r="EH70" s="1237"/>
      <c r="EI70" s="1237"/>
      <c r="EJ70" s="1237"/>
      <c r="EK70" s="1237"/>
      <c r="EL70" s="1237"/>
      <c r="EM70" s="1237"/>
      <c r="EN70" s="1237"/>
      <c r="EO70" s="1237"/>
      <c r="EP70" s="1237"/>
      <c r="EQ70" s="1237"/>
      <c r="ER70" s="1237"/>
      <c r="ES70" s="1237"/>
      <c r="ET70" s="1237"/>
      <c r="EU70" s="1237"/>
      <c r="EV70" s="1237"/>
      <c r="EW70" s="1237"/>
      <c r="EX70" s="1237"/>
      <c r="EY70" s="1237"/>
      <c r="EZ70" s="1237"/>
      <c r="FA70" s="1237"/>
      <c r="FB70" s="1237"/>
      <c r="FC70" s="1237"/>
      <c r="FD70" s="1237"/>
      <c r="FE70" s="1237"/>
      <c r="FF70" s="1237"/>
      <c r="FG70" s="1237"/>
      <c r="FH70" s="1237"/>
      <c r="FI70" s="1237"/>
      <c r="FJ70" s="1237"/>
      <c r="FK70" s="1237"/>
      <c r="FL70" s="1237"/>
      <c r="FM70" s="1237"/>
      <c r="FN70" s="1237"/>
      <c r="FO70" s="1237"/>
      <c r="FP70" s="1237"/>
      <c r="FQ70" s="1237"/>
      <c r="FR70" s="1237"/>
      <c r="FS70" s="1237"/>
      <c r="FT70" s="1237"/>
      <c r="FU70" s="1237"/>
      <c r="FV70" s="1237"/>
      <c r="FW70" s="1237"/>
      <c r="FX70" s="1237"/>
      <c r="FY70" s="1237"/>
      <c r="FZ70" s="1237"/>
      <c r="GA70" s="1237"/>
      <c r="GB70" s="1237"/>
      <c r="GC70" s="1237"/>
      <c r="GD70" s="1237"/>
      <c r="GE70" s="1237"/>
      <c r="GF70" s="1237"/>
      <c r="GG70" s="1237"/>
      <c r="GH70" s="1237"/>
      <c r="GI70" s="1237"/>
      <c r="GJ70" s="1237"/>
      <c r="GK70" s="1237"/>
      <c r="GL70" s="1237"/>
      <c r="GM70" s="1237"/>
      <c r="GN70" s="1237"/>
      <c r="GO70" s="1237"/>
      <c r="GP70" s="1237"/>
      <c r="GQ70" s="1237"/>
    </row>
    <row r="71" spans="1:199" ht="12">
      <c r="A71" s="813" t="s">
        <v>1129</v>
      </c>
      <c r="B71" s="814">
        <v>50.9</v>
      </c>
      <c r="C71" s="814">
        <v>345.2</v>
      </c>
      <c r="D71" s="814">
        <v>211.1</v>
      </c>
      <c r="E71" s="814">
        <v>45.5</v>
      </c>
      <c r="F71" s="814">
        <v>99.6</v>
      </c>
      <c r="G71" s="1122">
        <v>-55</v>
      </c>
      <c r="H71" s="699"/>
      <c r="I71" s="699"/>
      <c r="J71" s="699"/>
      <c r="K71" s="699"/>
      <c r="L71" s="699"/>
      <c r="M71" s="699"/>
      <c r="N71" s="681"/>
      <c r="O71" s="915" t="s">
        <v>1130</v>
      </c>
      <c r="P71" s="915">
        <f>'Forecasts '!B30</f>
        <v>-170962</v>
      </c>
      <c r="Q71" s="915">
        <f>'Forecasts '!C30</f>
        <v>-179789</v>
      </c>
      <c r="R71" s="915">
        <f>'Forecasts '!D30</f>
        <v>-264219</v>
      </c>
      <c r="S71" s="915">
        <f>'Forecasts '!E30</f>
        <v>-271999.80724999995</v>
      </c>
      <c r="T71" s="915">
        <f>'Forecasts '!F30</f>
        <v>-271347.09086249996</v>
      </c>
      <c r="U71" s="915">
        <f>'Forecasts '!G30</f>
        <v>-270805.078060625</v>
      </c>
      <c r="V71" s="915">
        <f>'Forecasts '!H30</f>
        <v>-270372.03345118125</v>
      </c>
      <c r="W71" s="915">
        <f>'Forecasts '!I30</f>
        <v>-270066.02685190225</v>
      </c>
      <c r="X71" s="915">
        <f>'Forecasts '!J30</f>
        <v>-278168.0076574593</v>
      </c>
      <c r="Y71" s="744"/>
      <c r="Z71" s="744"/>
      <c r="AA71" s="744"/>
      <c r="AB71" s="1111"/>
      <c r="AC71" s="1239"/>
      <c r="AE71" s="745"/>
      <c r="AK71" s="709"/>
      <c r="AL71" s="1031"/>
      <c r="AM71" s="1031"/>
      <c r="AN71" s="1031"/>
      <c r="AO71" s="1031"/>
      <c r="AP71" s="742"/>
      <c r="AQ71" s="681"/>
      <c r="AR71" s="1237"/>
      <c r="AS71" s="1237"/>
      <c r="AT71" s="1237"/>
      <c r="AU71" s="1237"/>
      <c r="AV71" s="1237"/>
      <c r="AW71" s="1237"/>
      <c r="AX71" s="1237"/>
      <c r="AY71" s="1237"/>
      <c r="AZ71" s="1237"/>
      <c r="BA71" s="1237"/>
      <c r="BB71" s="1237"/>
      <c r="BC71" s="1237"/>
      <c r="BD71" s="1237"/>
      <c r="BE71" s="1237"/>
      <c r="BF71" s="1237"/>
      <c r="BG71" s="1237"/>
      <c r="BH71" s="1237"/>
      <c r="BI71" s="1237"/>
      <c r="BJ71" s="1237"/>
      <c r="BK71" s="1237"/>
      <c r="BL71" s="1237"/>
      <c r="BM71" s="1237"/>
      <c r="BN71" s="1237"/>
      <c r="BO71" s="1237"/>
      <c r="BP71" s="1237"/>
      <c r="BQ71" s="1237"/>
      <c r="BR71" s="1237"/>
      <c r="BS71" s="1237"/>
      <c r="BT71" s="1237"/>
      <c r="BU71" s="1237"/>
      <c r="BV71" s="1237"/>
      <c r="BW71" s="1237"/>
      <c r="BX71" s="1237"/>
      <c r="BY71" s="1237"/>
      <c r="BZ71" s="1237"/>
      <c r="CA71" s="1237"/>
      <c r="CB71" s="1237"/>
      <c r="CC71" s="1237"/>
      <c r="CD71" s="1237"/>
      <c r="CE71" s="1237"/>
      <c r="CF71" s="1237"/>
      <c r="CG71" s="1237"/>
      <c r="CH71" s="1237"/>
      <c r="CI71" s="1237"/>
      <c r="CJ71" s="1237"/>
      <c r="CK71" s="1237"/>
      <c r="CL71" s="1237"/>
      <c r="CM71" s="1237"/>
      <c r="CN71" s="1237"/>
      <c r="CO71" s="1237"/>
      <c r="CP71" s="1237"/>
      <c r="CQ71" s="1237"/>
      <c r="CR71" s="1237"/>
      <c r="CS71" s="1237"/>
      <c r="CT71" s="1237"/>
      <c r="CU71" s="1237"/>
      <c r="CV71" s="1237"/>
      <c r="CW71" s="1237"/>
      <c r="CX71" s="1237"/>
      <c r="CY71" s="1237"/>
      <c r="CZ71" s="1237"/>
      <c r="DA71" s="1237"/>
      <c r="DB71" s="1237"/>
      <c r="DC71" s="1237"/>
      <c r="DD71" s="1237"/>
      <c r="DE71" s="1237"/>
      <c r="DF71" s="1237"/>
      <c r="DG71" s="1237"/>
      <c r="DH71" s="1237"/>
      <c r="DI71" s="1237"/>
      <c r="DJ71" s="1237"/>
      <c r="DK71" s="1237"/>
      <c r="DL71" s="1237"/>
      <c r="DM71" s="1237"/>
      <c r="DN71" s="1237"/>
      <c r="DO71" s="1237"/>
      <c r="DP71" s="1237"/>
      <c r="DQ71" s="1237"/>
      <c r="DR71" s="1237"/>
      <c r="DS71" s="1237"/>
      <c r="DT71" s="1237"/>
      <c r="DU71" s="1237"/>
      <c r="DV71" s="1237"/>
      <c r="DW71" s="1237"/>
      <c r="DX71" s="1237"/>
      <c r="DY71" s="1237"/>
      <c r="DZ71" s="1237"/>
      <c r="EA71" s="1237"/>
      <c r="EB71" s="1237"/>
      <c r="EC71" s="1237"/>
      <c r="ED71" s="1237"/>
      <c r="EE71" s="1237"/>
      <c r="EF71" s="1237"/>
      <c r="EG71" s="1237"/>
      <c r="EH71" s="1237"/>
      <c r="EI71" s="1237"/>
      <c r="EJ71" s="1237"/>
      <c r="EK71" s="1237"/>
      <c r="EL71" s="1237"/>
      <c r="EM71" s="1237"/>
      <c r="EN71" s="1237"/>
      <c r="EO71" s="1237"/>
      <c r="EP71" s="1237"/>
      <c r="EQ71" s="1237"/>
      <c r="ER71" s="1237"/>
      <c r="ES71" s="1237"/>
      <c r="ET71" s="1237"/>
      <c r="EU71" s="1237"/>
      <c r="EV71" s="1237"/>
      <c r="EW71" s="1237"/>
      <c r="EX71" s="1237"/>
      <c r="EY71" s="1237"/>
      <c r="EZ71" s="1237"/>
      <c r="FA71" s="1237"/>
      <c r="FB71" s="1237"/>
      <c r="FC71" s="1237"/>
      <c r="FD71" s="1237"/>
      <c r="FE71" s="1237"/>
      <c r="FF71" s="1237"/>
      <c r="FG71" s="1237"/>
      <c r="FH71" s="1237"/>
      <c r="FI71" s="1237"/>
      <c r="FJ71" s="1237"/>
      <c r="FK71" s="1237"/>
      <c r="FL71" s="1237"/>
      <c r="FM71" s="1237"/>
      <c r="FN71" s="1237"/>
      <c r="FO71" s="1237"/>
      <c r="FP71" s="1237"/>
      <c r="FQ71" s="1237"/>
      <c r="FR71" s="1237"/>
      <c r="FS71" s="1237"/>
      <c r="FT71" s="1237"/>
      <c r="FU71" s="1237"/>
      <c r="FV71" s="1237"/>
      <c r="FW71" s="1237"/>
      <c r="FX71" s="1237"/>
      <c r="FY71" s="1237"/>
      <c r="FZ71" s="1237"/>
      <c r="GA71" s="1237"/>
      <c r="GB71" s="1237"/>
      <c r="GC71" s="1237"/>
      <c r="GD71" s="1237"/>
      <c r="GE71" s="1237"/>
      <c r="GF71" s="1237"/>
      <c r="GG71" s="1237"/>
      <c r="GH71" s="1237"/>
      <c r="GI71" s="1237"/>
      <c r="GJ71" s="1237"/>
      <c r="GK71" s="1237"/>
      <c r="GL71" s="1237"/>
      <c r="GM71" s="1237"/>
      <c r="GN71" s="1237"/>
      <c r="GO71" s="1237"/>
      <c r="GP71" s="1237"/>
      <c r="GQ71" s="1237"/>
    </row>
    <row r="72" spans="1:199" ht="12">
      <c r="G72" s="746"/>
      <c r="H72" s="699"/>
      <c r="I72" s="699"/>
      <c r="J72" s="699"/>
      <c r="K72" s="699"/>
      <c r="L72" s="699"/>
      <c r="M72" s="699"/>
      <c r="N72" s="681"/>
      <c r="O72" s="915" t="str">
        <f>[1]Forecasts!A43</f>
        <v xml:space="preserve">Structure costs </v>
      </c>
      <c r="P72" s="915">
        <f>'Forecasts '!B33+'Forecasts '!B36+'Forecasts '!B39+'Forecasts '!B45</f>
        <v>-122043</v>
      </c>
      <c r="Q72" s="915">
        <f>'Forecasts '!C33+'Forecasts '!C36+'Forecasts '!C39+'Forecasts '!C45</f>
        <v>-175619</v>
      </c>
      <c r="R72" s="915">
        <f>'Forecasts '!D33+'Forecasts '!D36+'Forecasts '!D39+'Forecasts '!D45</f>
        <v>-135397</v>
      </c>
      <c r="S72" s="915">
        <f>'Forecasts '!E33+'Forecasts '!E36+'Forecasts '!E39+'Forecasts '!E45</f>
        <v>-133920.44031999999</v>
      </c>
      <c r="T72" s="915">
        <f>'Forecasts '!F33+'Forecasts '!F36+'Forecasts '!F39+'Forecasts '!F45</f>
        <v>-138686.7020928</v>
      </c>
      <c r="U72" s="915">
        <f>'Forecasts '!G33+'Forecasts '!G36+'Forecasts '!G39+'Forecasts '!G45</f>
        <v>-144868.83376780798</v>
      </c>
      <c r="V72" s="915">
        <f>'Forecasts '!H33+'Forecasts '!H36+'Forecasts '!H39+'Forecasts '!H45</f>
        <v>-151570.65026883455</v>
      </c>
      <c r="W72" s="915">
        <f>'Forecasts '!I33+'Forecasts '!I36+'Forecasts '!I39+'Forecasts '!I45</f>
        <v>-157836.60447275348</v>
      </c>
      <c r="X72" s="915">
        <f>'Forecasts '!J33+'Forecasts '!J36+'Forecasts '!J39+'Forecasts '!J45</f>
        <v>-162571.7026069361</v>
      </c>
      <c r="Y72" s="744"/>
      <c r="Z72" s="744"/>
      <c r="AA72" s="744"/>
      <c r="AB72" s="1111"/>
      <c r="AC72" s="1239"/>
      <c r="AE72" s="745"/>
      <c r="AK72" s="709"/>
      <c r="AL72" s="1031"/>
      <c r="AM72" s="1031"/>
      <c r="AN72" s="1031"/>
      <c r="AO72" s="1031"/>
      <c r="AP72" s="742"/>
      <c r="AQ72" s="681"/>
      <c r="AR72" s="1237"/>
      <c r="AS72" s="1237"/>
      <c r="AT72" s="1237"/>
      <c r="AU72" s="1237"/>
      <c r="AV72" s="1237"/>
      <c r="AW72" s="1237"/>
      <c r="AX72" s="1237"/>
      <c r="AY72" s="1237"/>
      <c r="AZ72" s="1237"/>
      <c r="BA72" s="1237"/>
      <c r="BB72" s="1237"/>
      <c r="BC72" s="1237"/>
      <c r="BD72" s="1237"/>
      <c r="BE72" s="1237"/>
      <c r="BF72" s="1237"/>
      <c r="BG72" s="1237"/>
      <c r="BH72" s="1237"/>
      <c r="BI72" s="1237"/>
      <c r="BJ72" s="1237"/>
      <c r="BK72" s="1237"/>
      <c r="BL72" s="1237"/>
      <c r="BM72" s="1237"/>
      <c r="BN72" s="1237"/>
      <c r="BO72" s="1237"/>
      <c r="BP72" s="1237"/>
      <c r="BQ72" s="1237"/>
      <c r="BR72" s="1237"/>
      <c r="BS72" s="1237"/>
      <c r="BT72" s="1237"/>
      <c r="BU72" s="1237"/>
      <c r="BV72" s="1237"/>
      <c r="BW72" s="1237"/>
      <c r="BX72" s="1237"/>
      <c r="BY72" s="1237"/>
      <c r="BZ72" s="1237"/>
      <c r="CA72" s="1237"/>
      <c r="CB72" s="1237"/>
      <c r="CC72" s="1237"/>
      <c r="CD72" s="1237"/>
      <c r="CE72" s="1237"/>
      <c r="CF72" s="1237"/>
      <c r="CG72" s="1237"/>
      <c r="CH72" s="1237"/>
      <c r="CI72" s="1237"/>
      <c r="CJ72" s="1237"/>
      <c r="CK72" s="1237"/>
      <c r="CL72" s="1237"/>
      <c r="CM72" s="1237"/>
      <c r="CN72" s="1237"/>
      <c r="CO72" s="1237"/>
      <c r="CP72" s="1237"/>
      <c r="CQ72" s="1237"/>
      <c r="CR72" s="1237"/>
      <c r="CS72" s="1237"/>
      <c r="CT72" s="1237"/>
      <c r="CU72" s="1237"/>
      <c r="CV72" s="1237"/>
      <c r="CW72" s="1237"/>
      <c r="CX72" s="1237"/>
      <c r="CY72" s="1237"/>
      <c r="CZ72" s="1237"/>
      <c r="DA72" s="1237"/>
      <c r="DB72" s="1237"/>
      <c r="DC72" s="1237"/>
      <c r="DD72" s="1237"/>
      <c r="DE72" s="1237"/>
      <c r="DF72" s="1237"/>
      <c r="DG72" s="1237"/>
      <c r="DH72" s="1237"/>
      <c r="DI72" s="1237"/>
      <c r="DJ72" s="1237"/>
      <c r="DK72" s="1237"/>
      <c r="DL72" s="1237"/>
      <c r="DM72" s="1237"/>
      <c r="DN72" s="1237"/>
      <c r="DO72" s="1237"/>
      <c r="DP72" s="1237"/>
      <c r="DQ72" s="1237"/>
      <c r="DR72" s="1237"/>
      <c r="DS72" s="1237"/>
      <c r="DT72" s="1237"/>
      <c r="DU72" s="1237"/>
      <c r="DV72" s="1237"/>
      <c r="DW72" s="1237"/>
      <c r="DX72" s="1237"/>
      <c r="DY72" s="1237"/>
      <c r="DZ72" s="1237"/>
      <c r="EA72" s="1237"/>
      <c r="EB72" s="1237"/>
      <c r="EC72" s="1237"/>
      <c r="ED72" s="1237"/>
      <c r="EE72" s="1237"/>
      <c r="EF72" s="1237"/>
      <c r="EG72" s="1237"/>
      <c r="EH72" s="1237"/>
      <c r="EI72" s="1237"/>
      <c r="EJ72" s="1237"/>
      <c r="EK72" s="1237"/>
      <c r="EL72" s="1237"/>
      <c r="EM72" s="1237"/>
      <c r="EN72" s="1237"/>
      <c r="EO72" s="1237"/>
      <c r="EP72" s="1237"/>
      <c r="EQ72" s="1237"/>
      <c r="ER72" s="1237"/>
      <c r="ES72" s="1237"/>
      <c r="ET72" s="1237"/>
      <c r="EU72" s="1237"/>
      <c r="EV72" s="1237"/>
      <c r="EW72" s="1237"/>
      <c r="EX72" s="1237"/>
      <c r="EY72" s="1237"/>
      <c r="EZ72" s="1237"/>
      <c r="FA72" s="1237"/>
      <c r="FB72" s="1237"/>
      <c r="FC72" s="1237"/>
      <c r="FD72" s="1237"/>
      <c r="FE72" s="1237"/>
      <c r="FF72" s="1237"/>
      <c r="FG72" s="1237"/>
      <c r="FH72" s="1237"/>
      <c r="FI72" s="1237"/>
      <c r="FJ72" s="1237"/>
      <c r="FK72" s="1237"/>
      <c r="FL72" s="1237"/>
      <c r="FM72" s="1237"/>
      <c r="FN72" s="1237"/>
      <c r="FO72" s="1237"/>
      <c r="FP72" s="1237"/>
      <c r="FQ72" s="1237"/>
      <c r="FR72" s="1237"/>
      <c r="FS72" s="1237"/>
      <c r="FT72" s="1237"/>
      <c r="FU72" s="1237"/>
      <c r="FV72" s="1237"/>
      <c r="FW72" s="1237"/>
      <c r="FX72" s="1237"/>
      <c r="FY72" s="1237"/>
      <c r="FZ72" s="1237"/>
      <c r="GA72" s="1237"/>
      <c r="GB72" s="1237"/>
      <c r="GC72" s="1237"/>
      <c r="GD72" s="1237"/>
      <c r="GE72" s="1237"/>
      <c r="GF72" s="1237"/>
      <c r="GG72" s="1237"/>
      <c r="GH72" s="1237"/>
      <c r="GI72" s="1237"/>
      <c r="GJ72" s="1237"/>
      <c r="GK72" s="1237"/>
      <c r="GL72" s="1237"/>
      <c r="GM72" s="1237"/>
      <c r="GN72" s="1237"/>
      <c r="GO72" s="1237"/>
      <c r="GP72" s="1237"/>
      <c r="GQ72" s="1237"/>
    </row>
    <row r="73" spans="1:199" ht="12.95" customHeight="1">
      <c r="A73" s="1113" t="s">
        <v>1548</v>
      </c>
      <c r="B73" s="1022"/>
      <c r="C73" s="1022"/>
      <c r="D73" s="1022"/>
      <c r="E73" s="1022"/>
      <c r="F73" s="1022"/>
      <c r="G73" s="1022"/>
      <c r="H73" s="699"/>
      <c r="I73" s="699"/>
      <c r="J73" s="699"/>
      <c r="K73" s="699"/>
      <c r="L73" s="699"/>
      <c r="M73" s="699"/>
      <c r="N73" s="681"/>
      <c r="O73" s="916" t="str">
        <f>[1]Forecasts!A55</f>
        <v xml:space="preserve">  Operating Profit</v>
      </c>
      <c r="P73" s="916">
        <f>'Forecasts '!B48</f>
        <v>127938</v>
      </c>
      <c r="Q73" s="916">
        <f>'Forecasts '!C48</f>
        <v>72022</v>
      </c>
      <c r="R73" s="916">
        <f>'Forecasts '!D48</f>
        <v>-49001</v>
      </c>
      <c r="S73" s="916">
        <f>'Forecasts '!E48</f>
        <v>-22991.488529999981</v>
      </c>
      <c r="T73" s="916">
        <f>'Forecasts '!F48</f>
        <v>-13476.504158700049</v>
      </c>
      <c r="U73" s="916">
        <f>'Forecasts '!G48</f>
        <v>-1439.5902736070529</v>
      </c>
      <c r="V73" s="916">
        <f>'Forecasts '!H48</f>
        <v>11454.644392433096</v>
      </c>
      <c r="W73" s="916">
        <f>'Forecasts '!I48</f>
        <v>23411.409589623774</v>
      </c>
      <c r="X73" s="916">
        <f>'Forecasts '!J48</f>
        <v>24113.751877312501</v>
      </c>
      <c r="Y73" s="747"/>
      <c r="Z73" s="747"/>
      <c r="AA73" s="747"/>
      <c r="AB73" s="1111"/>
      <c r="AC73" s="1239"/>
      <c r="AE73" s="745"/>
      <c r="AK73" s="709"/>
      <c r="AL73" s="1031"/>
      <c r="AM73" s="1031"/>
      <c r="AN73" s="1031"/>
      <c r="AO73" s="1031"/>
      <c r="AP73" s="742"/>
      <c r="AQ73" s="681"/>
      <c r="AR73" s="1237"/>
      <c r="AS73" s="1237"/>
      <c r="AT73" s="1237"/>
      <c r="AU73" s="1237"/>
      <c r="AV73" s="1237"/>
      <c r="AW73" s="1237"/>
      <c r="AX73" s="1237"/>
      <c r="AY73" s="1237"/>
      <c r="AZ73" s="1237"/>
      <c r="BA73" s="1237"/>
      <c r="BB73" s="1237"/>
      <c r="BC73" s="1237"/>
      <c r="BD73" s="1237"/>
      <c r="BE73" s="1237"/>
      <c r="BF73" s="1237"/>
      <c r="BG73" s="1237"/>
      <c r="BH73" s="1237"/>
      <c r="BI73" s="1237"/>
      <c r="BJ73" s="1237"/>
      <c r="BK73" s="1237"/>
      <c r="BL73" s="1237"/>
      <c r="BM73" s="1237"/>
      <c r="BN73" s="1237"/>
      <c r="BO73" s="1237"/>
      <c r="BP73" s="1237"/>
      <c r="BQ73" s="1237"/>
      <c r="BR73" s="1237"/>
      <c r="BS73" s="1237"/>
      <c r="BT73" s="1237"/>
      <c r="BU73" s="1237"/>
      <c r="BV73" s="1237"/>
      <c r="BW73" s="1237"/>
      <c r="BX73" s="1237"/>
      <c r="BY73" s="1237"/>
      <c r="BZ73" s="1237"/>
      <c r="CA73" s="1237"/>
      <c r="CB73" s="1237"/>
      <c r="CC73" s="1237"/>
      <c r="CD73" s="1237"/>
      <c r="CE73" s="1237"/>
      <c r="CF73" s="1237"/>
      <c r="CG73" s="1237"/>
      <c r="CH73" s="1237"/>
      <c r="CI73" s="1237"/>
      <c r="CJ73" s="1237"/>
      <c r="CK73" s="1237"/>
      <c r="CL73" s="1237"/>
      <c r="CM73" s="1237"/>
      <c r="CN73" s="1237"/>
      <c r="CO73" s="1237"/>
      <c r="CP73" s="1237"/>
      <c r="CQ73" s="1237"/>
      <c r="CR73" s="1237"/>
      <c r="CS73" s="1237"/>
      <c r="CT73" s="1237"/>
      <c r="CU73" s="1237"/>
      <c r="CV73" s="1237"/>
      <c r="CW73" s="1237"/>
      <c r="CX73" s="1237"/>
      <c r="CY73" s="1237"/>
      <c r="CZ73" s="1237"/>
      <c r="DA73" s="1237"/>
      <c r="DB73" s="1237"/>
      <c r="DC73" s="1237"/>
      <c r="DD73" s="1237"/>
      <c r="DE73" s="1237"/>
      <c r="DF73" s="1237"/>
      <c r="DG73" s="1237"/>
      <c r="DH73" s="1237"/>
      <c r="DI73" s="1237"/>
      <c r="DJ73" s="1237"/>
      <c r="DK73" s="1237"/>
      <c r="DL73" s="1237"/>
      <c r="DM73" s="1237"/>
      <c r="DN73" s="1237"/>
      <c r="DO73" s="1237"/>
      <c r="DP73" s="1237"/>
      <c r="DQ73" s="1237"/>
      <c r="DR73" s="1237"/>
      <c r="DS73" s="1237"/>
      <c r="DT73" s="1237"/>
      <c r="DU73" s="1237"/>
      <c r="DV73" s="1237"/>
      <c r="DW73" s="1237"/>
      <c r="DX73" s="1237"/>
      <c r="DY73" s="1237"/>
      <c r="DZ73" s="1237"/>
      <c r="EA73" s="1237"/>
      <c r="EB73" s="1237"/>
      <c r="EC73" s="1237"/>
      <c r="ED73" s="1237"/>
      <c r="EE73" s="1237"/>
      <c r="EF73" s="1237"/>
      <c r="EG73" s="1237"/>
      <c r="EH73" s="1237"/>
      <c r="EI73" s="1237"/>
      <c r="EJ73" s="1237"/>
      <c r="EK73" s="1237"/>
      <c r="EL73" s="1237"/>
      <c r="EM73" s="1237"/>
      <c r="EN73" s="1237"/>
      <c r="EO73" s="1237"/>
      <c r="EP73" s="1237"/>
      <c r="EQ73" s="1237"/>
      <c r="ER73" s="1237"/>
      <c r="ES73" s="1237"/>
      <c r="ET73" s="1237"/>
      <c r="EU73" s="1237"/>
      <c r="EV73" s="1237"/>
      <c r="EW73" s="1237"/>
      <c r="EX73" s="1237"/>
      <c r="EY73" s="1237"/>
      <c r="EZ73" s="1237"/>
      <c r="FA73" s="1237"/>
      <c r="FB73" s="1237"/>
      <c r="FC73" s="1237"/>
      <c r="FD73" s="1237"/>
      <c r="FE73" s="1237"/>
      <c r="FF73" s="1237"/>
      <c r="FG73" s="1237"/>
      <c r="FH73" s="1237"/>
      <c r="FI73" s="1237"/>
      <c r="FJ73" s="1237"/>
      <c r="FK73" s="1237"/>
      <c r="FL73" s="1237"/>
      <c r="FM73" s="1237"/>
      <c r="FN73" s="1237"/>
      <c r="FO73" s="1237"/>
      <c r="FP73" s="1237"/>
      <c r="FQ73" s="1237"/>
      <c r="FR73" s="1237"/>
      <c r="FS73" s="1237"/>
      <c r="FT73" s="1237"/>
      <c r="FU73" s="1237"/>
      <c r="FV73" s="1237"/>
      <c r="FW73" s="1237"/>
      <c r="FX73" s="1237"/>
      <c r="FY73" s="1237"/>
      <c r="FZ73" s="1237"/>
      <c r="GA73" s="1237"/>
      <c r="GB73" s="1237"/>
      <c r="GC73" s="1237"/>
      <c r="GD73" s="1237"/>
      <c r="GE73" s="1237"/>
      <c r="GF73" s="1237"/>
      <c r="GG73" s="1237"/>
      <c r="GH73" s="1237"/>
      <c r="GI73" s="1237"/>
      <c r="GJ73" s="1237"/>
      <c r="GK73" s="1237"/>
      <c r="GL73" s="1237"/>
      <c r="GM73" s="1237"/>
      <c r="GN73" s="1237"/>
      <c r="GO73" s="1237"/>
      <c r="GP73" s="1237"/>
      <c r="GQ73" s="1237"/>
    </row>
    <row r="74" spans="1:199" ht="12.95" customHeight="1">
      <c r="A74" s="1022"/>
      <c r="B74" s="1022"/>
      <c r="C74" s="1022"/>
      <c r="D74" s="1022"/>
      <c r="E74" s="1022"/>
      <c r="F74" s="1022"/>
      <c r="G74" s="1022"/>
      <c r="H74" s="699"/>
      <c r="I74" s="699"/>
      <c r="J74" s="699"/>
      <c r="K74" s="699"/>
      <c r="L74" s="699"/>
      <c r="M74" s="699"/>
      <c r="N74" s="681"/>
      <c r="O74" s="743"/>
      <c r="P74" s="743"/>
      <c r="Q74" s="743"/>
      <c r="R74" s="743"/>
      <c r="S74" s="743"/>
      <c r="T74" s="743"/>
      <c r="U74" s="743"/>
      <c r="V74" s="743"/>
      <c r="W74" s="743"/>
      <c r="X74" s="743"/>
      <c r="AB74" s="1111"/>
      <c r="AC74" s="1239"/>
      <c r="AE74" s="745"/>
      <c r="AK74" s="709"/>
      <c r="AL74" s="741"/>
      <c r="AM74" s="741"/>
      <c r="AN74" s="741"/>
      <c r="AO74" s="741"/>
      <c r="AP74" s="681"/>
      <c r="AQ74" s="681"/>
      <c r="AR74" s="1237"/>
      <c r="AS74" s="1237"/>
      <c r="AT74" s="1237"/>
      <c r="AU74" s="1237"/>
      <c r="AV74" s="1237"/>
      <c r="AW74" s="1237"/>
      <c r="AX74" s="1237"/>
      <c r="AY74" s="1237"/>
      <c r="AZ74" s="1237"/>
      <c r="BA74" s="1237"/>
      <c r="BB74" s="1237"/>
      <c r="BC74" s="1237"/>
      <c r="BD74" s="1237"/>
      <c r="BE74" s="1237"/>
      <c r="BF74" s="1237"/>
      <c r="BG74" s="1237"/>
      <c r="BH74" s="1237"/>
      <c r="BI74" s="1237"/>
      <c r="BJ74" s="1237"/>
      <c r="BK74" s="1237"/>
      <c r="BL74" s="1237"/>
      <c r="BM74" s="1237"/>
      <c r="BN74" s="1237"/>
      <c r="BO74" s="1237"/>
      <c r="BP74" s="1237"/>
      <c r="BQ74" s="1237"/>
      <c r="BR74" s="1237"/>
      <c r="BS74" s="1237"/>
      <c r="BT74" s="1237"/>
      <c r="BU74" s="1237"/>
      <c r="BV74" s="1237"/>
      <c r="BW74" s="1237"/>
      <c r="BX74" s="1237"/>
      <c r="BY74" s="1237"/>
      <c r="BZ74" s="1237"/>
      <c r="CA74" s="1237"/>
      <c r="CB74" s="1237"/>
      <c r="CC74" s="1237"/>
      <c r="CD74" s="1237"/>
      <c r="CE74" s="1237"/>
      <c r="CF74" s="1237"/>
      <c r="CG74" s="1237"/>
      <c r="CH74" s="1237"/>
      <c r="CI74" s="1237"/>
      <c r="CJ74" s="1237"/>
      <c r="CK74" s="1237"/>
      <c r="CL74" s="1237"/>
      <c r="CM74" s="1237"/>
      <c r="CN74" s="1237"/>
      <c r="CO74" s="1237"/>
      <c r="CP74" s="1237"/>
      <c r="CQ74" s="1237"/>
      <c r="CR74" s="1237"/>
      <c r="CS74" s="1237"/>
      <c r="CT74" s="1237"/>
      <c r="CU74" s="1237"/>
      <c r="CV74" s="1237"/>
      <c r="CW74" s="1237"/>
      <c r="CX74" s="1237"/>
      <c r="CY74" s="1237"/>
      <c r="CZ74" s="1237"/>
      <c r="DA74" s="1237"/>
      <c r="DB74" s="1237"/>
      <c r="DC74" s="1237"/>
      <c r="DD74" s="1237"/>
      <c r="DE74" s="1237"/>
      <c r="DF74" s="1237"/>
      <c r="DG74" s="1237"/>
      <c r="DH74" s="1237"/>
      <c r="DI74" s="1237"/>
      <c r="DJ74" s="1237"/>
      <c r="DK74" s="1237"/>
      <c r="DL74" s="1237"/>
      <c r="DM74" s="1237"/>
      <c r="DN74" s="1237"/>
      <c r="DO74" s="1237"/>
      <c r="DP74" s="1237"/>
      <c r="DQ74" s="1237"/>
      <c r="DR74" s="1237"/>
      <c r="DS74" s="1237"/>
      <c r="DT74" s="1237"/>
      <c r="DU74" s="1237"/>
      <c r="DV74" s="1237"/>
      <c r="DW74" s="1237"/>
      <c r="DX74" s="1237"/>
      <c r="DY74" s="1237"/>
      <c r="DZ74" s="1237"/>
      <c r="EA74" s="1237"/>
      <c r="EB74" s="1237"/>
      <c r="EC74" s="1237"/>
      <c r="ED74" s="1237"/>
      <c r="EE74" s="1237"/>
      <c r="EF74" s="1237"/>
      <c r="EG74" s="1237"/>
      <c r="EH74" s="1237"/>
      <c r="EI74" s="1237"/>
      <c r="EJ74" s="1237"/>
      <c r="EK74" s="1237"/>
      <c r="EL74" s="1237"/>
      <c r="EM74" s="1237"/>
      <c r="EN74" s="1237"/>
      <c r="EO74" s="1237"/>
      <c r="EP74" s="1237"/>
      <c r="EQ74" s="1237"/>
      <c r="ER74" s="1237"/>
      <c r="ES74" s="1237"/>
      <c r="ET74" s="1237"/>
      <c r="EU74" s="1237"/>
      <c r="EV74" s="1237"/>
      <c r="EW74" s="1237"/>
      <c r="EX74" s="1237"/>
      <c r="EY74" s="1237"/>
      <c r="EZ74" s="1237"/>
      <c r="FA74" s="1237"/>
      <c r="FB74" s="1237"/>
      <c r="FC74" s="1237"/>
      <c r="FD74" s="1237"/>
      <c r="FE74" s="1237"/>
      <c r="FF74" s="1237"/>
      <c r="FG74" s="1237"/>
      <c r="FH74" s="1237"/>
      <c r="FI74" s="1237"/>
      <c r="FJ74" s="1237"/>
      <c r="FK74" s="1237"/>
      <c r="FL74" s="1237"/>
      <c r="FM74" s="1237"/>
      <c r="FN74" s="1237"/>
      <c r="FO74" s="1237"/>
      <c r="FP74" s="1237"/>
      <c r="FQ74" s="1237"/>
      <c r="FR74" s="1237"/>
      <c r="FS74" s="1237"/>
      <c r="FT74" s="1237"/>
      <c r="FU74" s="1237"/>
      <c r="FV74" s="1237"/>
      <c r="FW74" s="1237"/>
      <c r="FX74" s="1237"/>
      <c r="FY74" s="1237"/>
      <c r="FZ74" s="1237"/>
      <c r="GA74" s="1237"/>
      <c r="GB74" s="1237"/>
      <c r="GC74" s="1237"/>
      <c r="GD74" s="1237"/>
      <c r="GE74" s="1237"/>
      <c r="GF74" s="1237"/>
      <c r="GG74" s="1237"/>
      <c r="GH74" s="1237"/>
      <c r="GI74" s="1237"/>
      <c r="GJ74" s="1237"/>
      <c r="GK74" s="1237"/>
      <c r="GL74" s="1237"/>
      <c r="GM74" s="1237"/>
      <c r="GN74" s="1237"/>
      <c r="GO74" s="1237"/>
      <c r="GP74" s="1237"/>
      <c r="GQ74" s="1237"/>
    </row>
    <row r="75" spans="1:199" ht="14.1" customHeight="1">
      <c r="A75" s="1022"/>
      <c r="B75" s="1022"/>
      <c r="C75" s="1022"/>
      <c r="D75" s="1022"/>
      <c r="E75" s="1022"/>
      <c r="F75" s="1022"/>
      <c r="G75" s="1022"/>
      <c r="H75" s="699"/>
      <c r="I75" s="699"/>
      <c r="J75" s="699"/>
      <c r="K75" s="699"/>
      <c r="L75" s="699"/>
      <c r="M75" s="699"/>
      <c r="N75" s="681"/>
      <c r="O75" s="743" t="str">
        <f>[1]Forecasts!A59</f>
        <v>Interest income</v>
      </c>
      <c r="P75" s="743">
        <f>'Forecasts '!B52</f>
        <v>51927</v>
      </c>
      <c r="Q75" s="743">
        <f>'Forecasts '!C52</f>
        <v>42949</v>
      </c>
      <c r="R75" s="743">
        <f>'Forecasts '!D52</f>
        <v>38167</v>
      </c>
      <c r="S75" s="743">
        <f>'Forecasts '!E52</f>
        <v>11252.512320000002</v>
      </c>
      <c r="T75" s="743">
        <f>'Forecasts '!F52</f>
        <v>11576.686999500002</v>
      </c>
      <c r="U75" s="743">
        <f>'Forecasts '!G52</f>
        <v>11910.318905583001</v>
      </c>
      <c r="V75" s="743">
        <f>'Forecasts '!H52</f>
        <v>12253.68639477045</v>
      </c>
      <c r="W75" s="743">
        <f>'Forecasts '!I52</f>
        <v>12607.076067073926</v>
      </c>
      <c r="X75" s="743">
        <f>'Forecasts '!J52</f>
        <v>12985.288349086144</v>
      </c>
      <c r="AB75" s="1111"/>
      <c r="AC75" s="1239"/>
      <c r="AE75" s="745"/>
      <c r="AK75" s="709"/>
      <c r="AL75" s="1032"/>
      <c r="AM75" s="1032"/>
      <c r="AN75" s="1032"/>
      <c r="AO75" s="1032"/>
      <c r="AP75" s="742"/>
      <c r="AQ75" s="681"/>
      <c r="AR75" s="1237"/>
      <c r="AS75" s="1237"/>
      <c r="AT75" s="1237"/>
      <c r="AU75" s="1237"/>
      <c r="AV75" s="1237"/>
      <c r="AW75" s="1237"/>
      <c r="AX75" s="1237"/>
      <c r="AY75" s="1237"/>
      <c r="AZ75" s="1237"/>
      <c r="BA75" s="1237"/>
      <c r="BB75" s="1237"/>
      <c r="BC75" s="1237"/>
      <c r="BD75" s="1237"/>
      <c r="BE75" s="1237"/>
      <c r="BF75" s="1237"/>
      <c r="BG75" s="1237"/>
      <c r="BH75" s="1237"/>
      <c r="BI75" s="1237"/>
      <c r="BJ75" s="1237"/>
      <c r="BK75" s="1237"/>
      <c r="BL75" s="1237"/>
      <c r="BM75" s="1237"/>
      <c r="BN75" s="1237"/>
      <c r="BO75" s="1237"/>
      <c r="BP75" s="1237"/>
      <c r="BQ75" s="1237"/>
      <c r="BR75" s="1237"/>
      <c r="BS75" s="1237"/>
      <c r="BT75" s="1237"/>
      <c r="BU75" s="1237"/>
      <c r="BV75" s="1237"/>
      <c r="BW75" s="1237"/>
      <c r="BX75" s="1237"/>
      <c r="BY75" s="1237"/>
      <c r="BZ75" s="1237"/>
      <c r="CA75" s="1237"/>
      <c r="CB75" s="1237"/>
      <c r="CC75" s="1237"/>
      <c r="CD75" s="1237"/>
      <c r="CE75" s="1237"/>
      <c r="CF75" s="1237"/>
      <c r="CG75" s="1237"/>
      <c r="CH75" s="1237"/>
      <c r="CI75" s="1237"/>
      <c r="CJ75" s="1237"/>
      <c r="CK75" s="1237"/>
      <c r="CL75" s="1237"/>
      <c r="CM75" s="1237"/>
      <c r="CN75" s="1237"/>
      <c r="CO75" s="1237"/>
      <c r="CP75" s="1237"/>
      <c r="CQ75" s="1237"/>
      <c r="CR75" s="1237"/>
      <c r="CS75" s="1237"/>
      <c r="CT75" s="1237"/>
      <c r="CU75" s="1237"/>
      <c r="CV75" s="1237"/>
      <c r="CW75" s="1237"/>
      <c r="CX75" s="1237"/>
      <c r="CY75" s="1237"/>
      <c r="CZ75" s="1237"/>
      <c r="DA75" s="1237"/>
      <c r="DB75" s="1237"/>
      <c r="DC75" s="1237"/>
      <c r="DD75" s="1237"/>
      <c r="DE75" s="1237"/>
      <c r="DF75" s="1237"/>
      <c r="DG75" s="1237"/>
      <c r="DH75" s="1237"/>
      <c r="DI75" s="1237"/>
      <c r="DJ75" s="1237"/>
      <c r="DK75" s="1237"/>
      <c r="DL75" s="1237"/>
      <c r="DM75" s="1237"/>
      <c r="DN75" s="1237"/>
      <c r="DO75" s="1237"/>
      <c r="DP75" s="1237"/>
      <c r="DQ75" s="1237"/>
      <c r="DR75" s="1237"/>
      <c r="DS75" s="1237"/>
      <c r="DT75" s="1237"/>
      <c r="DU75" s="1237"/>
      <c r="DV75" s="1237"/>
      <c r="DW75" s="1237"/>
      <c r="DX75" s="1237"/>
      <c r="DY75" s="1237"/>
      <c r="DZ75" s="1237"/>
      <c r="EA75" s="1237"/>
      <c r="EB75" s="1237"/>
      <c r="EC75" s="1237"/>
      <c r="ED75" s="1237"/>
      <c r="EE75" s="1237"/>
      <c r="EF75" s="1237"/>
      <c r="EG75" s="1237"/>
      <c r="EH75" s="1237"/>
      <c r="EI75" s="1237"/>
      <c r="EJ75" s="1237"/>
      <c r="EK75" s="1237"/>
      <c r="EL75" s="1237"/>
      <c r="EM75" s="1237"/>
      <c r="EN75" s="1237"/>
      <c r="EO75" s="1237"/>
      <c r="EP75" s="1237"/>
      <c r="EQ75" s="1237"/>
      <c r="ER75" s="1237"/>
      <c r="ES75" s="1237"/>
      <c r="ET75" s="1237"/>
      <c r="EU75" s="1237"/>
      <c r="EV75" s="1237"/>
      <c r="EW75" s="1237"/>
      <c r="EX75" s="1237"/>
      <c r="EY75" s="1237"/>
      <c r="EZ75" s="1237"/>
      <c r="FA75" s="1237"/>
      <c r="FB75" s="1237"/>
      <c r="FC75" s="1237"/>
      <c r="FD75" s="1237"/>
      <c r="FE75" s="1237"/>
      <c r="FF75" s="1237"/>
      <c r="FG75" s="1237"/>
      <c r="FH75" s="1237"/>
      <c r="FI75" s="1237"/>
      <c r="FJ75" s="1237"/>
      <c r="FK75" s="1237"/>
      <c r="FL75" s="1237"/>
      <c r="FM75" s="1237"/>
      <c r="FN75" s="1237"/>
      <c r="FO75" s="1237"/>
      <c r="FP75" s="1237"/>
      <c r="FQ75" s="1237"/>
      <c r="FR75" s="1237"/>
      <c r="FS75" s="1237"/>
      <c r="FT75" s="1237"/>
      <c r="FU75" s="1237"/>
      <c r="FV75" s="1237"/>
      <c r="FW75" s="1237"/>
      <c r="FX75" s="1237"/>
      <c r="FY75" s="1237"/>
      <c r="FZ75" s="1237"/>
      <c r="GA75" s="1237"/>
      <c r="GB75" s="1237"/>
      <c r="GC75" s="1237"/>
      <c r="GD75" s="1237"/>
      <c r="GE75" s="1237"/>
      <c r="GF75" s="1237"/>
      <c r="GG75" s="1237"/>
      <c r="GH75" s="1237"/>
      <c r="GI75" s="1237"/>
      <c r="GJ75" s="1237"/>
      <c r="GK75" s="1237"/>
      <c r="GL75" s="1237"/>
      <c r="GM75" s="1237"/>
      <c r="GN75" s="1237"/>
      <c r="GO75" s="1237"/>
      <c r="GP75" s="1237"/>
      <c r="GQ75" s="1237"/>
    </row>
    <row r="76" spans="1:199" ht="12.95" customHeight="1">
      <c r="A76" s="1022" t="s">
        <v>1225</v>
      </c>
      <c r="B76" s="1022"/>
      <c r="C76" s="1022"/>
      <c r="D76" s="1022"/>
      <c r="E76" s="1022"/>
      <c r="F76" s="1022"/>
      <c r="G76" s="1022"/>
      <c r="H76" s="1022"/>
      <c r="I76" s="1022"/>
      <c r="J76" s="1022"/>
      <c r="K76" s="1022"/>
      <c r="L76" s="1022"/>
      <c r="M76" s="1022"/>
      <c r="N76" s="681"/>
      <c r="O76" s="743" t="s">
        <v>1131</v>
      </c>
      <c r="P76" s="743">
        <f>'Forecasts '!B55</f>
        <v>-78703</v>
      </c>
      <c r="Q76" s="743">
        <f>'Forecasts '!C55</f>
        <v>-69387</v>
      </c>
      <c r="R76" s="743">
        <f>'Forecasts '!D55</f>
        <v>-64743</v>
      </c>
      <c r="S76" s="743">
        <f>'Forecasts '!E55</f>
        <v>-34364.260199999997</v>
      </c>
      <c r="T76" s="743">
        <f>'Forecasts '!F55</f>
        <v>-35051.545403999997</v>
      </c>
      <c r="U76" s="743">
        <f>'Forecasts '!G55</f>
        <v>-35752.576312080004</v>
      </c>
      <c r="V76" s="743">
        <f>'Forecasts '!H55</f>
        <v>-36467.627838321598</v>
      </c>
      <c r="W76" s="743">
        <f>'Forecasts '!I55</f>
        <v>-37196.98039508803</v>
      </c>
      <c r="X76" s="743">
        <f>'Forecasts '!J55</f>
        <v>-38312.889806940671</v>
      </c>
      <c r="AB76" s="1111"/>
      <c r="AC76" s="1239"/>
      <c r="AK76" s="709"/>
      <c r="AL76" s="1032"/>
      <c r="AM76" s="1032"/>
      <c r="AN76" s="1032"/>
      <c r="AO76" s="1032"/>
      <c r="AP76" s="742"/>
      <c r="AQ76" s="681"/>
      <c r="AR76" s="1237"/>
      <c r="AS76" s="1237"/>
      <c r="AT76" s="1237"/>
      <c r="AU76" s="1237"/>
      <c r="AV76" s="1237"/>
      <c r="AW76" s="1237"/>
      <c r="AX76" s="1237"/>
      <c r="AY76" s="1237"/>
      <c r="AZ76" s="1237"/>
      <c r="BA76" s="1237"/>
      <c r="BB76" s="1237"/>
      <c r="BC76" s="1237"/>
      <c r="BD76" s="1237"/>
      <c r="BE76" s="1237"/>
      <c r="BF76" s="1237"/>
      <c r="BG76" s="1237"/>
      <c r="BH76" s="1237"/>
      <c r="BI76" s="1237"/>
      <c r="BJ76" s="1237"/>
      <c r="BK76" s="1237"/>
      <c r="BL76" s="1237"/>
      <c r="BM76" s="1237"/>
      <c r="BN76" s="1237"/>
      <c r="BO76" s="1237"/>
      <c r="BP76" s="1237"/>
      <c r="BQ76" s="1237"/>
      <c r="BR76" s="1237"/>
      <c r="BS76" s="1237"/>
      <c r="BT76" s="1237"/>
      <c r="BU76" s="1237"/>
      <c r="BV76" s="1237"/>
      <c r="BW76" s="1237"/>
      <c r="BX76" s="1237"/>
      <c r="BY76" s="1237"/>
      <c r="BZ76" s="1237"/>
      <c r="CA76" s="1237"/>
      <c r="CB76" s="1237"/>
      <c r="CC76" s="1237"/>
      <c r="CD76" s="1237"/>
      <c r="CE76" s="1237"/>
      <c r="CF76" s="1237"/>
      <c r="CG76" s="1237"/>
      <c r="CH76" s="1237"/>
      <c r="CI76" s="1237"/>
      <c r="CJ76" s="1237"/>
      <c r="CK76" s="1237"/>
      <c r="CL76" s="1237"/>
      <c r="CM76" s="1237"/>
      <c r="CN76" s="1237"/>
      <c r="CO76" s="1237"/>
      <c r="CP76" s="1237"/>
      <c r="CQ76" s="1237"/>
      <c r="CR76" s="1237"/>
      <c r="CS76" s="1237"/>
      <c r="CT76" s="1237"/>
      <c r="CU76" s="1237"/>
      <c r="CV76" s="1237"/>
      <c r="CW76" s="1237"/>
      <c r="CX76" s="1237"/>
      <c r="CY76" s="1237"/>
      <c r="CZ76" s="1237"/>
      <c r="DA76" s="1237"/>
      <c r="DB76" s="1237"/>
      <c r="DC76" s="1237"/>
      <c r="DD76" s="1237"/>
      <c r="DE76" s="1237"/>
      <c r="DF76" s="1237"/>
      <c r="DG76" s="1237"/>
      <c r="DH76" s="1237"/>
      <c r="DI76" s="1237"/>
      <c r="DJ76" s="1237"/>
      <c r="DK76" s="1237"/>
      <c r="DL76" s="1237"/>
      <c r="DM76" s="1237"/>
      <c r="DN76" s="1237"/>
      <c r="DO76" s="1237"/>
      <c r="DP76" s="1237"/>
      <c r="DQ76" s="1237"/>
      <c r="DR76" s="1237"/>
      <c r="DS76" s="1237"/>
      <c r="DT76" s="1237"/>
      <c r="DU76" s="1237"/>
      <c r="DV76" s="1237"/>
      <c r="DW76" s="1237"/>
      <c r="DX76" s="1237"/>
      <c r="DY76" s="1237"/>
      <c r="DZ76" s="1237"/>
      <c r="EA76" s="1237"/>
      <c r="EB76" s="1237"/>
      <c r="EC76" s="1237"/>
      <c r="ED76" s="1237"/>
      <c r="EE76" s="1237"/>
      <c r="EF76" s="1237"/>
      <c r="EG76" s="1237"/>
      <c r="EH76" s="1237"/>
      <c r="EI76" s="1237"/>
      <c r="EJ76" s="1237"/>
      <c r="EK76" s="1237"/>
      <c r="EL76" s="1237"/>
      <c r="EM76" s="1237"/>
      <c r="EN76" s="1237"/>
      <c r="EO76" s="1237"/>
      <c r="EP76" s="1237"/>
      <c r="EQ76" s="1237"/>
      <c r="ER76" s="1237"/>
      <c r="ES76" s="1237"/>
      <c r="ET76" s="1237"/>
      <c r="EU76" s="1237"/>
      <c r="EV76" s="1237"/>
      <c r="EW76" s="1237"/>
      <c r="EX76" s="1237"/>
      <c r="EY76" s="1237"/>
      <c r="EZ76" s="1237"/>
      <c r="FA76" s="1237"/>
      <c r="FB76" s="1237"/>
      <c r="FC76" s="1237"/>
      <c r="FD76" s="1237"/>
      <c r="FE76" s="1237"/>
      <c r="FF76" s="1237"/>
      <c r="FG76" s="1237"/>
      <c r="FH76" s="1237"/>
      <c r="FI76" s="1237"/>
      <c r="FJ76" s="1237"/>
      <c r="FK76" s="1237"/>
      <c r="FL76" s="1237"/>
      <c r="FM76" s="1237"/>
      <c r="FN76" s="1237"/>
      <c r="FO76" s="1237"/>
      <c r="FP76" s="1237"/>
      <c r="FQ76" s="1237"/>
      <c r="FR76" s="1237"/>
      <c r="FS76" s="1237"/>
      <c r="FT76" s="1237"/>
      <c r="FU76" s="1237"/>
      <c r="FV76" s="1237"/>
      <c r="FW76" s="1237"/>
      <c r="FX76" s="1237"/>
      <c r="FY76" s="1237"/>
      <c r="FZ76" s="1237"/>
      <c r="GA76" s="1237"/>
      <c r="GB76" s="1237"/>
      <c r="GC76" s="1237"/>
      <c r="GD76" s="1237"/>
      <c r="GE76" s="1237"/>
      <c r="GF76" s="1237"/>
      <c r="GG76" s="1237"/>
      <c r="GH76" s="1237"/>
      <c r="GI76" s="1237"/>
      <c r="GJ76" s="1237"/>
      <c r="GK76" s="1237"/>
      <c r="GL76" s="1237"/>
      <c r="GM76" s="1237"/>
      <c r="GN76" s="1237"/>
      <c r="GO76" s="1237"/>
      <c r="GP76" s="1237"/>
      <c r="GQ76" s="1237"/>
    </row>
    <row r="77" spans="1:199" ht="12" customHeight="1">
      <c r="A77" s="1022"/>
      <c r="B77" s="1022"/>
      <c r="C77" s="1022"/>
      <c r="D77" s="1022"/>
      <c r="E77" s="1022"/>
      <c r="F77" s="1022"/>
      <c r="G77" s="1022"/>
      <c r="H77" s="1022"/>
      <c r="I77" s="1022"/>
      <c r="J77" s="1022"/>
      <c r="K77" s="1022"/>
      <c r="L77" s="1022"/>
      <c r="M77" s="1022"/>
      <c r="N77" s="681"/>
      <c r="O77" s="917" t="str">
        <f>[1]Forecasts!A71</f>
        <v xml:space="preserve">  Income before Tax</v>
      </c>
      <c r="P77" s="917">
        <f>[1]Forecasts!B71</f>
        <v>2702</v>
      </c>
      <c r="Q77" s="917">
        <f>[1]Forecasts!C71</f>
        <v>2938</v>
      </c>
      <c r="R77" s="917">
        <f>[1]Forecasts!D71</f>
        <v>2287</v>
      </c>
      <c r="S77" s="917">
        <f>[1]Forecasts!E71</f>
        <v>2461.4988013963575</v>
      </c>
      <c r="T77" s="917">
        <f>[1]Forecasts!F71</f>
        <v>2507.5936454242824</v>
      </c>
      <c r="U77" s="917">
        <f>[1]Forecasts!G71</f>
        <v>2573.9926203727691</v>
      </c>
      <c r="V77" s="917">
        <f>[1]Forecasts!H71</f>
        <v>2641.8174621214243</v>
      </c>
      <c r="W77" s="917">
        <f>[1]Forecasts!I71</f>
        <v>2711.0957293676888</v>
      </c>
      <c r="X77" s="917">
        <f>[1]Forecasts!J71</f>
        <v>2765.3176439550425</v>
      </c>
      <c r="Y77" s="705"/>
      <c r="Z77" s="705"/>
      <c r="AA77" s="705"/>
      <c r="AB77" s="1111"/>
      <c r="AC77" s="1239"/>
      <c r="AK77" s="709"/>
      <c r="AL77" s="1032"/>
      <c r="AM77" s="1032"/>
      <c r="AN77" s="1032"/>
      <c r="AO77" s="1032"/>
      <c r="AP77" s="742"/>
      <c r="AQ77" s="681"/>
      <c r="AR77" s="1237"/>
      <c r="AS77" s="1237"/>
      <c r="AT77" s="1237"/>
      <c r="AU77" s="1237"/>
      <c r="AV77" s="1237"/>
      <c r="AW77" s="1237"/>
      <c r="AX77" s="1237"/>
      <c r="AY77" s="1237"/>
      <c r="AZ77" s="1237"/>
      <c r="BA77" s="1237"/>
      <c r="BB77" s="1237"/>
      <c r="BC77" s="1237"/>
      <c r="BD77" s="1237"/>
      <c r="BE77" s="1237"/>
      <c r="BF77" s="1237"/>
      <c r="BG77" s="1237"/>
      <c r="BH77" s="1237"/>
      <c r="BI77" s="1237"/>
      <c r="BJ77" s="1237"/>
      <c r="BK77" s="1237"/>
      <c r="BL77" s="1237"/>
      <c r="BM77" s="1237"/>
      <c r="BN77" s="1237"/>
      <c r="BO77" s="1237"/>
      <c r="BP77" s="1237"/>
      <c r="BQ77" s="1237"/>
      <c r="BR77" s="1237"/>
      <c r="BS77" s="1237"/>
      <c r="BT77" s="1237"/>
      <c r="BU77" s="1237"/>
      <c r="BV77" s="1237"/>
      <c r="BW77" s="1237"/>
      <c r="BX77" s="1237"/>
      <c r="BY77" s="1237"/>
      <c r="BZ77" s="1237"/>
      <c r="CA77" s="1237"/>
      <c r="CB77" s="1237"/>
      <c r="CC77" s="1237"/>
      <c r="CD77" s="1237"/>
      <c r="CE77" s="1237"/>
      <c r="CF77" s="1237"/>
      <c r="CG77" s="1237"/>
      <c r="CH77" s="1237"/>
      <c r="CI77" s="1237"/>
      <c r="CJ77" s="1237"/>
      <c r="CK77" s="1237"/>
      <c r="CL77" s="1237"/>
      <c r="CM77" s="1237"/>
      <c r="CN77" s="1237"/>
      <c r="CO77" s="1237"/>
      <c r="CP77" s="1237"/>
      <c r="CQ77" s="1237"/>
      <c r="CR77" s="1237"/>
      <c r="CS77" s="1237"/>
      <c r="CT77" s="1237"/>
      <c r="CU77" s="1237"/>
      <c r="CV77" s="1237"/>
      <c r="CW77" s="1237"/>
      <c r="CX77" s="1237"/>
      <c r="CY77" s="1237"/>
      <c r="CZ77" s="1237"/>
      <c r="DA77" s="1237"/>
      <c r="DB77" s="1237"/>
      <c r="DC77" s="1237"/>
      <c r="DD77" s="1237"/>
      <c r="DE77" s="1237"/>
      <c r="DF77" s="1237"/>
      <c r="DG77" s="1237"/>
      <c r="DH77" s="1237"/>
      <c r="DI77" s="1237"/>
      <c r="DJ77" s="1237"/>
      <c r="DK77" s="1237"/>
      <c r="DL77" s="1237"/>
      <c r="DM77" s="1237"/>
      <c r="DN77" s="1237"/>
      <c r="DO77" s="1237"/>
      <c r="DP77" s="1237"/>
      <c r="DQ77" s="1237"/>
      <c r="DR77" s="1237"/>
      <c r="DS77" s="1237"/>
      <c r="DT77" s="1237"/>
      <c r="DU77" s="1237"/>
      <c r="DV77" s="1237"/>
      <c r="DW77" s="1237"/>
      <c r="DX77" s="1237"/>
      <c r="DY77" s="1237"/>
      <c r="DZ77" s="1237"/>
      <c r="EA77" s="1237"/>
      <c r="EB77" s="1237"/>
      <c r="EC77" s="1237"/>
      <c r="ED77" s="1237"/>
      <c r="EE77" s="1237"/>
      <c r="EF77" s="1237"/>
      <c r="EG77" s="1237"/>
      <c r="EH77" s="1237"/>
      <c r="EI77" s="1237"/>
      <c r="EJ77" s="1237"/>
      <c r="EK77" s="1237"/>
      <c r="EL77" s="1237"/>
      <c r="EM77" s="1237"/>
      <c r="EN77" s="1237"/>
      <c r="EO77" s="1237"/>
      <c r="EP77" s="1237"/>
      <c r="EQ77" s="1237"/>
      <c r="ER77" s="1237"/>
      <c r="ES77" s="1237"/>
      <c r="ET77" s="1237"/>
      <c r="EU77" s="1237"/>
      <c r="EV77" s="1237"/>
      <c r="EW77" s="1237"/>
      <c r="EX77" s="1237"/>
      <c r="EY77" s="1237"/>
      <c r="EZ77" s="1237"/>
      <c r="FA77" s="1237"/>
      <c r="FB77" s="1237"/>
      <c r="FC77" s="1237"/>
      <c r="FD77" s="1237"/>
      <c r="FE77" s="1237"/>
      <c r="FF77" s="1237"/>
      <c r="FG77" s="1237"/>
      <c r="FH77" s="1237"/>
      <c r="FI77" s="1237"/>
      <c r="FJ77" s="1237"/>
      <c r="FK77" s="1237"/>
      <c r="FL77" s="1237"/>
      <c r="FM77" s="1237"/>
      <c r="FN77" s="1237"/>
      <c r="FO77" s="1237"/>
      <c r="FP77" s="1237"/>
      <c r="FQ77" s="1237"/>
      <c r="FR77" s="1237"/>
      <c r="FS77" s="1237"/>
      <c r="FT77" s="1237"/>
      <c r="FU77" s="1237"/>
      <c r="FV77" s="1237"/>
      <c r="FW77" s="1237"/>
      <c r="FX77" s="1237"/>
      <c r="FY77" s="1237"/>
      <c r="FZ77" s="1237"/>
      <c r="GA77" s="1237"/>
      <c r="GB77" s="1237"/>
      <c r="GC77" s="1237"/>
      <c r="GD77" s="1237"/>
      <c r="GE77" s="1237"/>
      <c r="GF77" s="1237"/>
      <c r="GG77" s="1237"/>
      <c r="GH77" s="1237"/>
      <c r="GI77" s="1237"/>
      <c r="GJ77" s="1237"/>
      <c r="GK77" s="1237"/>
      <c r="GL77" s="1237"/>
      <c r="GM77" s="1237"/>
      <c r="GN77" s="1237"/>
      <c r="GO77" s="1237"/>
      <c r="GP77" s="1237"/>
      <c r="GQ77" s="1237"/>
    </row>
    <row r="78" spans="1:199" ht="12.95" customHeight="1">
      <c r="A78" s="1022"/>
      <c r="B78" s="1022"/>
      <c r="C78" s="1022"/>
      <c r="D78" s="1022"/>
      <c r="E78" s="1022"/>
      <c r="F78" s="1022"/>
      <c r="G78" s="1022"/>
      <c r="H78" s="1022"/>
      <c r="I78" s="1022"/>
      <c r="J78" s="1022"/>
      <c r="K78" s="1022"/>
      <c r="L78" s="1022"/>
      <c r="M78" s="1022"/>
      <c r="N78" s="681"/>
      <c r="O78" s="743"/>
      <c r="P78" s="743"/>
      <c r="Q78" s="743"/>
      <c r="R78" s="743"/>
      <c r="S78" s="743"/>
      <c r="T78" s="743"/>
      <c r="U78" s="743"/>
      <c r="V78" s="743"/>
      <c r="W78" s="743"/>
      <c r="X78" s="743"/>
      <c r="Y78" s="705"/>
      <c r="Z78" s="705"/>
      <c r="AA78" s="705"/>
      <c r="AB78" s="1111"/>
      <c r="AC78" s="1239"/>
      <c r="AK78" s="709"/>
      <c r="AL78" s="1032"/>
      <c r="AM78" s="1032"/>
      <c r="AN78" s="1032"/>
      <c r="AO78" s="1032"/>
      <c r="AP78" s="742"/>
      <c r="AQ78" s="681"/>
      <c r="AR78" s="1237"/>
      <c r="AS78" s="1237"/>
      <c r="AT78" s="1237"/>
      <c r="AU78" s="1237"/>
      <c r="AV78" s="1237"/>
      <c r="AW78" s="1237"/>
      <c r="AX78" s="1237"/>
      <c r="AY78" s="1237"/>
      <c r="AZ78" s="1237"/>
      <c r="BA78" s="1237"/>
      <c r="BB78" s="1237"/>
      <c r="BC78" s="1237"/>
      <c r="BD78" s="1237"/>
      <c r="BE78" s="1237"/>
      <c r="BF78" s="1237"/>
      <c r="BG78" s="1237"/>
      <c r="BH78" s="1237"/>
      <c r="BI78" s="1237"/>
      <c r="BJ78" s="1237"/>
      <c r="BK78" s="1237"/>
      <c r="BL78" s="1237"/>
      <c r="BM78" s="1237"/>
      <c r="BN78" s="1237"/>
      <c r="BO78" s="1237"/>
      <c r="BP78" s="1237"/>
      <c r="BQ78" s="1237"/>
      <c r="BR78" s="1237"/>
      <c r="BS78" s="1237"/>
      <c r="BT78" s="1237"/>
      <c r="BU78" s="1237"/>
      <c r="BV78" s="1237"/>
      <c r="BW78" s="1237"/>
      <c r="BX78" s="1237"/>
      <c r="BY78" s="1237"/>
      <c r="BZ78" s="1237"/>
      <c r="CA78" s="1237"/>
      <c r="CB78" s="1237"/>
      <c r="CC78" s="1237"/>
      <c r="CD78" s="1237"/>
      <c r="CE78" s="1237"/>
      <c r="CF78" s="1237"/>
      <c r="CG78" s="1237"/>
      <c r="CH78" s="1237"/>
      <c r="CI78" s="1237"/>
      <c r="CJ78" s="1237"/>
      <c r="CK78" s="1237"/>
      <c r="CL78" s="1237"/>
      <c r="CM78" s="1237"/>
      <c r="CN78" s="1237"/>
      <c r="CO78" s="1237"/>
      <c r="CP78" s="1237"/>
      <c r="CQ78" s="1237"/>
      <c r="CR78" s="1237"/>
      <c r="CS78" s="1237"/>
      <c r="CT78" s="1237"/>
      <c r="CU78" s="1237"/>
      <c r="CV78" s="1237"/>
      <c r="CW78" s="1237"/>
      <c r="CX78" s="1237"/>
      <c r="CY78" s="1237"/>
      <c r="CZ78" s="1237"/>
      <c r="DA78" s="1237"/>
      <c r="DB78" s="1237"/>
      <c r="DC78" s="1237"/>
      <c r="DD78" s="1237"/>
      <c r="DE78" s="1237"/>
      <c r="DF78" s="1237"/>
      <c r="DG78" s="1237"/>
      <c r="DH78" s="1237"/>
      <c r="DI78" s="1237"/>
      <c r="DJ78" s="1237"/>
      <c r="DK78" s="1237"/>
      <c r="DL78" s="1237"/>
      <c r="DM78" s="1237"/>
      <c r="DN78" s="1237"/>
      <c r="DO78" s="1237"/>
      <c r="DP78" s="1237"/>
      <c r="DQ78" s="1237"/>
      <c r="DR78" s="1237"/>
      <c r="DS78" s="1237"/>
      <c r="DT78" s="1237"/>
      <c r="DU78" s="1237"/>
      <c r="DV78" s="1237"/>
      <c r="DW78" s="1237"/>
      <c r="DX78" s="1237"/>
      <c r="DY78" s="1237"/>
      <c r="DZ78" s="1237"/>
      <c r="EA78" s="1237"/>
      <c r="EB78" s="1237"/>
      <c r="EC78" s="1237"/>
      <c r="ED78" s="1237"/>
      <c r="EE78" s="1237"/>
      <c r="EF78" s="1237"/>
      <c r="EG78" s="1237"/>
      <c r="EH78" s="1237"/>
      <c r="EI78" s="1237"/>
      <c r="EJ78" s="1237"/>
      <c r="EK78" s="1237"/>
      <c r="EL78" s="1237"/>
      <c r="EM78" s="1237"/>
      <c r="EN78" s="1237"/>
      <c r="EO78" s="1237"/>
      <c r="EP78" s="1237"/>
      <c r="EQ78" s="1237"/>
      <c r="ER78" s="1237"/>
      <c r="ES78" s="1237"/>
      <c r="ET78" s="1237"/>
      <c r="EU78" s="1237"/>
      <c r="EV78" s="1237"/>
      <c r="EW78" s="1237"/>
      <c r="EX78" s="1237"/>
      <c r="EY78" s="1237"/>
      <c r="EZ78" s="1237"/>
      <c r="FA78" s="1237"/>
      <c r="FB78" s="1237"/>
      <c r="FC78" s="1237"/>
      <c r="FD78" s="1237"/>
      <c r="FE78" s="1237"/>
      <c r="FF78" s="1237"/>
      <c r="FG78" s="1237"/>
      <c r="FH78" s="1237"/>
      <c r="FI78" s="1237"/>
      <c r="FJ78" s="1237"/>
      <c r="FK78" s="1237"/>
      <c r="FL78" s="1237"/>
      <c r="FM78" s="1237"/>
      <c r="FN78" s="1237"/>
      <c r="FO78" s="1237"/>
      <c r="FP78" s="1237"/>
      <c r="FQ78" s="1237"/>
      <c r="FR78" s="1237"/>
      <c r="FS78" s="1237"/>
      <c r="FT78" s="1237"/>
      <c r="FU78" s="1237"/>
      <c r="FV78" s="1237"/>
      <c r="FW78" s="1237"/>
      <c r="FX78" s="1237"/>
      <c r="FY78" s="1237"/>
      <c r="FZ78" s="1237"/>
      <c r="GA78" s="1237"/>
      <c r="GB78" s="1237"/>
      <c r="GC78" s="1237"/>
      <c r="GD78" s="1237"/>
      <c r="GE78" s="1237"/>
      <c r="GF78" s="1237"/>
      <c r="GG78" s="1237"/>
      <c r="GH78" s="1237"/>
      <c r="GI78" s="1237"/>
      <c r="GJ78" s="1237"/>
      <c r="GK78" s="1237"/>
      <c r="GL78" s="1237"/>
      <c r="GM78" s="1237"/>
      <c r="GN78" s="1237"/>
      <c r="GO78" s="1237"/>
      <c r="GP78" s="1237"/>
      <c r="GQ78" s="1237"/>
    </row>
    <row r="79" spans="1:199" ht="12" customHeight="1">
      <c r="A79" s="795" t="s">
        <v>1132</v>
      </c>
      <c r="B79" s="809"/>
      <c r="C79" s="699"/>
      <c r="D79" s="699"/>
      <c r="E79" s="699"/>
      <c r="F79" s="699"/>
      <c r="G79" s="699"/>
      <c r="H79" s="699"/>
      <c r="I79" s="699"/>
      <c r="J79" s="699"/>
      <c r="K79" s="699"/>
      <c r="L79" s="699"/>
      <c r="M79" s="699"/>
      <c r="N79" s="681"/>
      <c r="O79" s="743" t="s">
        <v>1133</v>
      </c>
      <c r="P79" s="743">
        <f>'Forecasts '!B68</f>
        <v>-35810</v>
      </c>
      <c r="Q79" s="743">
        <f>'Forecasts '!C68</f>
        <v>-19349</v>
      </c>
      <c r="R79" s="743">
        <f>'Forecasts '!D68</f>
        <v>7508</v>
      </c>
      <c r="S79" s="743">
        <f>'Forecasts '!E68</f>
        <v>7146.0016435499965</v>
      </c>
      <c r="T79" s="743">
        <f>'Forecasts '!F68</f>
        <v>5727.4611972960074</v>
      </c>
      <c r="U79" s="743">
        <f>'Forecasts '!G68</f>
        <v>3918.6863904161287</v>
      </c>
      <c r="V79" s="743">
        <f>'Forecasts '!H68</f>
        <v>1977.6910429232983</v>
      </c>
      <c r="W79" s="743">
        <f>'Forecasts '!I68</f>
        <v>182.66668445050186</v>
      </c>
      <c r="X79" s="743">
        <f>'Forecasts '!J68</f>
        <v>188.14668498401693</v>
      </c>
      <c r="Y79" s="705"/>
      <c r="Z79" s="705"/>
      <c r="AA79" s="705"/>
      <c r="AB79" s="1111"/>
      <c r="AC79" s="1239"/>
      <c r="AK79" s="709"/>
      <c r="AL79" s="1032"/>
      <c r="AM79" s="1032"/>
      <c r="AN79" s="1032"/>
      <c r="AO79" s="1032"/>
      <c r="AP79" s="742"/>
      <c r="AQ79" s="681"/>
      <c r="AR79" s="1237"/>
      <c r="AS79" s="1237"/>
      <c r="AT79" s="1237"/>
      <c r="AU79" s="1237"/>
      <c r="AV79" s="1237"/>
      <c r="AW79" s="1237"/>
      <c r="AX79" s="1237"/>
      <c r="AY79" s="1237"/>
      <c r="AZ79" s="1237"/>
      <c r="BA79" s="1237"/>
      <c r="BB79" s="1237"/>
      <c r="BC79" s="1237"/>
      <c r="BD79" s="1237"/>
      <c r="BE79" s="1237"/>
      <c r="BF79" s="1237"/>
      <c r="BG79" s="1237"/>
      <c r="BH79" s="1237"/>
      <c r="BI79" s="1237"/>
      <c r="BJ79" s="1237"/>
      <c r="BK79" s="1237"/>
      <c r="BL79" s="1237"/>
      <c r="BM79" s="1237"/>
      <c r="BN79" s="1237"/>
      <c r="BO79" s="1237"/>
      <c r="BP79" s="1237"/>
      <c r="BQ79" s="1237"/>
      <c r="BR79" s="1237"/>
      <c r="BS79" s="1237"/>
      <c r="BT79" s="1237"/>
      <c r="BU79" s="1237"/>
      <c r="BV79" s="1237"/>
      <c r="BW79" s="1237"/>
      <c r="BX79" s="1237"/>
      <c r="BY79" s="1237"/>
      <c r="BZ79" s="1237"/>
      <c r="CA79" s="1237"/>
      <c r="CB79" s="1237"/>
      <c r="CC79" s="1237"/>
      <c r="CD79" s="1237"/>
      <c r="CE79" s="1237"/>
      <c r="CF79" s="1237"/>
      <c r="CG79" s="1237"/>
      <c r="CH79" s="1237"/>
      <c r="CI79" s="1237"/>
      <c r="CJ79" s="1237"/>
      <c r="CK79" s="1237"/>
      <c r="CL79" s="1237"/>
      <c r="CM79" s="1237"/>
      <c r="CN79" s="1237"/>
      <c r="CO79" s="1237"/>
      <c r="CP79" s="1237"/>
      <c r="CQ79" s="1237"/>
      <c r="CR79" s="1237"/>
      <c r="CS79" s="1237"/>
      <c r="CT79" s="1237"/>
      <c r="CU79" s="1237"/>
      <c r="CV79" s="1237"/>
      <c r="CW79" s="1237"/>
      <c r="CX79" s="1237"/>
      <c r="CY79" s="1237"/>
      <c r="CZ79" s="1237"/>
      <c r="DA79" s="1237"/>
      <c r="DB79" s="1237"/>
      <c r="DC79" s="1237"/>
      <c r="DD79" s="1237"/>
      <c r="DE79" s="1237"/>
      <c r="DF79" s="1237"/>
      <c r="DG79" s="1237"/>
      <c r="DH79" s="1237"/>
      <c r="DI79" s="1237"/>
      <c r="DJ79" s="1237"/>
      <c r="DK79" s="1237"/>
      <c r="DL79" s="1237"/>
      <c r="DM79" s="1237"/>
      <c r="DN79" s="1237"/>
      <c r="DO79" s="1237"/>
      <c r="DP79" s="1237"/>
      <c r="DQ79" s="1237"/>
      <c r="DR79" s="1237"/>
      <c r="DS79" s="1237"/>
      <c r="DT79" s="1237"/>
      <c r="DU79" s="1237"/>
      <c r="DV79" s="1237"/>
      <c r="DW79" s="1237"/>
      <c r="DX79" s="1237"/>
      <c r="DY79" s="1237"/>
      <c r="DZ79" s="1237"/>
      <c r="EA79" s="1237"/>
      <c r="EB79" s="1237"/>
      <c r="EC79" s="1237"/>
      <c r="ED79" s="1237"/>
      <c r="EE79" s="1237"/>
      <c r="EF79" s="1237"/>
      <c r="EG79" s="1237"/>
      <c r="EH79" s="1237"/>
      <c r="EI79" s="1237"/>
      <c r="EJ79" s="1237"/>
      <c r="EK79" s="1237"/>
      <c r="EL79" s="1237"/>
      <c r="EM79" s="1237"/>
      <c r="EN79" s="1237"/>
      <c r="EO79" s="1237"/>
      <c r="EP79" s="1237"/>
      <c r="EQ79" s="1237"/>
      <c r="ER79" s="1237"/>
      <c r="ES79" s="1237"/>
      <c r="ET79" s="1237"/>
      <c r="EU79" s="1237"/>
      <c r="EV79" s="1237"/>
      <c r="EW79" s="1237"/>
      <c r="EX79" s="1237"/>
      <c r="EY79" s="1237"/>
      <c r="EZ79" s="1237"/>
      <c r="FA79" s="1237"/>
      <c r="FB79" s="1237"/>
      <c r="FC79" s="1237"/>
      <c r="FD79" s="1237"/>
      <c r="FE79" s="1237"/>
      <c r="FF79" s="1237"/>
      <c r="FG79" s="1237"/>
      <c r="FH79" s="1237"/>
      <c r="FI79" s="1237"/>
      <c r="FJ79" s="1237"/>
      <c r="FK79" s="1237"/>
      <c r="FL79" s="1237"/>
      <c r="FM79" s="1237"/>
      <c r="FN79" s="1237"/>
      <c r="FO79" s="1237"/>
      <c r="FP79" s="1237"/>
      <c r="FQ79" s="1237"/>
      <c r="FR79" s="1237"/>
      <c r="FS79" s="1237"/>
      <c r="FT79" s="1237"/>
      <c r="FU79" s="1237"/>
      <c r="FV79" s="1237"/>
      <c r="FW79" s="1237"/>
      <c r="FX79" s="1237"/>
      <c r="FY79" s="1237"/>
      <c r="FZ79" s="1237"/>
      <c r="GA79" s="1237"/>
      <c r="GB79" s="1237"/>
      <c r="GC79" s="1237"/>
      <c r="GD79" s="1237"/>
      <c r="GE79" s="1237"/>
      <c r="GF79" s="1237"/>
      <c r="GG79" s="1237"/>
      <c r="GH79" s="1237"/>
      <c r="GI79" s="1237"/>
      <c r="GJ79" s="1237"/>
      <c r="GK79" s="1237"/>
      <c r="GL79" s="1237"/>
      <c r="GM79" s="1237"/>
      <c r="GN79" s="1237"/>
      <c r="GO79" s="1237"/>
      <c r="GP79" s="1237"/>
      <c r="GQ79" s="1237"/>
    </row>
    <row r="80" spans="1:199" ht="12" customHeight="1">
      <c r="A80" s="1022" t="s">
        <v>1226</v>
      </c>
      <c r="B80" s="1022"/>
      <c r="C80" s="1022"/>
      <c r="D80" s="1022"/>
      <c r="E80" s="1022"/>
      <c r="F80" s="1022"/>
      <c r="G80" s="1022"/>
      <c r="H80" s="1022"/>
      <c r="I80" s="1022"/>
      <c r="J80" s="1022"/>
      <c r="K80" s="1022"/>
      <c r="L80" s="1022"/>
      <c r="M80" s="1022"/>
      <c r="N80" s="681"/>
      <c r="O80" s="743" t="str">
        <f>'Forecasts '!A71</f>
        <v>Income &lt;Loss&gt; from discontinued operations</v>
      </c>
      <c r="P80" s="743" t="s">
        <v>109</v>
      </c>
      <c r="Q80" s="743" t="s">
        <v>109</v>
      </c>
      <c r="R80" s="743" t="s">
        <v>109</v>
      </c>
      <c r="S80" s="743" t="s">
        <v>109</v>
      </c>
      <c r="T80" s="743" t="s">
        <v>109</v>
      </c>
      <c r="U80" s="743" t="s">
        <v>109</v>
      </c>
      <c r="V80" s="743" t="s">
        <v>109</v>
      </c>
      <c r="W80" s="743" t="s">
        <v>109</v>
      </c>
      <c r="X80" s="743" t="s">
        <v>109</v>
      </c>
      <c r="Y80" s="705"/>
      <c r="Z80" s="705"/>
      <c r="AA80" s="705"/>
      <c r="AB80" s="1111"/>
      <c r="AC80" s="1239"/>
      <c r="AK80" s="709"/>
      <c r="AL80" s="1032"/>
      <c r="AM80" s="1032"/>
      <c r="AN80" s="1032"/>
      <c r="AO80" s="1032"/>
      <c r="AP80" s="742"/>
      <c r="AQ80" s="681"/>
      <c r="AR80" s="1237"/>
      <c r="AS80" s="1237"/>
      <c r="AT80" s="1237"/>
      <c r="AU80" s="1237"/>
      <c r="AV80" s="1237"/>
      <c r="AW80" s="1237"/>
      <c r="AX80" s="1237"/>
      <c r="AY80" s="1237"/>
      <c r="AZ80" s="1237"/>
      <c r="BA80" s="1237"/>
      <c r="BB80" s="1237"/>
      <c r="BC80" s="1237"/>
      <c r="BD80" s="1237"/>
      <c r="BE80" s="1237"/>
      <c r="BF80" s="1237"/>
      <c r="BG80" s="1237"/>
      <c r="BH80" s="1237"/>
      <c r="BI80" s="1237"/>
      <c r="BJ80" s="1237"/>
      <c r="BK80" s="1237"/>
      <c r="BL80" s="1237"/>
      <c r="BM80" s="1237"/>
      <c r="BN80" s="1237"/>
      <c r="BO80" s="1237"/>
      <c r="BP80" s="1237"/>
      <c r="BQ80" s="1237"/>
      <c r="BR80" s="1237"/>
      <c r="BS80" s="1237"/>
      <c r="BT80" s="1237"/>
      <c r="BU80" s="1237"/>
      <c r="BV80" s="1237"/>
      <c r="BW80" s="1237"/>
      <c r="BX80" s="1237"/>
      <c r="BY80" s="1237"/>
      <c r="BZ80" s="1237"/>
      <c r="CA80" s="1237"/>
      <c r="CB80" s="1237"/>
      <c r="CC80" s="1237"/>
      <c r="CD80" s="1237"/>
      <c r="CE80" s="1237"/>
      <c r="CF80" s="1237"/>
      <c r="CG80" s="1237"/>
      <c r="CH80" s="1237"/>
      <c r="CI80" s="1237"/>
      <c r="CJ80" s="1237"/>
      <c r="CK80" s="1237"/>
      <c r="CL80" s="1237"/>
      <c r="CM80" s="1237"/>
      <c r="CN80" s="1237"/>
      <c r="CO80" s="1237"/>
      <c r="CP80" s="1237"/>
      <c r="CQ80" s="1237"/>
      <c r="CR80" s="1237"/>
      <c r="CS80" s="1237"/>
      <c r="CT80" s="1237"/>
      <c r="CU80" s="1237"/>
      <c r="CV80" s="1237"/>
      <c r="CW80" s="1237"/>
      <c r="CX80" s="1237"/>
      <c r="CY80" s="1237"/>
      <c r="CZ80" s="1237"/>
      <c r="DA80" s="1237"/>
      <c r="DB80" s="1237"/>
      <c r="DC80" s="1237"/>
      <c r="DD80" s="1237"/>
      <c r="DE80" s="1237"/>
      <c r="DF80" s="1237"/>
      <c r="DG80" s="1237"/>
      <c r="DH80" s="1237"/>
      <c r="DI80" s="1237"/>
      <c r="DJ80" s="1237"/>
      <c r="DK80" s="1237"/>
      <c r="DL80" s="1237"/>
      <c r="DM80" s="1237"/>
      <c r="DN80" s="1237"/>
      <c r="DO80" s="1237"/>
      <c r="DP80" s="1237"/>
      <c r="DQ80" s="1237"/>
      <c r="DR80" s="1237"/>
      <c r="DS80" s="1237"/>
      <c r="DT80" s="1237"/>
      <c r="DU80" s="1237"/>
      <c r="DV80" s="1237"/>
      <c r="DW80" s="1237"/>
      <c r="DX80" s="1237"/>
      <c r="DY80" s="1237"/>
      <c r="DZ80" s="1237"/>
      <c r="EA80" s="1237"/>
      <c r="EB80" s="1237"/>
      <c r="EC80" s="1237"/>
      <c r="ED80" s="1237"/>
      <c r="EE80" s="1237"/>
      <c r="EF80" s="1237"/>
      <c r="EG80" s="1237"/>
      <c r="EH80" s="1237"/>
      <c r="EI80" s="1237"/>
      <c r="EJ80" s="1237"/>
      <c r="EK80" s="1237"/>
      <c r="EL80" s="1237"/>
      <c r="EM80" s="1237"/>
      <c r="EN80" s="1237"/>
      <c r="EO80" s="1237"/>
      <c r="EP80" s="1237"/>
      <c r="EQ80" s="1237"/>
      <c r="ER80" s="1237"/>
      <c r="ES80" s="1237"/>
      <c r="ET80" s="1237"/>
      <c r="EU80" s="1237"/>
      <c r="EV80" s="1237"/>
      <c r="EW80" s="1237"/>
      <c r="EX80" s="1237"/>
      <c r="EY80" s="1237"/>
      <c r="EZ80" s="1237"/>
      <c r="FA80" s="1237"/>
      <c r="FB80" s="1237"/>
      <c r="FC80" s="1237"/>
      <c r="FD80" s="1237"/>
      <c r="FE80" s="1237"/>
      <c r="FF80" s="1237"/>
      <c r="FG80" s="1237"/>
      <c r="FH80" s="1237"/>
      <c r="FI80" s="1237"/>
      <c r="FJ80" s="1237"/>
      <c r="FK80" s="1237"/>
      <c r="FL80" s="1237"/>
      <c r="FM80" s="1237"/>
      <c r="FN80" s="1237"/>
      <c r="FO80" s="1237"/>
      <c r="FP80" s="1237"/>
      <c r="FQ80" s="1237"/>
      <c r="FR80" s="1237"/>
      <c r="FS80" s="1237"/>
      <c r="FT80" s="1237"/>
      <c r="FU80" s="1237"/>
      <c r="FV80" s="1237"/>
      <c r="FW80" s="1237"/>
      <c r="FX80" s="1237"/>
      <c r="FY80" s="1237"/>
      <c r="FZ80" s="1237"/>
      <c r="GA80" s="1237"/>
      <c r="GB80" s="1237"/>
      <c r="GC80" s="1237"/>
      <c r="GD80" s="1237"/>
      <c r="GE80" s="1237"/>
      <c r="GF80" s="1237"/>
      <c r="GG80" s="1237"/>
      <c r="GH80" s="1237"/>
      <c r="GI80" s="1237"/>
      <c r="GJ80" s="1237"/>
      <c r="GK80" s="1237"/>
      <c r="GL80" s="1237"/>
      <c r="GM80" s="1237"/>
      <c r="GN80" s="1237"/>
      <c r="GO80" s="1237"/>
      <c r="GP80" s="1237"/>
      <c r="GQ80" s="1237"/>
    </row>
    <row r="81" spans="1:199" ht="12" customHeight="1">
      <c r="A81" s="1022"/>
      <c r="B81" s="1022"/>
      <c r="C81" s="1022"/>
      <c r="D81" s="1022"/>
      <c r="E81" s="1022"/>
      <c r="F81" s="1022"/>
      <c r="G81" s="1022"/>
      <c r="H81" s="1022"/>
      <c r="I81" s="1022"/>
      <c r="J81" s="1022"/>
      <c r="K81" s="1022"/>
      <c r="L81" s="1022"/>
      <c r="M81" s="1022"/>
      <c r="N81" s="681"/>
      <c r="O81" s="917" t="str">
        <f>[1]Forecasts!A84</f>
        <v xml:space="preserve">  Net Income </v>
      </c>
      <c r="P81" s="917">
        <f>'Forecasts '!B77</f>
        <v>65352</v>
      </c>
      <c r="Q81" s="917">
        <f>'Forecasts '!C77</f>
        <v>26235</v>
      </c>
      <c r="R81" s="917">
        <f>'Forecasts '!D77</f>
        <v>-68069</v>
      </c>
      <c r="S81" s="917">
        <f>'Forecasts '!E77</f>
        <v>-38957.234766449983</v>
      </c>
      <c r="T81" s="917">
        <f>'Forecasts '!F77</f>
        <v>-31223.901365904039</v>
      </c>
      <c r="U81" s="917">
        <f>'Forecasts '!G77</f>
        <v>-21363.161289687927</v>
      </c>
      <c r="V81" s="917">
        <f>'Forecasts '!H77</f>
        <v>-10781.606008194756</v>
      </c>
      <c r="W81" s="917">
        <f>'Forecasts '!I77</f>
        <v>-995.82805393983267</v>
      </c>
      <c r="X81" s="917">
        <f>'Forecasts '!J77</f>
        <v>-1025.7028955580074</v>
      </c>
      <c r="Y81" s="705"/>
      <c r="Z81" s="705"/>
      <c r="AA81" s="705"/>
      <c r="AB81" s="1111"/>
      <c r="AC81" s="1239"/>
      <c r="AK81" s="709"/>
      <c r="AL81" s="1032"/>
      <c r="AM81" s="1032"/>
      <c r="AN81" s="1032"/>
      <c r="AO81" s="1032"/>
      <c r="AP81" s="742"/>
      <c r="AQ81" s="681"/>
      <c r="AR81" s="1237"/>
      <c r="AS81" s="1237"/>
      <c r="AT81" s="1237"/>
      <c r="AU81" s="1237"/>
      <c r="AV81" s="1237"/>
      <c r="AW81" s="1237"/>
      <c r="AX81" s="1237"/>
      <c r="AY81" s="1237"/>
      <c r="AZ81" s="1237"/>
      <c r="BA81" s="1237"/>
      <c r="BB81" s="1237"/>
      <c r="BC81" s="1237"/>
      <c r="BD81" s="1237"/>
      <c r="BE81" s="1237"/>
      <c r="BF81" s="1237"/>
      <c r="BG81" s="1237"/>
      <c r="BH81" s="1237"/>
      <c r="BI81" s="1237"/>
      <c r="BJ81" s="1237"/>
      <c r="BK81" s="1237"/>
      <c r="BL81" s="1237"/>
      <c r="BM81" s="1237"/>
      <c r="BN81" s="1237"/>
      <c r="BO81" s="1237"/>
      <c r="BP81" s="1237"/>
      <c r="BQ81" s="1237"/>
      <c r="BR81" s="1237"/>
      <c r="BS81" s="1237"/>
      <c r="BT81" s="1237"/>
      <c r="BU81" s="1237"/>
      <c r="BV81" s="1237"/>
      <c r="BW81" s="1237"/>
      <c r="BX81" s="1237"/>
      <c r="BY81" s="1237"/>
      <c r="BZ81" s="1237"/>
      <c r="CA81" s="1237"/>
      <c r="CB81" s="1237"/>
      <c r="CC81" s="1237"/>
      <c r="CD81" s="1237"/>
      <c r="CE81" s="1237"/>
      <c r="CF81" s="1237"/>
      <c r="CG81" s="1237"/>
      <c r="CH81" s="1237"/>
      <c r="CI81" s="1237"/>
      <c r="CJ81" s="1237"/>
      <c r="CK81" s="1237"/>
      <c r="CL81" s="1237"/>
      <c r="CM81" s="1237"/>
      <c r="CN81" s="1237"/>
      <c r="CO81" s="1237"/>
      <c r="CP81" s="1237"/>
      <c r="CQ81" s="1237"/>
      <c r="CR81" s="1237"/>
      <c r="CS81" s="1237"/>
      <c r="CT81" s="1237"/>
      <c r="CU81" s="1237"/>
      <c r="CV81" s="1237"/>
      <c r="CW81" s="1237"/>
      <c r="CX81" s="1237"/>
      <c r="CY81" s="1237"/>
      <c r="CZ81" s="1237"/>
      <c r="DA81" s="1237"/>
      <c r="DB81" s="1237"/>
      <c r="DC81" s="1237"/>
      <c r="DD81" s="1237"/>
      <c r="DE81" s="1237"/>
      <c r="DF81" s="1237"/>
      <c r="DG81" s="1237"/>
      <c r="DH81" s="1237"/>
      <c r="DI81" s="1237"/>
      <c r="DJ81" s="1237"/>
      <c r="DK81" s="1237"/>
      <c r="DL81" s="1237"/>
      <c r="DM81" s="1237"/>
      <c r="DN81" s="1237"/>
      <c r="DO81" s="1237"/>
      <c r="DP81" s="1237"/>
      <c r="DQ81" s="1237"/>
      <c r="DR81" s="1237"/>
      <c r="DS81" s="1237"/>
      <c r="DT81" s="1237"/>
      <c r="DU81" s="1237"/>
      <c r="DV81" s="1237"/>
      <c r="DW81" s="1237"/>
      <c r="DX81" s="1237"/>
      <c r="DY81" s="1237"/>
      <c r="DZ81" s="1237"/>
      <c r="EA81" s="1237"/>
      <c r="EB81" s="1237"/>
      <c r="EC81" s="1237"/>
      <c r="ED81" s="1237"/>
      <c r="EE81" s="1237"/>
      <c r="EF81" s="1237"/>
      <c r="EG81" s="1237"/>
      <c r="EH81" s="1237"/>
      <c r="EI81" s="1237"/>
      <c r="EJ81" s="1237"/>
      <c r="EK81" s="1237"/>
      <c r="EL81" s="1237"/>
      <c r="EM81" s="1237"/>
      <c r="EN81" s="1237"/>
      <c r="EO81" s="1237"/>
      <c r="EP81" s="1237"/>
      <c r="EQ81" s="1237"/>
      <c r="ER81" s="1237"/>
      <c r="ES81" s="1237"/>
      <c r="ET81" s="1237"/>
      <c r="EU81" s="1237"/>
      <c r="EV81" s="1237"/>
      <c r="EW81" s="1237"/>
      <c r="EX81" s="1237"/>
      <c r="EY81" s="1237"/>
      <c r="EZ81" s="1237"/>
      <c r="FA81" s="1237"/>
      <c r="FB81" s="1237"/>
      <c r="FC81" s="1237"/>
      <c r="FD81" s="1237"/>
      <c r="FE81" s="1237"/>
      <c r="FF81" s="1237"/>
      <c r="FG81" s="1237"/>
      <c r="FH81" s="1237"/>
      <c r="FI81" s="1237"/>
      <c r="FJ81" s="1237"/>
      <c r="FK81" s="1237"/>
      <c r="FL81" s="1237"/>
      <c r="FM81" s="1237"/>
      <c r="FN81" s="1237"/>
      <c r="FO81" s="1237"/>
      <c r="FP81" s="1237"/>
      <c r="FQ81" s="1237"/>
      <c r="FR81" s="1237"/>
      <c r="FS81" s="1237"/>
      <c r="FT81" s="1237"/>
      <c r="FU81" s="1237"/>
      <c r="FV81" s="1237"/>
      <c r="FW81" s="1237"/>
      <c r="FX81" s="1237"/>
      <c r="FY81" s="1237"/>
      <c r="FZ81" s="1237"/>
      <c r="GA81" s="1237"/>
      <c r="GB81" s="1237"/>
      <c r="GC81" s="1237"/>
      <c r="GD81" s="1237"/>
      <c r="GE81" s="1237"/>
      <c r="GF81" s="1237"/>
      <c r="GG81" s="1237"/>
      <c r="GH81" s="1237"/>
      <c r="GI81" s="1237"/>
      <c r="GJ81" s="1237"/>
      <c r="GK81" s="1237"/>
      <c r="GL81" s="1237"/>
      <c r="GM81" s="1237"/>
      <c r="GN81" s="1237"/>
      <c r="GO81" s="1237"/>
      <c r="GP81" s="1237"/>
      <c r="GQ81" s="1237"/>
    </row>
    <row r="82" spans="1:199" ht="12" customHeight="1">
      <c r="A82" s="1022"/>
      <c r="B82" s="1022"/>
      <c r="C82" s="1022"/>
      <c r="D82" s="1022"/>
      <c r="E82" s="1022"/>
      <c r="F82" s="1022"/>
      <c r="G82" s="1022"/>
      <c r="H82" s="1022"/>
      <c r="I82" s="1022"/>
      <c r="J82" s="1022"/>
      <c r="K82" s="1022"/>
      <c r="L82" s="1022"/>
      <c r="M82" s="1022"/>
      <c r="N82" s="681"/>
      <c r="O82" s="743"/>
      <c r="P82" s="743"/>
      <c r="Q82" s="743"/>
      <c r="R82" s="743"/>
      <c r="S82" s="743"/>
      <c r="T82" s="743"/>
      <c r="U82" s="743"/>
      <c r="V82" s="743"/>
      <c r="W82" s="743"/>
      <c r="X82" s="743"/>
      <c r="AB82" s="1111"/>
      <c r="AC82" s="1239"/>
      <c r="AK82" s="709"/>
      <c r="AL82" s="748"/>
      <c r="AM82" s="748"/>
      <c r="AN82" s="748"/>
      <c r="AO82" s="748"/>
      <c r="AP82" s="742"/>
      <c r="AQ82" s="681"/>
      <c r="AR82" s="1237"/>
      <c r="AS82" s="1237"/>
      <c r="AT82" s="1237"/>
      <c r="AU82" s="1237"/>
      <c r="AV82" s="1237"/>
      <c r="AW82" s="1237"/>
      <c r="AX82" s="1237"/>
      <c r="AY82" s="1237"/>
      <c r="AZ82" s="1237"/>
      <c r="BA82" s="1237"/>
      <c r="BB82" s="1237"/>
      <c r="BC82" s="1237"/>
      <c r="BD82" s="1237"/>
      <c r="BE82" s="1237"/>
      <c r="BF82" s="1237"/>
      <c r="BG82" s="1237"/>
      <c r="BH82" s="1237"/>
      <c r="BI82" s="1237"/>
      <c r="BJ82" s="1237"/>
      <c r="BK82" s="1237"/>
      <c r="BL82" s="1237"/>
      <c r="BM82" s="1237"/>
      <c r="BN82" s="1237"/>
      <c r="BO82" s="1237"/>
      <c r="BP82" s="1237"/>
      <c r="BQ82" s="1237"/>
      <c r="BR82" s="1237"/>
      <c r="BS82" s="1237"/>
      <c r="BT82" s="1237"/>
      <c r="BU82" s="1237"/>
      <c r="BV82" s="1237"/>
      <c r="BW82" s="1237"/>
      <c r="BX82" s="1237"/>
      <c r="BY82" s="1237"/>
      <c r="BZ82" s="1237"/>
      <c r="CA82" s="1237"/>
      <c r="CB82" s="1237"/>
      <c r="CC82" s="1237"/>
      <c r="CD82" s="1237"/>
      <c r="CE82" s="1237"/>
      <c r="CF82" s="1237"/>
      <c r="CG82" s="1237"/>
      <c r="CH82" s="1237"/>
      <c r="CI82" s="1237"/>
      <c r="CJ82" s="1237"/>
      <c r="CK82" s="1237"/>
      <c r="CL82" s="1237"/>
      <c r="CM82" s="1237"/>
      <c r="CN82" s="1237"/>
      <c r="CO82" s="1237"/>
      <c r="CP82" s="1237"/>
      <c r="CQ82" s="1237"/>
      <c r="CR82" s="1237"/>
      <c r="CS82" s="1237"/>
      <c r="CT82" s="1237"/>
      <c r="CU82" s="1237"/>
      <c r="CV82" s="1237"/>
      <c r="CW82" s="1237"/>
      <c r="CX82" s="1237"/>
      <c r="CY82" s="1237"/>
      <c r="CZ82" s="1237"/>
      <c r="DA82" s="1237"/>
      <c r="DB82" s="1237"/>
      <c r="DC82" s="1237"/>
      <c r="DD82" s="1237"/>
      <c r="DE82" s="1237"/>
      <c r="DF82" s="1237"/>
      <c r="DG82" s="1237"/>
      <c r="DH82" s="1237"/>
      <c r="DI82" s="1237"/>
      <c r="DJ82" s="1237"/>
      <c r="DK82" s="1237"/>
      <c r="DL82" s="1237"/>
      <c r="DM82" s="1237"/>
      <c r="DN82" s="1237"/>
      <c r="DO82" s="1237"/>
      <c r="DP82" s="1237"/>
      <c r="DQ82" s="1237"/>
      <c r="DR82" s="1237"/>
      <c r="DS82" s="1237"/>
      <c r="DT82" s="1237"/>
      <c r="DU82" s="1237"/>
      <c r="DV82" s="1237"/>
      <c r="DW82" s="1237"/>
      <c r="DX82" s="1237"/>
      <c r="DY82" s="1237"/>
      <c r="DZ82" s="1237"/>
      <c r="EA82" s="1237"/>
      <c r="EB82" s="1237"/>
      <c r="EC82" s="1237"/>
      <c r="ED82" s="1237"/>
      <c r="EE82" s="1237"/>
      <c r="EF82" s="1237"/>
      <c r="EG82" s="1237"/>
      <c r="EH82" s="1237"/>
      <c r="EI82" s="1237"/>
      <c r="EJ82" s="1237"/>
      <c r="EK82" s="1237"/>
      <c r="EL82" s="1237"/>
      <c r="EM82" s="1237"/>
      <c r="EN82" s="1237"/>
      <c r="EO82" s="1237"/>
      <c r="EP82" s="1237"/>
      <c r="EQ82" s="1237"/>
      <c r="ER82" s="1237"/>
      <c r="ES82" s="1237"/>
      <c r="ET82" s="1237"/>
      <c r="EU82" s="1237"/>
      <c r="EV82" s="1237"/>
      <c r="EW82" s="1237"/>
      <c r="EX82" s="1237"/>
      <c r="EY82" s="1237"/>
      <c r="EZ82" s="1237"/>
      <c r="FA82" s="1237"/>
      <c r="FB82" s="1237"/>
      <c r="FC82" s="1237"/>
      <c r="FD82" s="1237"/>
      <c r="FE82" s="1237"/>
      <c r="FF82" s="1237"/>
      <c r="FG82" s="1237"/>
      <c r="FH82" s="1237"/>
      <c r="FI82" s="1237"/>
      <c r="FJ82" s="1237"/>
      <c r="FK82" s="1237"/>
      <c r="FL82" s="1237"/>
      <c r="FM82" s="1237"/>
      <c r="FN82" s="1237"/>
      <c r="FO82" s="1237"/>
      <c r="FP82" s="1237"/>
      <c r="FQ82" s="1237"/>
      <c r="FR82" s="1237"/>
      <c r="FS82" s="1237"/>
      <c r="FT82" s="1237"/>
      <c r="FU82" s="1237"/>
      <c r="FV82" s="1237"/>
      <c r="FW82" s="1237"/>
      <c r="FX82" s="1237"/>
      <c r="FY82" s="1237"/>
      <c r="FZ82" s="1237"/>
      <c r="GA82" s="1237"/>
      <c r="GB82" s="1237"/>
      <c r="GC82" s="1237"/>
      <c r="GD82" s="1237"/>
      <c r="GE82" s="1237"/>
      <c r="GF82" s="1237"/>
      <c r="GG82" s="1237"/>
      <c r="GH82" s="1237"/>
      <c r="GI82" s="1237"/>
      <c r="GJ82" s="1237"/>
      <c r="GK82" s="1237"/>
      <c r="GL82" s="1237"/>
      <c r="GM82" s="1237"/>
      <c r="GN82" s="1237"/>
      <c r="GO82" s="1237"/>
      <c r="GP82" s="1237"/>
      <c r="GQ82" s="1237"/>
    </row>
    <row r="83" spans="1:199" ht="12.95" customHeight="1">
      <c r="A83" s="815" t="s">
        <v>1135</v>
      </c>
      <c r="B83" s="815" t="s">
        <v>1136</v>
      </c>
      <c r="C83" s="816"/>
      <c r="D83" s="817" t="s">
        <v>206</v>
      </c>
      <c r="E83" s="817" t="s">
        <v>1137</v>
      </c>
      <c r="F83" s="816"/>
      <c r="G83" s="816"/>
      <c r="H83" s="815" t="s">
        <v>1138</v>
      </c>
      <c r="I83" s="816"/>
      <c r="J83" s="816"/>
      <c r="K83" s="818" t="s">
        <v>1139</v>
      </c>
      <c r="L83" s="816"/>
      <c r="M83" s="816"/>
      <c r="N83" s="681"/>
      <c r="O83" s="912" t="s">
        <v>1134</v>
      </c>
      <c r="P83" s="912">
        <f t="shared" ref="P83:X83" si="0">P65</f>
        <v>2022</v>
      </c>
      <c r="Q83" s="912">
        <f t="shared" si="0"/>
        <v>2023</v>
      </c>
      <c r="R83" s="912">
        <f t="shared" si="0"/>
        <v>2024</v>
      </c>
      <c r="S83" s="912">
        <f t="shared" si="0"/>
        <v>2025</v>
      </c>
      <c r="T83" s="912">
        <f t="shared" si="0"/>
        <v>2026</v>
      </c>
      <c r="U83" s="912">
        <f t="shared" si="0"/>
        <v>2027</v>
      </c>
      <c r="V83" s="912">
        <f t="shared" si="0"/>
        <v>2028</v>
      </c>
      <c r="W83" s="912">
        <f t="shared" si="0"/>
        <v>2029</v>
      </c>
      <c r="X83" s="912">
        <f t="shared" si="0"/>
        <v>2030</v>
      </c>
      <c r="AB83" s="1111"/>
      <c r="AC83" s="1239"/>
      <c r="AP83" s="681"/>
      <c r="AQ83" s="681"/>
      <c r="AR83" s="1237"/>
      <c r="AS83" s="1237"/>
      <c r="AT83" s="1237"/>
      <c r="AU83" s="1237"/>
      <c r="AV83" s="1237"/>
      <c r="AW83" s="1237"/>
      <c r="AX83" s="1237"/>
      <c r="AY83" s="1237"/>
      <c r="AZ83" s="1237"/>
      <c r="BA83" s="1237"/>
      <c r="BB83" s="1237"/>
      <c r="BC83" s="1237"/>
      <c r="BD83" s="1237"/>
      <c r="BE83" s="1237"/>
      <c r="BF83" s="1237"/>
      <c r="BG83" s="1237"/>
      <c r="BH83" s="1237"/>
      <c r="BI83" s="1237"/>
      <c r="BJ83" s="1237"/>
      <c r="BK83" s="1237"/>
      <c r="BL83" s="1237"/>
      <c r="BM83" s="1237"/>
      <c r="BN83" s="1237"/>
      <c r="BO83" s="1237"/>
      <c r="BP83" s="1237"/>
      <c r="BQ83" s="1237"/>
      <c r="BR83" s="1237"/>
      <c r="BS83" s="1237"/>
      <c r="BT83" s="1237"/>
      <c r="BU83" s="1237"/>
      <c r="BV83" s="1237"/>
      <c r="BW83" s="1237"/>
      <c r="BX83" s="1237"/>
      <c r="BY83" s="1237"/>
      <c r="BZ83" s="1237"/>
      <c r="CA83" s="1237"/>
      <c r="CB83" s="1237"/>
      <c r="CC83" s="1237"/>
      <c r="CD83" s="1237"/>
      <c r="CE83" s="1237"/>
      <c r="CF83" s="1237"/>
      <c r="CG83" s="1237"/>
      <c r="CH83" s="1237"/>
      <c r="CI83" s="1237"/>
      <c r="CJ83" s="1237"/>
      <c r="CK83" s="1237"/>
      <c r="CL83" s="1237"/>
      <c r="CM83" s="1237"/>
      <c r="CN83" s="1237"/>
      <c r="CO83" s="1237"/>
      <c r="CP83" s="1237"/>
      <c r="CQ83" s="1237"/>
      <c r="CR83" s="1237"/>
      <c r="CS83" s="1237"/>
      <c r="CT83" s="1237"/>
      <c r="CU83" s="1237"/>
      <c r="CV83" s="1237"/>
      <c r="CW83" s="1237"/>
      <c r="CX83" s="1237"/>
      <c r="CY83" s="1237"/>
      <c r="CZ83" s="1237"/>
      <c r="DA83" s="1237"/>
      <c r="DB83" s="1237"/>
      <c r="DC83" s="1237"/>
      <c r="DD83" s="1237"/>
      <c r="DE83" s="1237"/>
      <c r="DF83" s="1237"/>
      <c r="DG83" s="1237"/>
      <c r="DH83" s="1237"/>
      <c r="DI83" s="1237"/>
      <c r="DJ83" s="1237"/>
      <c r="DK83" s="1237"/>
      <c r="DL83" s="1237"/>
      <c r="DM83" s="1237"/>
      <c r="DN83" s="1237"/>
      <c r="DO83" s="1237"/>
      <c r="DP83" s="1237"/>
      <c r="DQ83" s="1237"/>
      <c r="DR83" s="1237"/>
      <c r="DS83" s="1237"/>
      <c r="DT83" s="1237"/>
      <c r="DU83" s="1237"/>
      <c r="DV83" s="1237"/>
      <c r="DW83" s="1237"/>
      <c r="DX83" s="1237"/>
      <c r="DY83" s="1237"/>
      <c r="DZ83" s="1237"/>
      <c r="EA83" s="1237"/>
      <c r="EB83" s="1237"/>
      <c r="EC83" s="1237"/>
      <c r="ED83" s="1237"/>
      <c r="EE83" s="1237"/>
      <c r="EF83" s="1237"/>
      <c r="EG83" s="1237"/>
      <c r="EH83" s="1237"/>
      <c r="EI83" s="1237"/>
      <c r="EJ83" s="1237"/>
      <c r="EK83" s="1237"/>
      <c r="EL83" s="1237"/>
      <c r="EM83" s="1237"/>
      <c r="EN83" s="1237"/>
      <c r="EO83" s="1237"/>
      <c r="EP83" s="1237"/>
      <c r="EQ83" s="1237"/>
      <c r="ER83" s="1237"/>
      <c r="ES83" s="1237"/>
      <c r="ET83" s="1237"/>
      <c r="EU83" s="1237"/>
      <c r="EV83" s="1237"/>
      <c r="EW83" s="1237"/>
      <c r="EX83" s="1237"/>
      <c r="EY83" s="1237"/>
      <c r="EZ83" s="1237"/>
      <c r="FA83" s="1237"/>
      <c r="FB83" s="1237"/>
      <c r="FC83" s="1237"/>
      <c r="FD83" s="1237"/>
      <c r="FE83" s="1237"/>
      <c r="FF83" s="1237"/>
      <c r="FG83" s="1237"/>
      <c r="FH83" s="1237"/>
      <c r="FI83" s="1237"/>
      <c r="FJ83" s="1237"/>
      <c r="FK83" s="1237"/>
      <c r="FL83" s="1237"/>
      <c r="FM83" s="1237"/>
      <c r="FN83" s="1237"/>
      <c r="FO83" s="1237"/>
      <c r="FP83" s="1237"/>
      <c r="FQ83" s="1237"/>
      <c r="FR83" s="1237"/>
      <c r="FS83" s="1237"/>
      <c r="FT83" s="1237"/>
      <c r="FU83" s="1237"/>
      <c r="FV83" s="1237"/>
      <c r="FW83" s="1237"/>
      <c r="FX83" s="1237"/>
      <c r="FY83" s="1237"/>
      <c r="FZ83" s="1237"/>
      <c r="GA83" s="1237"/>
      <c r="GB83" s="1237"/>
      <c r="GC83" s="1237"/>
      <c r="GD83" s="1237"/>
      <c r="GE83" s="1237"/>
      <c r="GF83" s="1237"/>
      <c r="GG83" s="1237"/>
      <c r="GH83" s="1237"/>
      <c r="GI83" s="1237"/>
      <c r="GJ83" s="1237"/>
      <c r="GK83" s="1237"/>
      <c r="GL83" s="1237"/>
      <c r="GM83" s="1237"/>
      <c r="GN83" s="1237"/>
      <c r="GO83" s="1237"/>
      <c r="GP83" s="1237"/>
      <c r="GQ83" s="1237"/>
    </row>
    <row r="84" spans="1:199" ht="12.95" customHeight="1">
      <c r="A84" s="819" t="s">
        <v>1171</v>
      </c>
      <c r="B84" s="819" t="s">
        <v>1172</v>
      </c>
      <c r="C84" s="820"/>
      <c r="D84" s="820" t="s">
        <v>1173</v>
      </c>
      <c r="E84" s="821" t="s">
        <v>1174</v>
      </c>
      <c r="F84" s="785"/>
      <c r="G84" s="785"/>
      <c r="H84" s="819" t="s">
        <v>1141</v>
      </c>
      <c r="I84" s="785"/>
      <c r="J84" s="822"/>
      <c r="K84" s="819" t="s">
        <v>1180</v>
      </c>
      <c r="L84" s="822"/>
      <c r="M84" s="785"/>
      <c r="N84" s="681"/>
      <c r="O84" s="918" t="s">
        <v>1140</v>
      </c>
      <c r="P84" s="743"/>
      <c r="Q84" s="743"/>
      <c r="R84" s="743"/>
      <c r="S84" s="743"/>
      <c r="T84" s="743"/>
      <c r="U84" s="743"/>
      <c r="V84" s="743"/>
      <c r="W84" s="743"/>
      <c r="X84" s="743"/>
      <c r="AB84" s="1111"/>
      <c r="AC84" s="1239"/>
      <c r="AP84" s="742"/>
      <c r="AQ84" s="681"/>
      <c r="AR84" s="1237"/>
      <c r="AS84" s="1237"/>
      <c r="AT84" s="1237"/>
      <c r="AU84" s="1237"/>
      <c r="AV84" s="1237"/>
      <c r="AW84" s="1237"/>
      <c r="AX84" s="1237"/>
      <c r="AY84" s="1237"/>
      <c r="AZ84" s="1237"/>
      <c r="BA84" s="1237"/>
      <c r="BB84" s="1237"/>
      <c r="BC84" s="1237"/>
      <c r="BD84" s="1237"/>
      <c r="BE84" s="1237"/>
      <c r="BF84" s="1237"/>
      <c r="BG84" s="1237"/>
      <c r="BH84" s="1237"/>
      <c r="BI84" s="1237"/>
      <c r="BJ84" s="1237"/>
      <c r="BK84" s="1237"/>
      <c r="BL84" s="1237"/>
      <c r="BM84" s="1237"/>
      <c r="BN84" s="1237"/>
      <c r="BO84" s="1237"/>
      <c r="BP84" s="1237"/>
      <c r="BQ84" s="1237"/>
      <c r="BR84" s="1237"/>
      <c r="BS84" s="1237"/>
      <c r="BT84" s="1237"/>
      <c r="BU84" s="1237"/>
      <c r="BV84" s="1237"/>
      <c r="BW84" s="1237"/>
      <c r="BX84" s="1237"/>
      <c r="BY84" s="1237"/>
      <c r="BZ84" s="1237"/>
      <c r="CA84" s="1237"/>
      <c r="CB84" s="1237"/>
      <c r="CC84" s="1237"/>
      <c r="CD84" s="1237"/>
      <c r="CE84" s="1237"/>
      <c r="CF84" s="1237"/>
      <c r="CG84" s="1237"/>
      <c r="CH84" s="1237"/>
      <c r="CI84" s="1237"/>
      <c r="CJ84" s="1237"/>
      <c r="CK84" s="1237"/>
      <c r="CL84" s="1237"/>
      <c r="CM84" s="1237"/>
      <c r="CN84" s="1237"/>
      <c r="CO84" s="1237"/>
      <c r="CP84" s="1237"/>
      <c r="CQ84" s="1237"/>
      <c r="CR84" s="1237"/>
      <c r="CS84" s="1237"/>
      <c r="CT84" s="1237"/>
      <c r="CU84" s="1237"/>
      <c r="CV84" s="1237"/>
      <c r="CW84" s="1237"/>
      <c r="CX84" s="1237"/>
      <c r="CY84" s="1237"/>
      <c r="CZ84" s="1237"/>
      <c r="DA84" s="1237"/>
      <c r="DB84" s="1237"/>
      <c r="DC84" s="1237"/>
      <c r="DD84" s="1237"/>
      <c r="DE84" s="1237"/>
      <c r="DF84" s="1237"/>
      <c r="DG84" s="1237"/>
      <c r="DH84" s="1237"/>
      <c r="DI84" s="1237"/>
      <c r="DJ84" s="1237"/>
      <c r="DK84" s="1237"/>
      <c r="DL84" s="1237"/>
      <c r="DM84" s="1237"/>
      <c r="DN84" s="1237"/>
      <c r="DO84" s="1237"/>
      <c r="DP84" s="1237"/>
      <c r="DQ84" s="1237"/>
      <c r="DR84" s="1237"/>
      <c r="DS84" s="1237"/>
      <c r="DT84" s="1237"/>
      <c r="DU84" s="1237"/>
      <c r="DV84" s="1237"/>
      <c r="DW84" s="1237"/>
      <c r="DX84" s="1237"/>
      <c r="DY84" s="1237"/>
      <c r="DZ84" s="1237"/>
      <c r="EA84" s="1237"/>
      <c r="EB84" s="1237"/>
      <c r="EC84" s="1237"/>
      <c r="ED84" s="1237"/>
      <c r="EE84" s="1237"/>
      <c r="EF84" s="1237"/>
      <c r="EG84" s="1237"/>
      <c r="EH84" s="1237"/>
      <c r="EI84" s="1237"/>
      <c r="EJ84" s="1237"/>
      <c r="EK84" s="1237"/>
      <c r="EL84" s="1237"/>
      <c r="EM84" s="1237"/>
      <c r="EN84" s="1237"/>
      <c r="EO84" s="1237"/>
      <c r="EP84" s="1237"/>
      <c r="EQ84" s="1237"/>
      <c r="ER84" s="1237"/>
      <c r="ES84" s="1237"/>
      <c r="ET84" s="1237"/>
      <c r="EU84" s="1237"/>
      <c r="EV84" s="1237"/>
      <c r="EW84" s="1237"/>
      <c r="EX84" s="1237"/>
      <c r="EY84" s="1237"/>
      <c r="EZ84" s="1237"/>
      <c r="FA84" s="1237"/>
      <c r="FB84" s="1237"/>
      <c r="FC84" s="1237"/>
      <c r="FD84" s="1237"/>
      <c r="FE84" s="1237"/>
      <c r="FF84" s="1237"/>
      <c r="FG84" s="1237"/>
      <c r="FH84" s="1237"/>
      <c r="FI84" s="1237"/>
      <c r="FJ84" s="1237"/>
      <c r="FK84" s="1237"/>
      <c r="FL84" s="1237"/>
      <c r="FM84" s="1237"/>
      <c r="FN84" s="1237"/>
      <c r="FO84" s="1237"/>
      <c r="FP84" s="1237"/>
      <c r="FQ84" s="1237"/>
      <c r="FR84" s="1237"/>
      <c r="FS84" s="1237"/>
      <c r="FT84" s="1237"/>
      <c r="FU84" s="1237"/>
      <c r="FV84" s="1237"/>
      <c r="FW84" s="1237"/>
      <c r="FX84" s="1237"/>
      <c r="FY84" s="1237"/>
      <c r="FZ84" s="1237"/>
      <c r="GA84" s="1237"/>
      <c r="GB84" s="1237"/>
      <c r="GC84" s="1237"/>
      <c r="GD84" s="1237"/>
      <c r="GE84" s="1237"/>
      <c r="GF84" s="1237"/>
      <c r="GG84" s="1237"/>
      <c r="GH84" s="1237"/>
      <c r="GI84" s="1237"/>
      <c r="GJ84" s="1237"/>
      <c r="GK84" s="1237"/>
      <c r="GL84" s="1237"/>
      <c r="GM84" s="1237"/>
      <c r="GN84" s="1237"/>
      <c r="GO84" s="1237"/>
      <c r="GP84" s="1237"/>
      <c r="GQ84" s="1237"/>
    </row>
    <row r="85" spans="1:199" ht="24">
      <c r="A85" s="823" t="s">
        <v>1175</v>
      </c>
      <c r="B85" s="819" t="s">
        <v>1176</v>
      </c>
      <c r="C85" s="795"/>
      <c r="D85" s="785" t="s">
        <v>1177</v>
      </c>
      <c r="E85" s="785" t="s">
        <v>1174</v>
      </c>
      <c r="F85" s="785"/>
      <c r="G85" s="785"/>
      <c r="H85" s="819" t="s">
        <v>1141</v>
      </c>
      <c r="I85" s="785"/>
      <c r="J85" s="795"/>
      <c r="K85" s="819" t="s">
        <v>1181</v>
      </c>
      <c r="L85" s="822"/>
      <c r="M85" s="785"/>
      <c r="N85" s="681"/>
      <c r="O85" s="743" t="str">
        <f>'Forecasts '!A108</f>
        <v>Cash and cash equivalents</v>
      </c>
      <c r="P85" s="743">
        <f>'Forecasts '!B108</f>
        <v>391354</v>
      </c>
      <c r="Q85" s="743">
        <f>'Forecasts '!C108</f>
        <v>268988</v>
      </c>
      <c r="R85" s="743">
        <f>'Forecasts '!D108</f>
        <v>238194</v>
      </c>
      <c r="S85" s="743">
        <f>'Forecasts '!E108</f>
        <v>245339.82</v>
      </c>
      <c r="T85" s="743">
        <f>'Forecasts '!F108</f>
        <v>252700.01460000002</v>
      </c>
      <c r="U85" s="743">
        <f>'Forecasts '!G108</f>
        <v>260281.01503800004</v>
      </c>
      <c r="V85" s="743">
        <f>'Forecasts '!H108</f>
        <v>268089.44548914005</v>
      </c>
      <c r="W85" s="743">
        <f>'Forecasts '!I108</f>
        <v>276132.12885381427</v>
      </c>
      <c r="X85" s="743">
        <f>'Forecasts '!J108</f>
        <v>284416.09271942871</v>
      </c>
      <c r="Y85" s="749"/>
      <c r="Z85" s="749"/>
      <c r="AA85" s="749"/>
      <c r="AB85" s="1111"/>
      <c r="AC85" s="1239"/>
      <c r="AP85" s="742"/>
      <c r="AQ85" s="681"/>
      <c r="AR85" s="1237"/>
      <c r="AS85" s="1237"/>
      <c r="AT85" s="1237"/>
      <c r="AU85" s="1237"/>
      <c r="AV85" s="1237"/>
      <c r="AW85" s="1237"/>
      <c r="AX85" s="1237"/>
      <c r="AY85" s="1237"/>
      <c r="AZ85" s="1237"/>
      <c r="BA85" s="1237"/>
      <c r="BB85" s="1237"/>
      <c r="BC85" s="1237"/>
      <c r="BD85" s="1237"/>
      <c r="BE85" s="1237"/>
      <c r="BF85" s="1237"/>
      <c r="BG85" s="1237"/>
      <c r="BH85" s="1237"/>
      <c r="BI85" s="1237"/>
      <c r="BJ85" s="1237"/>
      <c r="BK85" s="1237"/>
      <c r="BL85" s="1237"/>
      <c r="BM85" s="1237"/>
      <c r="BN85" s="1237"/>
      <c r="BO85" s="1237"/>
      <c r="BP85" s="1237"/>
      <c r="BQ85" s="1237"/>
      <c r="BR85" s="1237"/>
      <c r="BS85" s="1237"/>
      <c r="BT85" s="1237"/>
      <c r="BU85" s="1237"/>
      <c r="BV85" s="1237"/>
      <c r="BW85" s="1237"/>
      <c r="BX85" s="1237"/>
      <c r="BY85" s="1237"/>
      <c r="BZ85" s="1237"/>
      <c r="CA85" s="1237"/>
      <c r="CB85" s="1237"/>
      <c r="CC85" s="1237"/>
      <c r="CD85" s="1237"/>
      <c r="CE85" s="1237"/>
      <c r="CF85" s="1237"/>
      <c r="CG85" s="1237"/>
      <c r="CH85" s="1237"/>
      <c r="CI85" s="1237"/>
      <c r="CJ85" s="1237"/>
      <c r="CK85" s="1237"/>
      <c r="CL85" s="1237"/>
      <c r="CM85" s="1237"/>
      <c r="CN85" s="1237"/>
      <c r="CO85" s="1237"/>
      <c r="CP85" s="1237"/>
      <c r="CQ85" s="1237"/>
      <c r="CR85" s="1237"/>
      <c r="CS85" s="1237"/>
      <c r="CT85" s="1237"/>
      <c r="CU85" s="1237"/>
      <c r="CV85" s="1237"/>
      <c r="CW85" s="1237"/>
      <c r="CX85" s="1237"/>
      <c r="CY85" s="1237"/>
      <c r="CZ85" s="1237"/>
      <c r="DA85" s="1237"/>
      <c r="DB85" s="1237"/>
      <c r="DC85" s="1237"/>
      <c r="DD85" s="1237"/>
      <c r="DE85" s="1237"/>
      <c r="DF85" s="1237"/>
      <c r="DG85" s="1237"/>
      <c r="DH85" s="1237"/>
      <c r="DI85" s="1237"/>
      <c r="DJ85" s="1237"/>
      <c r="DK85" s="1237"/>
      <c r="DL85" s="1237"/>
      <c r="DM85" s="1237"/>
      <c r="DN85" s="1237"/>
      <c r="DO85" s="1237"/>
      <c r="DP85" s="1237"/>
      <c r="DQ85" s="1237"/>
      <c r="DR85" s="1237"/>
      <c r="DS85" s="1237"/>
      <c r="DT85" s="1237"/>
      <c r="DU85" s="1237"/>
      <c r="DV85" s="1237"/>
      <c r="DW85" s="1237"/>
      <c r="DX85" s="1237"/>
      <c r="DY85" s="1237"/>
      <c r="DZ85" s="1237"/>
      <c r="EA85" s="1237"/>
      <c r="EB85" s="1237"/>
      <c r="EC85" s="1237"/>
      <c r="ED85" s="1237"/>
      <c r="EE85" s="1237"/>
      <c r="EF85" s="1237"/>
      <c r="EG85" s="1237"/>
      <c r="EH85" s="1237"/>
      <c r="EI85" s="1237"/>
      <c r="EJ85" s="1237"/>
      <c r="EK85" s="1237"/>
      <c r="EL85" s="1237"/>
      <c r="EM85" s="1237"/>
      <c r="EN85" s="1237"/>
      <c r="EO85" s="1237"/>
      <c r="EP85" s="1237"/>
      <c r="EQ85" s="1237"/>
      <c r="ER85" s="1237"/>
      <c r="ES85" s="1237"/>
      <c r="ET85" s="1237"/>
      <c r="EU85" s="1237"/>
      <c r="EV85" s="1237"/>
      <c r="EW85" s="1237"/>
      <c r="EX85" s="1237"/>
      <c r="EY85" s="1237"/>
      <c r="EZ85" s="1237"/>
      <c r="FA85" s="1237"/>
      <c r="FB85" s="1237"/>
      <c r="FC85" s="1237"/>
      <c r="FD85" s="1237"/>
      <c r="FE85" s="1237"/>
      <c r="FF85" s="1237"/>
      <c r="FG85" s="1237"/>
      <c r="FH85" s="1237"/>
      <c r="FI85" s="1237"/>
      <c r="FJ85" s="1237"/>
      <c r="FK85" s="1237"/>
      <c r="FL85" s="1237"/>
      <c r="FM85" s="1237"/>
      <c r="FN85" s="1237"/>
      <c r="FO85" s="1237"/>
      <c r="FP85" s="1237"/>
      <c r="FQ85" s="1237"/>
      <c r="FR85" s="1237"/>
      <c r="FS85" s="1237"/>
      <c r="FT85" s="1237"/>
      <c r="FU85" s="1237"/>
      <c r="FV85" s="1237"/>
      <c r="FW85" s="1237"/>
      <c r="FX85" s="1237"/>
      <c r="FY85" s="1237"/>
      <c r="FZ85" s="1237"/>
      <c r="GA85" s="1237"/>
      <c r="GB85" s="1237"/>
      <c r="GC85" s="1237"/>
      <c r="GD85" s="1237"/>
      <c r="GE85" s="1237"/>
      <c r="GF85" s="1237"/>
      <c r="GG85" s="1237"/>
      <c r="GH85" s="1237"/>
      <c r="GI85" s="1237"/>
      <c r="GJ85" s="1237"/>
      <c r="GK85" s="1237"/>
      <c r="GL85" s="1237"/>
      <c r="GM85" s="1237"/>
      <c r="GN85" s="1237"/>
      <c r="GO85" s="1237"/>
      <c r="GP85" s="1237"/>
      <c r="GQ85" s="1237"/>
    </row>
    <row r="86" spans="1:199" ht="12.95" customHeight="1">
      <c r="A86" s="823" t="s">
        <v>1178</v>
      </c>
      <c r="B86" s="819" t="s">
        <v>1176</v>
      </c>
      <c r="C86" s="820"/>
      <c r="D86" s="820" t="s">
        <v>1177</v>
      </c>
      <c r="E86" s="785" t="s">
        <v>1179</v>
      </c>
      <c r="F86" s="785"/>
      <c r="G86" s="785"/>
      <c r="H86" s="819" t="s">
        <v>1141</v>
      </c>
      <c r="I86" s="785"/>
      <c r="J86" s="824"/>
      <c r="K86" s="819" t="s">
        <v>1182</v>
      </c>
      <c r="L86" s="822"/>
      <c r="M86" s="785"/>
      <c r="N86" s="681"/>
      <c r="O86" s="743" t="str">
        <f>'Forecasts '!A114</f>
        <v>Accounts and notes receivable - net</v>
      </c>
      <c r="P86" s="743">
        <f>'Forecasts '!B114</f>
        <v>94490</v>
      </c>
      <c r="Q86" s="743">
        <f>'Forecasts '!C114</f>
        <v>106821</v>
      </c>
      <c r="R86" s="743">
        <f>'Forecasts '!D114</f>
        <v>84580</v>
      </c>
      <c r="S86" s="743">
        <f>'Forecasts '!E114</f>
        <v>86271.6</v>
      </c>
      <c r="T86" s="743">
        <f>'Forecasts '!F114</f>
        <v>87997.032000000007</v>
      </c>
      <c r="U86" s="743">
        <f>'Forecasts '!G114</f>
        <v>89756.972640000007</v>
      </c>
      <c r="V86" s="743">
        <f>'Forecasts '!H114</f>
        <v>91552.112092800002</v>
      </c>
      <c r="W86" s="743">
        <f>'Forecasts '!I114</f>
        <v>93383.154334656007</v>
      </c>
      <c r="X86" s="743">
        <f>'Forecasts '!J114</f>
        <v>96184.648964695691</v>
      </c>
      <c r="AB86" s="1111"/>
      <c r="AC86" s="1239"/>
      <c r="AP86" s="742"/>
      <c r="AQ86" s="681"/>
      <c r="AR86" s="1237"/>
      <c r="AS86" s="1237"/>
      <c r="AT86" s="1237"/>
      <c r="AU86" s="1237"/>
      <c r="AV86" s="1237"/>
      <c r="AW86" s="1237"/>
      <c r="AX86" s="1237"/>
      <c r="AY86" s="1237"/>
      <c r="AZ86" s="1237"/>
      <c r="BA86" s="1237"/>
      <c r="BB86" s="1237"/>
      <c r="BC86" s="1237"/>
      <c r="BD86" s="1237"/>
      <c r="BE86" s="1237"/>
      <c r="BF86" s="1237"/>
      <c r="BG86" s="1237"/>
      <c r="BH86" s="1237"/>
      <c r="BI86" s="1237"/>
      <c r="BJ86" s="1237"/>
      <c r="BK86" s="1237"/>
      <c r="BL86" s="1237"/>
      <c r="BM86" s="1237"/>
      <c r="BN86" s="1237"/>
      <c r="BO86" s="1237"/>
      <c r="BP86" s="1237"/>
      <c r="BQ86" s="1237"/>
      <c r="BR86" s="1237"/>
      <c r="BS86" s="1237"/>
      <c r="BT86" s="1237"/>
      <c r="BU86" s="1237"/>
      <c r="BV86" s="1237"/>
      <c r="BW86" s="1237"/>
      <c r="BX86" s="1237"/>
      <c r="BY86" s="1237"/>
      <c r="BZ86" s="1237"/>
      <c r="CA86" s="1237"/>
      <c r="CB86" s="1237"/>
      <c r="CC86" s="1237"/>
      <c r="CD86" s="1237"/>
      <c r="CE86" s="1237"/>
      <c r="CF86" s="1237"/>
      <c r="CG86" s="1237"/>
      <c r="CH86" s="1237"/>
      <c r="CI86" s="1237"/>
      <c r="CJ86" s="1237"/>
      <c r="CK86" s="1237"/>
      <c r="CL86" s="1237"/>
      <c r="CM86" s="1237"/>
      <c r="CN86" s="1237"/>
      <c r="CO86" s="1237"/>
      <c r="CP86" s="1237"/>
      <c r="CQ86" s="1237"/>
      <c r="CR86" s="1237"/>
      <c r="CS86" s="1237"/>
      <c r="CT86" s="1237"/>
      <c r="CU86" s="1237"/>
      <c r="CV86" s="1237"/>
      <c r="CW86" s="1237"/>
      <c r="CX86" s="1237"/>
      <c r="CY86" s="1237"/>
      <c r="CZ86" s="1237"/>
      <c r="DA86" s="1237"/>
      <c r="DB86" s="1237"/>
      <c r="DC86" s="1237"/>
      <c r="DD86" s="1237"/>
      <c r="DE86" s="1237"/>
      <c r="DF86" s="1237"/>
      <c r="DG86" s="1237"/>
      <c r="DH86" s="1237"/>
      <c r="DI86" s="1237"/>
      <c r="DJ86" s="1237"/>
      <c r="DK86" s="1237"/>
      <c r="DL86" s="1237"/>
      <c r="DM86" s="1237"/>
      <c r="DN86" s="1237"/>
      <c r="DO86" s="1237"/>
      <c r="DP86" s="1237"/>
      <c r="DQ86" s="1237"/>
      <c r="DR86" s="1237"/>
      <c r="DS86" s="1237"/>
      <c r="DT86" s="1237"/>
      <c r="DU86" s="1237"/>
      <c r="DV86" s="1237"/>
      <c r="DW86" s="1237"/>
      <c r="DX86" s="1237"/>
      <c r="DY86" s="1237"/>
      <c r="DZ86" s="1237"/>
      <c r="EA86" s="1237"/>
      <c r="EB86" s="1237"/>
      <c r="EC86" s="1237"/>
      <c r="ED86" s="1237"/>
      <c r="EE86" s="1237"/>
      <c r="EF86" s="1237"/>
      <c r="EG86" s="1237"/>
      <c r="EH86" s="1237"/>
      <c r="EI86" s="1237"/>
      <c r="EJ86" s="1237"/>
      <c r="EK86" s="1237"/>
      <c r="EL86" s="1237"/>
      <c r="EM86" s="1237"/>
      <c r="EN86" s="1237"/>
      <c r="EO86" s="1237"/>
      <c r="EP86" s="1237"/>
      <c r="EQ86" s="1237"/>
      <c r="ER86" s="1237"/>
      <c r="ES86" s="1237"/>
      <c r="ET86" s="1237"/>
      <c r="EU86" s="1237"/>
      <c r="EV86" s="1237"/>
      <c r="EW86" s="1237"/>
      <c r="EX86" s="1237"/>
      <c r="EY86" s="1237"/>
      <c r="EZ86" s="1237"/>
      <c r="FA86" s="1237"/>
      <c r="FB86" s="1237"/>
      <c r="FC86" s="1237"/>
      <c r="FD86" s="1237"/>
      <c r="FE86" s="1237"/>
      <c r="FF86" s="1237"/>
      <c r="FG86" s="1237"/>
      <c r="FH86" s="1237"/>
      <c r="FI86" s="1237"/>
      <c r="FJ86" s="1237"/>
      <c r="FK86" s="1237"/>
      <c r="FL86" s="1237"/>
      <c r="FM86" s="1237"/>
      <c r="FN86" s="1237"/>
      <c r="FO86" s="1237"/>
      <c r="FP86" s="1237"/>
      <c r="FQ86" s="1237"/>
      <c r="FR86" s="1237"/>
      <c r="FS86" s="1237"/>
      <c r="FT86" s="1237"/>
      <c r="FU86" s="1237"/>
      <c r="FV86" s="1237"/>
      <c r="FW86" s="1237"/>
      <c r="FX86" s="1237"/>
      <c r="FY86" s="1237"/>
      <c r="FZ86" s="1237"/>
      <c r="GA86" s="1237"/>
      <c r="GB86" s="1237"/>
      <c r="GC86" s="1237"/>
      <c r="GD86" s="1237"/>
      <c r="GE86" s="1237"/>
      <c r="GF86" s="1237"/>
      <c r="GG86" s="1237"/>
      <c r="GH86" s="1237"/>
      <c r="GI86" s="1237"/>
      <c r="GJ86" s="1237"/>
      <c r="GK86" s="1237"/>
      <c r="GL86" s="1237"/>
      <c r="GM86" s="1237"/>
      <c r="GN86" s="1237"/>
      <c r="GO86" s="1237"/>
      <c r="GP86" s="1237"/>
      <c r="GQ86" s="1237"/>
    </row>
    <row r="87" spans="1:199" ht="12" customHeight="1">
      <c r="N87" s="681"/>
      <c r="O87" s="915" t="str">
        <f>'Forecasts '!A117</f>
        <v>Inventories</v>
      </c>
      <c r="P87" s="915">
        <f>'Forecasts '!B117</f>
        <v>275323</v>
      </c>
      <c r="Q87" s="915">
        <f>'Forecasts '!C117</f>
        <v>298345</v>
      </c>
      <c r="R87" s="915">
        <f>'Forecasts '!D117</f>
        <v>307888</v>
      </c>
      <c r="S87" s="915">
        <f>'Forecasts '!E117</f>
        <v>314045.76</v>
      </c>
      <c r="T87" s="915">
        <f>'Forecasts '!F117</f>
        <v>320326.6752</v>
      </c>
      <c r="U87" s="915">
        <f>'Forecasts '!G117</f>
        <v>326733.20870399999</v>
      </c>
      <c r="V87" s="915">
        <f>'Forecasts '!H117</f>
        <v>333267.87287808</v>
      </c>
      <c r="W87" s="915">
        <f>'Forecasts '!I117</f>
        <v>339933.23033564159</v>
      </c>
      <c r="X87" s="915">
        <f>'Forecasts '!J117</f>
        <v>350131.22724571085</v>
      </c>
      <c r="Y87" s="699"/>
      <c r="Z87" s="699"/>
      <c r="AA87" s="699"/>
      <c r="AB87" s="1111"/>
      <c r="AC87" s="1239"/>
      <c r="AP87" s="742"/>
      <c r="AQ87" s="681"/>
      <c r="AR87" s="1237"/>
      <c r="AS87" s="1237"/>
      <c r="AT87" s="1237"/>
      <c r="AU87" s="1237"/>
      <c r="AV87" s="1237"/>
      <c r="AW87" s="1237"/>
      <c r="AX87" s="1237"/>
      <c r="AY87" s="1237"/>
      <c r="AZ87" s="1237"/>
      <c r="BA87" s="1237"/>
      <c r="BB87" s="1237"/>
      <c r="BC87" s="1237"/>
      <c r="BD87" s="1237"/>
      <c r="BE87" s="1237"/>
      <c r="BF87" s="1237"/>
      <c r="BG87" s="1237"/>
      <c r="BH87" s="1237"/>
      <c r="BI87" s="1237"/>
      <c r="BJ87" s="1237"/>
      <c r="BK87" s="1237"/>
      <c r="BL87" s="1237"/>
      <c r="BM87" s="1237"/>
      <c r="BN87" s="1237"/>
      <c r="BO87" s="1237"/>
      <c r="BP87" s="1237"/>
      <c r="BQ87" s="1237"/>
      <c r="BR87" s="1237"/>
      <c r="BS87" s="1237"/>
      <c r="BT87" s="1237"/>
      <c r="BU87" s="1237"/>
      <c r="BV87" s="1237"/>
      <c r="BW87" s="1237"/>
      <c r="BX87" s="1237"/>
      <c r="BY87" s="1237"/>
      <c r="BZ87" s="1237"/>
      <c r="CA87" s="1237"/>
      <c r="CB87" s="1237"/>
      <c r="CC87" s="1237"/>
      <c r="CD87" s="1237"/>
      <c r="CE87" s="1237"/>
      <c r="CF87" s="1237"/>
      <c r="CG87" s="1237"/>
      <c r="CH87" s="1237"/>
      <c r="CI87" s="1237"/>
      <c r="CJ87" s="1237"/>
      <c r="CK87" s="1237"/>
      <c r="CL87" s="1237"/>
      <c r="CM87" s="1237"/>
      <c r="CN87" s="1237"/>
      <c r="CO87" s="1237"/>
      <c r="CP87" s="1237"/>
      <c r="CQ87" s="1237"/>
      <c r="CR87" s="1237"/>
      <c r="CS87" s="1237"/>
      <c r="CT87" s="1237"/>
      <c r="CU87" s="1237"/>
      <c r="CV87" s="1237"/>
      <c r="CW87" s="1237"/>
      <c r="CX87" s="1237"/>
      <c r="CY87" s="1237"/>
      <c r="CZ87" s="1237"/>
      <c r="DA87" s="1237"/>
      <c r="DB87" s="1237"/>
      <c r="DC87" s="1237"/>
      <c r="DD87" s="1237"/>
      <c r="DE87" s="1237"/>
      <c r="DF87" s="1237"/>
      <c r="DG87" s="1237"/>
      <c r="DH87" s="1237"/>
      <c r="DI87" s="1237"/>
      <c r="DJ87" s="1237"/>
      <c r="DK87" s="1237"/>
      <c r="DL87" s="1237"/>
      <c r="DM87" s="1237"/>
      <c r="DN87" s="1237"/>
      <c r="DO87" s="1237"/>
      <c r="DP87" s="1237"/>
      <c r="DQ87" s="1237"/>
      <c r="DR87" s="1237"/>
      <c r="DS87" s="1237"/>
      <c r="DT87" s="1237"/>
      <c r="DU87" s="1237"/>
      <c r="DV87" s="1237"/>
      <c r="DW87" s="1237"/>
      <c r="DX87" s="1237"/>
      <c r="DY87" s="1237"/>
      <c r="DZ87" s="1237"/>
      <c r="EA87" s="1237"/>
      <c r="EB87" s="1237"/>
      <c r="EC87" s="1237"/>
      <c r="ED87" s="1237"/>
      <c r="EE87" s="1237"/>
      <c r="EF87" s="1237"/>
      <c r="EG87" s="1237"/>
      <c r="EH87" s="1237"/>
      <c r="EI87" s="1237"/>
      <c r="EJ87" s="1237"/>
      <c r="EK87" s="1237"/>
      <c r="EL87" s="1237"/>
      <c r="EM87" s="1237"/>
      <c r="EN87" s="1237"/>
      <c r="EO87" s="1237"/>
      <c r="EP87" s="1237"/>
      <c r="EQ87" s="1237"/>
      <c r="ER87" s="1237"/>
      <c r="ES87" s="1237"/>
      <c r="ET87" s="1237"/>
      <c r="EU87" s="1237"/>
      <c r="EV87" s="1237"/>
      <c r="EW87" s="1237"/>
      <c r="EX87" s="1237"/>
      <c r="EY87" s="1237"/>
      <c r="EZ87" s="1237"/>
      <c r="FA87" s="1237"/>
      <c r="FB87" s="1237"/>
      <c r="FC87" s="1237"/>
      <c r="FD87" s="1237"/>
      <c r="FE87" s="1237"/>
      <c r="FF87" s="1237"/>
      <c r="FG87" s="1237"/>
      <c r="FH87" s="1237"/>
      <c r="FI87" s="1237"/>
      <c r="FJ87" s="1237"/>
      <c r="FK87" s="1237"/>
      <c r="FL87" s="1237"/>
      <c r="FM87" s="1237"/>
      <c r="FN87" s="1237"/>
      <c r="FO87" s="1237"/>
      <c r="FP87" s="1237"/>
      <c r="FQ87" s="1237"/>
      <c r="FR87" s="1237"/>
      <c r="FS87" s="1237"/>
      <c r="FT87" s="1237"/>
      <c r="FU87" s="1237"/>
      <c r="FV87" s="1237"/>
      <c r="FW87" s="1237"/>
      <c r="FX87" s="1237"/>
      <c r="FY87" s="1237"/>
      <c r="FZ87" s="1237"/>
      <c r="GA87" s="1237"/>
      <c r="GB87" s="1237"/>
      <c r="GC87" s="1237"/>
      <c r="GD87" s="1237"/>
      <c r="GE87" s="1237"/>
      <c r="GF87" s="1237"/>
      <c r="GG87" s="1237"/>
      <c r="GH87" s="1237"/>
      <c r="GI87" s="1237"/>
      <c r="GJ87" s="1237"/>
      <c r="GK87" s="1237"/>
      <c r="GL87" s="1237"/>
      <c r="GM87" s="1237"/>
      <c r="GN87" s="1237"/>
      <c r="GO87" s="1237"/>
      <c r="GP87" s="1237"/>
      <c r="GQ87" s="1237"/>
    </row>
    <row r="88" spans="1:199" ht="10.5" customHeight="1">
      <c r="K88" s="675"/>
      <c r="N88" s="750"/>
      <c r="O88" s="917" t="str">
        <f>'Forecasts '!A132</f>
        <v xml:space="preserve">  Current Assets</v>
      </c>
      <c r="P88" s="917">
        <f>'Forecasts '!B132</f>
        <v>849153</v>
      </c>
      <c r="Q88" s="917">
        <f>'Forecasts '!C132</f>
        <v>788810</v>
      </c>
      <c r="R88" s="917">
        <f>'Forecasts '!D132</f>
        <v>759208</v>
      </c>
      <c r="S88" s="917">
        <f>'Forecasts '!E132</f>
        <v>776715.14063564548</v>
      </c>
      <c r="T88" s="917">
        <f>'Forecasts '!F132</f>
        <v>794667.55105919018</v>
      </c>
      <c r="U88" s="917">
        <f>'Forecasts '!G132</f>
        <v>813053.27556378627</v>
      </c>
      <c r="V88" s="917">
        <f>'Forecasts '!H132</f>
        <v>831119.10903414164</v>
      </c>
      <c r="W88" s="917">
        <f>'Forecasts '!I132</f>
        <v>849624.85652278573</v>
      </c>
      <c r="X88" s="917">
        <f>'Forecasts '!J132</f>
        <v>875113.60221846937</v>
      </c>
      <c r="Y88" s="699"/>
      <c r="Z88" s="699"/>
      <c r="AA88" s="699"/>
      <c r="AB88" s="1111"/>
      <c r="AC88" s="1239"/>
      <c r="AP88" s="742"/>
      <c r="AQ88" s="681"/>
      <c r="AR88" s="1237"/>
      <c r="AS88" s="1237"/>
      <c r="AT88" s="1237"/>
      <c r="AU88" s="1237"/>
      <c r="AV88" s="1237"/>
      <c r="AW88" s="1237"/>
      <c r="AX88" s="1237"/>
      <c r="AY88" s="1237"/>
      <c r="AZ88" s="1237"/>
      <c r="BA88" s="1237"/>
      <c r="BB88" s="1237"/>
      <c r="BC88" s="1237"/>
      <c r="BD88" s="1237"/>
      <c r="BE88" s="1237"/>
      <c r="BF88" s="1237"/>
      <c r="BG88" s="1237"/>
      <c r="BH88" s="1237"/>
      <c r="BI88" s="1237"/>
      <c r="BJ88" s="1237"/>
      <c r="BK88" s="1237"/>
      <c r="BL88" s="1237"/>
      <c r="BM88" s="1237"/>
      <c r="BN88" s="1237"/>
      <c r="BO88" s="1237"/>
      <c r="BP88" s="1237"/>
      <c r="BQ88" s="1237"/>
      <c r="BR88" s="1237"/>
      <c r="BS88" s="1237"/>
      <c r="BT88" s="1237"/>
      <c r="BU88" s="1237"/>
      <c r="BV88" s="1237"/>
      <c r="BW88" s="1237"/>
      <c r="BX88" s="1237"/>
      <c r="BY88" s="1237"/>
      <c r="BZ88" s="1237"/>
      <c r="CA88" s="1237"/>
      <c r="CB88" s="1237"/>
      <c r="CC88" s="1237"/>
      <c r="CD88" s="1237"/>
      <c r="CE88" s="1237"/>
      <c r="CF88" s="1237"/>
      <c r="CG88" s="1237"/>
      <c r="CH88" s="1237"/>
      <c r="CI88" s="1237"/>
      <c r="CJ88" s="1237"/>
      <c r="CK88" s="1237"/>
      <c r="CL88" s="1237"/>
      <c r="CM88" s="1237"/>
      <c r="CN88" s="1237"/>
      <c r="CO88" s="1237"/>
      <c r="CP88" s="1237"/>
      <c r="CQ88" s="1237"/>
      <c r="CR88" s="1237"/>
      <c r="CS88" s="1237"/>
      <c r="CT88" s="1237"/>
      <c r="CU88" s="1237"/>
      <c r="CV88" s="1237"/>
      <c r="CW88" s="1237"/>
      <c r="CX88" s="1237"/>
      <c r="CY88" s="1237"/>
      <c r="CZ88" s="1237"/>
      <c r="DA88" s="1237"/>
      <c r="DB88" s="1237"/>
      <c r="DC88" s="1237"/>
      <c r="DD88" s="1237"/>
      <c r="DE88" s="1237"/>
      <c r="DF88" s="1237"/>
      <c r="DG88" s="1237"/>
      <c r="DH88" s="1237"/>
      <c r="DI88" s="1237"/>
      <c r="DJ88" s="1237"/>
      <c r="DK88" s="1237"/>
      <c r="DL88" s="1237"/>
      <c r="DM88" s="1237"/>
      <c r="DN88" s="1237"/>
      <c r="DO88" s="1237"/>
      <c r="DP88" s="1237"/>
      <c r="DQ88" s="1237"/>
      <c r="DR88" s="1237"/>
      <c r="DS88" s="1237"/>
      <c r="DT88" s="1237"/>
      <c r="DU88" s="1237"/>
      <c r="DV88" s="1237"/>
      <c r="DW88" s="1237"/>
      <c r="DX88" s="1237"/>
      <c r="DY88" s="1237"/>
      <c r="DZ88" s="1237"/>
      <c r="EA88" s="1237"/>
      <c r="EB88" s="1237"/>
      <c r="EC88" s="1237"/>
      <c r="ED88" s="1237"/>
      <c r="EE88" s="1237"/>
      <c r="EF88" s="1237"/>
      <c r="EG88" s="1237"/>
      <c r="EH88" s="1237"/>
      <c r="EI88" s="1237"/>
      <c r="EJ88" s="1237"/>
      <c r="EK88" s="1237"/>
      <c r="EL88" s="1237"/>
      <c r="EM88" s="1237"/>
      <c r="EN88" s="1237"/>
      <c r="EO88" s="1237"/>
      <c r="EP88" s="1237"/>
      <c r="EQ88" s="1237"/>
      <c r="ER88" s="1237"/>
      <c r="ES88" s="1237"/>
      <c r="ET88" s="1237"/>
      <c r="EU88" s="1237"/>
      <c r="EV88" s="1237"/>
      <c r="EW88" s="1237"/>
      <c r="EX88" s="1237"/>
      <c r="EY88" s="1237"/>
      <c r="EZ88" s="1237"/>
      <c r="FA88" s="1237"/>
      <c r="FB88" s="1237"/>
      <c r="FC88" s="1237"/>
      <c r="FD88" s="1237"/>
      <c r="FE88" s="1237"/>
      <c r="FF88" s="1237"/>
      <c r="FG88" s="1237"/>
      <c r="FH88" s="1237"/>
      <c r="FI88" s="1237"/>
      <c r="FJ88" s="1237"/>
      <c r="FK88" s="1237"/>
      <c r="FL88" s="1237"/>
      <c r="FM88" s="1237"/>
      <c r="FN88" s="1237"/>
      <c r="FO88" s="1237"/>
      <c r="FP88" s="1237"/>
      <c r="FQ88" s="1237"/>
      <c r="FR88" s="1237"/>
      <c r="FS88" s="1237"/>
      <c r="FT88" s="1237"/>
      <c r="FU88" s="1237"/>
      <c r="FV88" s="1237"/>
      <c r="FW88" s="1237"/>
      <c r="FX88" s="1237"/>
      <c r="FY88" s="1237"/>
      <c r="FZ88" s="1237"/>
      <c r="GA88" s="1237"/>
      <c r="GB88" s="1237"/>
      <c r="GC88" s="1237"/>
      <c r="GD88" s="1237"/>
      <c r="GE88" s="1237"/>
      <c r="GF88" s="1237"/>
      <c r="GG88" s="1237"/>
      <c r="GH88" s="1237"/>
      <c r="GI88" s="1237"/>
      <c r="GJ88" s="1237"/>
      <c r="GK88" s="1237"/>
      <c r="GL88" s="1237"/>
      <c r="GM88" s="1237"/>
      <c r="GN88" s="1237"/>
      <c r="GO88" s="1237"/>
      <c r="GP88" s="1237"/>
      <c r="GQ88" s="1237"/>
    </row>
    <row r="89" spans="1:199" ht="12.95" customHeight="1">
      <c r="K89" s="675"/>
      <c r="N89" s="681"/>
      <c r="O89" s="743"/>
      <c r="P89" s="743"/>
      <c r="Q89" s="743"/>
      <c r="R89" s="743"/>
      <c r="S89" s="743"/>
      <c r="T89" s="743"/>
      <c r="U89" s="743"/>
      <c r="V89" s="743"/>
      <c r="W89" s="743"/>
      <c r="X89" s="743"/>
      <c r="Y89" s="699"/>
      <c r="Z89" s="699"/>
      <c r="AA89" s="699"/>
      <c r="AB89" s="1111"/>
      <c r="AC89" s="1239"/>
      <c r="AP89" s="742"/>
      <c r="AQ89" s="681"/>
      <c r="AR89" s="1237"/>
      <c r="AS89" s="1237"/>
      <c r="AT89" s="1237"/>
      <c r="AU89" s="1237"/>
      <c r="AV89" s="1237"/>
      <c r="AW89" s="1237"/>
      <c r="AX89" s="1237"/>
      <c r="AY89" s="1237"/>
      <c r="AZ89" s="1237"/>
      <c r="BA89" s="1237"/>
      <c r="BB89" s="1237"/>
      <c r="BC89" s="1237"/>
      <c r="BD89" s="1237"/>
      <c r="BE89" s="1237"/>
      <c r="BF89" s="1237"/>
      <c r="BG89" s="1237"/>
      <c r="BH89" s="1237"/>
      <c r="BI89" s="1237"/>
      <c r="BJ89" s="1237"/>
      <c r="BK89" s="1237"/>
      <c r="BL89" s="1237"/>
      <c r="BM89" s="1237"/>
      <c r="BN89" s="1237"/>
      <c r="BO89" s="1237"/>
      <c r="BP89" s="1237"/>
      <c r="BQ89" s="1237"/>
      <c r="BR89" s="1237"/>
      <c r="BS89" s="1237"/>
      <c r="BT89" s="1237"/>
      <c r="BU89" s="1237"/>
      <c r="BV89" s="1237"/>
      <c r="BW89" s="1237"/>
      <c r="BX89" s="1237"/>
      <c r="BY89" s="1237"/>
      <c r="BZ89" s="1237"/>
      <c r="CA89" s="1237"/>
      <c r="CB89" s="1237"/>
      <c r="CC89" s="1237"/>
      <c r="CD89" s="1237"/>
      <c r="CE89" s="1237"/>
      <c r="CF89" s="1237"/>
      <c r="CG89" s="1237"/>
      <c r="CH89" s="1237"/>
      <c r="CI89" s="1237"/>
      <c r="CJ89" s="1237"/>
      <c r="CK89" s="1237"/>
      <c r="CL89" s="1237"/>
      <c r="CM89" s="1237"/>
      <c r="CN89" s="1237"/>
      <c r="CO89" s="1237"/>
      <c r="CP89" s="1237"/>
      <c r="CQ89" s="1237"/>
      <c r="CR89" s="1237"/>
      <c r="CS89" s="1237"/>
      <c r="CT89" s="1237"/>
      <c r="CU89" s="1237"/>
      <c r="CV89" s="1237"/>
      <c r="CW89" s="1237"/>
      <c r="CX89" s="1237"/>
      <c r="CY89" s="1237"/>
      <c r="CZ89" s="1237"/>
      <c r="DA89" s="1237"/>
      <c r="DB89" s="1237"/>
      <c r="DC89" s="1237"/>
      <c r="DD89" s="1237"/>
      <c r="DE89" s="1237"/>
      <c r="DF89" s="1237"/>
      <c r="DG89" s="1237"/>
      <c r="DH89" s="1237"/>
      <c r="DI89" s="1237"/>
      <c r="DJ89" s="1237"/>
      <c r="DK89" s="1237"/>
      <c r="DL89" s="1237"/>
      <c r="DM89" s="1237"/>
      <c r="DN89" s="1237"/>
      <c r="DO89" s="1237"/>
      <c r="DP89" s="1237"/>
      <c r="DQ89" s="1237"/>
      <c r="DR89" s="1237"/>
      <c r="DS89" s="1237"/>
      <c r="DT89" s="1237"/>
      <c r="DU89" s="1237"/>
      <c r="DV89" s="1237"/>
      <c r="DW89" s="1237"/>
      <c r="DX89" s="1237"/>
      <c r="DY89" s="1237"/>
      <c r="DZ89" s="1237"/>
      <c r="EA89" s="1237"/>
      <c r="EB89" s="1237"/>
      <c r="EC89" s="1237"/>
      <c r="ED89" s="1237"/>
      <c r="EE89" s="1237"/>
      <c r="EF89" s="1237"/>
      <c r="EG89" s="1237"/>
      <c r="EH89" s="1237"/>
      <c r="EI89" s="1237"/>
      <c r="EJ89" s="1237"/>
      <c r="EK89" s="1237"/>
      <c r="EL89" s="1237"/>
      <c r="EM89" s="1237"/>
      <c r="EN89" s="1237"/>
      <c r="EO89" s="1237"/>
      <c r="EP89" s="1237"/>
      <c r="EQ89" s="1237"/>
      <c r="ER89" s="1237"/>
      <c r="ES89" s="1237"/>
      <c r="ET89" s="1237"/>
      <c r="EU89" s="1237"/>
      <c r="EV89" s="1237"/>
      <c r="EW89" s="1237"/>
      <c r="EX89" s="1237"/>
      <c r="EY89" s="1237"/>
      <c r="EZ89" s="1237"/>
      <c r="FA89" s="1237"/>
      <c r="FB89" s="1237"/>
      <c r="FC89" s="1237"/>
      <c r="FD89" s="1237"/>
      <c r="FE89" s="1237"/>
      <c r="FF89" s="1237"/>
      <c r="FG89" s="1237"/>
      <c r="FH89" s="1237"/>
      <c r="FI89" s="1237"/>
      <c r="FJ89" s="1237"/>
      <c r="FK89" s="1237"/>
      <c r="FL89" s="1237"/>
      <c r="FM89" s="1237"/>
      <c r="FN89" s="1237"/>
      <c r="FO89" s="1237"/>
      <c r="FP89" s="1237"/>
      <c r="FQ89" s="1237"/>
      <c r="FR89" s="1237"/>
      <c r="FS89" s="1237"/>
      <c r="FT89" s="1237"/>
      <c r="FU89" s="1237"/>
      <c r="FV89" s="1237"/>
      <c r="FW89" s="1237"/>
      <c r="FX89" s="1237"/>
      <c r="FY89" s="1237"/>
      <c r="FZ89" s="1237"/>
      <c r="GA89" s="1237"/>
      <c r="GB89" s="1237"/>
      <c r="GC89" s="1237"/>
      <c r="GD89" s="1237"/>
      <c r="GE89" s="1237"/>
      <c r="GF89" s="1237"/>
      <c r="GG89" s="1237"/>
      <c r="GH89" s="1237"/>
      <c r="GI89" s="1237"/>
      <c r="GJ89" s="1237"/>
      <c r="GK89" s="1237"/>
      <c r="GL89" s="1237"/>
      <c r="GM89" s="1237"/>
      <c r="GN89" s="1237"/>
      <c r="GO89" s="1237"/>
      <c r="GP89" s="1237"/>
      <c r="GQ89" s="1237"/>
    </row>
    <row r="90" spans="1:199" ht="12.95" customHeight="1">
      <c r="K90" s="675"/>
      <c r="N90" s="681"/>
      <c r="O90" s="915" t="str">
        <f>'Forecasts '!A135</f>
        <v>Long-term investments</v>
      </c>
      <c r="P90" s="915">
        <f>'Forecasts '!B135</f>
        <v>15570</v>
      </c>
      <c r="Q90" s="915">
        <f>'Forecasts '!C135</f>
        <v>37764</v>
      </c>
      <c r="R90" s="915">
        <f>'Forecasts '!D135</f>
        <v>32361</v>
      </c>
      <c r="S90" s="915">
        <f>'Forecasts '!E135</f>
        <v>33008.22</v>
      </c>
      <c r="T90" s="915">
        <f>'Forecasts '!F135</f>
        <v>33668.384400000003</v>
      </c>
      <c r="U90" s="915">
        <f>'Forecasts '!G135</f>
        <v>34341.752088000001</v>
      </c>
      <c r="V90" s="915">
        <f>'Forecasts '!H135</f>
        <v>35028.587129760002</v>
      </c>
      <c r="W90" s="915">
        <f>'Forecasts '!I135</f>
        <v>35729.158872355205</v>
      </c>
      <c r="X90" s="915">
        <f>'Forecasts '!J135</f>
        <v>36801.033638525863</v>
      </c>
      <c r="Y90" s="699"/>
      <c r="Z90" s="699"/>
      <c r="AA90" s="699"/>
      <c r="AB90" s="1111"/>
      <c r="AC90" s="1239"/>
      <c r="AP90" s="742"/>
      <c r="AQ90" s="681"/>
      <c r="AR90" s="1237"/>
      <c r="AS90" s="1237"/>
      <c r="AT90" s="1237"/>
      <c r="AU90" s="1237"/>
      <c r="AV90" s="1237"/>
      <c r="AW90" s="1237"/>
      <c r="AX90" s="1237"/>
      <c r="AY90" s="1237"/>
      <c r="AZ90" s="1237"/>
      <c r="BA90" s="1237"/>
      <c r="BB90" s="1237"/>
      <c r="BC90" s="1237"/>
      <c r="BD90" s="1237"/>
      <c r="BE90" s="1237"/>
      <c r="BF90" s="1237"/>
      <c r="BG90" s="1237"/>
      <c r="BH90" s="1237"/>
      <c r="BI90" s="1237"/>
      <c r="BJ90" s="1237"/>
      <c r="BK90" s="1237"/>
      <c r="BL90" s="1237"/>
      <c r="BM90" s="1237"/>
      <c r="BN90" s="1237"/>
      <c r="BO90" s="1237"/>
      <c r="BP90" s="1237"/>
      <c r="BQ90" s="1237"/>
      <c r="BR90" s="1237"/>
      <c r="BS90" s="1237"/>
      <c r="BT90" s="1237"/>
      <c r="BU90" s="1237"/>
      <c r="BV90" s="1237"/>
      <c r="BW90" s="1237"/>
      <c r="BX90" s="1237"/>
      <c r="BY90" s="1237"/>
      <c r="BZ90" s="1237"/>
      <c r="CA90" s="1237"/>
      <c r="CB90" s="1237"/>
      <c r="CC90" s="1237"/>
      <c r="CD90" s="1237"/>
      <c r="CE90" s="1237"/>
      <c r="CF90" s="1237"/>
      <c r="CG90" s="1237"/>
      <c r="CH90" s="1237"/>
      <c r="CI90" s="1237"/>
      <c r="CJ90" s="1237"/>
      <c r="CK90" s="1237"/>
      <c r="CL90" s="1237"/>
      <c r="CM90" s="1237"/>
      <c r="CN90" s="1237"/>
      <c r="CO90" s="1237"/>
      <c r="CP90" s="1237"/>
      <c r="CQ90" s="1237"/>
      <c r="CR90" s="1237"/>
      <c r="CS90" s="1237"/>
      <c r="CT90" s="1237"/>
      <c r="CU90" s="1237"/>
      <c r="CV90" s="1237"/>
      <c r="CW90" s="1237"/>
      <c r="CX90" s="1237"/>
      <c r="CY90" s="1237"/>
      <c r="CZ90" s="1237"/>
      <c r="DA90" s="1237"/>
      <c r="DB90" s="1237"/>
      <c r="DC90" s="1237"/>
      <c r="DD90" s="1237"/>
      <c r="DE90" s="1237"/>
      <c r="DF90" s="1237"/>
      <c r="DG90" s="1237"/>
      <c r="DH90" s="1237"/>
      <c r="DI90" s="1237"/>
      <c r="DJ90" s="1237"/>
      <c r="DK90" s="1237"/>
      <c r="DL90" s="1237"/>
      <c r="DM90" s="1237"/>
      <c r="DN90" s="1237"/>
      <c r="DO90" s="1237"/>
      <c r="DP90" s="1237"/>
      <c r="DQ90" s="1237"/>
      <c r="DR90" s="1237"/>
      <c r="DS90" s="1237"/>
      <c r="DT90" s="1237"/>
      <c r="DU90" s="1237"/>
      <c r="DV90" s="1237"/>
      <c r="DW90" s="1237"/>
      <c r="DX90" s="1237"/>
      <c r="DY90" s="1237"/>
      <c r="DZ90" s="1237"/>
      <c r="EA90" s="1237"/>
      <c r="EB90" s="1237"/>
      <c r="EC90" s="1237"/>
      <c r="ED90" s="1237"/>
      <c r="EE90" s="1237"/>
      <c r="EF90" s="1237"/>
      <c r="EG90" s="1237"/>
      <c r="EH90" s="1237"/>
      <c r="EI90" s="1237"/>
      <c r="EJ90" s="1237"/>
      <c r="EK90" s="1237"/>
      <c r="EL90" s="1237"/>
      <c r="EM90" s="1237"/>
      <c r="EN90" s="1237"/>
      <c r="EO90" s="1237"/>
      <c r="EP90" s="1237"/>
      <c r="EQ90" s="1237"/>
      <c r="ER90" s="1237"/>
      <c r="ES90" s="1237"/>
      <c r="ET90" s="1237"/>
      <c r="EU90" s="1237"/>
      <c r="EV90" s="1237"/>
      <c r="EW90" s="1237"/>
      <c r="EX90" s="1237"/>
      <c r="EY90" s="1237"/>
      <c r="EZ90" s="1237"/>
      <c r="FA90" s="1237"/>
      <c r="FB90" s="1237"/>
      <c r="FC90" s="1237"/>
      <c r="FD90" s="1237"/>
      <c r="FE90" s="1237"/>
      <c r="FF90" s="1237"/>
      <c r="FG90" s="1237"/>
      <c r="FH90" s="1237"/>
      <c r="FI90" s="1237"/>
      <c r="FJ90" s="1237"/>
      <c r="FK90" s="1237"/>
      <c r="FL90" s="1237"/>
      <c r="FM90" s="1237"/>
      <c r="FN90" s="1237"/>
      <c r="FO90" s="1237"/>
      <c r="FP90" s="1237"/>
      <c r="FQ90" s="1237"/>
      <c r="FR90" s="1237"/>
      <c r="FS90" s="1237"/>
      <c r="FT90" s="1237"/>
      <c r="FU90" s="1237"/>
      <c r="FV90" s="1237"/>
      <c r="FW90" s="1237"/>
      <c r="FX90" s="1237"/>
      <c r="FY90" s="1237"/>
      <c r="FZ90" s="1237"/>
      <c r="GA90" s="1237"/>
      <c r="GB90" s="1237"/>
      <c r="GC90" s="1237"/>
      <c r="GD90" s="1237"/>
      <c r="GE90" s="1237"/>
      <c r="GF90" s="1237"/>
      <c r="GG90" s="1237"/>
      <c r="GH90" s="1237"/>
      <c r="GI90" s="1237"/>
      <c r="GJ90" s="1237"/>
      <c r="GK90" s="1237"/>
      <c r="GL90" s="1237"/>
      <c r="GM90" s="1237"/>
      <c r="GN90" s="1237"/>
      <c r="GO90" s="1237"/>
      <c r="GP90" s="1237"/>
      <c r="GQ90" s="1237"/>
    </row>
    <row r="91" spans="1:199" ht="12" customHeight="1">
      <c r="G91" s="748"/>
      <c r="I91" s="748"/>
      <c r="J91" s="748"/>
      <c r="K91" s="748"/>
      <c r="L91" s="748"/>
      <c r="M91" s="752"/>
      <c r="N91" s="681"/>
      <c r="O91" s="915" t="str">
        <f>'Forecasts '!A141</f>
        <v>Property, plant, and equipment - at cost</v>
      </c>
      <c r="P91" s="915">
        <f>'Forecasts '!B141</f>
        <v>341750</v>
      </c>
      <c r="Q91" s="915">
        <f>'Forecasts '!C141</f>
        <v>400000</v>
      </c>
      <c r="R91" s="915">
        <f>'Forecasts '!D141</f>
        <v>420000</v>
      </c>
      <c r="S91" s="915">
        <f>'Forecasts '!E141</f>
        <v>460969.55</v>
      </c>
      <c r="T91" s="915">
        <f>'Forecasts '!F141</f>
        <v>502142.57749999996</v>
      </c>
      <c r="U91" s="915">
        <f>'Forecasts '!G141</f>
        <v>543520.0313749999</v>
      </c>
      <c r="V91" s="915">
        <f>'Forecasts '!H141</f>
        <v>585102.86181874992</v>
      </c>
      <c r="W91" s="915">
        <f>'Forecasts '!I141</f>
        <v>627100.1105796874</v>
      </c>
      <c r="X91" s="915">
        <f>'Forecasts '!J141</f>
        <v>645913.11389707809</v>
      </c>
      <c r="Y91" s="748"/>
      <c r="Z91" s="748"/>
      <c r="AA91" s="748"/>
      <c r="AB91" s="1111"/>
      <c r="AC91" s="1239"/>
      <c r="AP91" s="742"/>
      <c r="AQ91" s="681"/>
      <c r="AR91" s="1237"/>
      <c r="AS91" s="1237"/>
      <c r="AT91" s="1237"/>
      <c r="AU91" s="1237"/>
      <c r="AV91" s="1237"/>
      <c r="AW91" s="1237"/>
      <c r="AX91" s="1237"/>
      <c r="AY91" s="1237"/>
      <c r="AZ91" s="1237"/>
      <c r="BA91" s="1237"/>
      <c r="BB91" s="1237"/>
      <c r="BC91" s="1237"/>
      <c r="BD91" s="1237"/>
      <c r="BE91" s="1237"/>
      <c r="BF91" s="1237"/>
      <c r="BG91" s="1237"/>
      <c r="BH91" s="1237"/>
      <c r="BI91" s="1237"/>
      <c r="BJ91" s="1237"/>
      <c r="BK91" s="1237"/>
      <c r="BL91" s="1237"/>
      <c r="BM91" s="1237"/>
      <c r="BN91" s="1237"/>
      <c r="BO91" s="1237"/>
      <c r="BP91" s="1237"/>
      <c r="BQ91" s="1237"/>
      <c r="BR91" s="1237"/>
      <c r="BS91" s="1237"/>
      <c r="BT91" s="1237"/>
      <c r="BU91" s="1237"/>
      <c r="BV91" s="1237"/>
      <c r="BW91" s="1237"/>
      <c r="BX91" s="1237"/>
      <c r="BY91" s="1237"/>
      <c r="BZ91" s="1237"/>
      <c r="CA91" s="1237"/>
      <c r="CB91" s="1237"/>
      <c r="CC91" s="1237"/>
      <c r="CD91" s="1237"/>
      <c r="CE91" s="1237"/>
      <c r="CF91" s="1237"/>
      <c r="CG91" s="1237"/>
      <c r="CH91" s="1237"/>
      <c r="CI91" s="1237"/>
      <c r="CJ91" s="1237"/>
      <c r="CK91" s="1237"/>
      <c r="CL91" s="1237"/>
      <c r="CM91" s="1237"/>
      <c r="CN91" s="1237"/>
      <c r="CO91" s="1237"/>
      <c r="CP91" s="1237"/>
      <c r="CQ91" s="1237"/>
      <c r="CR91" s="1237"/>
      <c r="CS91" s="1237"/>
      <c r="CT91" s="1237"/>
      <c r="CU91" s="1237"/>
      <c r="CV91" s="1237"/>
      <c r="CW91" s="1237"/>
      <c r="CX91" s="1237"/>
      <c r="CY91" s="1237"/>
      <c r="CZ91" s="1237"/>
      <c r="DA91" s="1237"/>
      <c r="DB91" s="1237"/>
      <c r="DC91" s="1237"/>
      <c r="DD91" s="1237"/>
      <c r="DE91" s="1237"/>
      <c r="DF91" s="1237"/>
      <c r="DG91" s="1237"/>
      <c r="DH91" s="1237"/>
      <c r="DI91" s="1237"/>
      <c r="DJ91" s="1237"/>
      <c r="DK91" s="1237"/>
      <c r="DL91" s="1237"/>
      <c r="DM91" s="1237"/>
      <c r="DN91" s="1237"/>
      <c r="DO91" s="1237"/>
      <c r="DP91" s="1237"/>
      <c r="DQ91" s="1237"/>
      <c r="DR91" s="1237"/>
      <c r="DS91" s="1237"/>
      <c r="DT91" s="1237"/>
      <c r="DU91" s="1237"/>
      <c r="DV91" s="1237"/>
      <c r="DW91" s="1237"/>
      <c r="DX91" s="1237"/>
      <c r="DY91" s="1237"/>
      <c r="DZ91" s="1237"/>
      <c r="EA91" s="1237"/>
      <c r="EB91" s="1237"/>
      <c r="EC91" s="1237"/>
      <c r="ED91" s="1237"/>
      <c r="EE91" s="1237"/>
      <c r="EF91" s="1237"/>
      <c r="EG91" s="1237"/>
      <c r="EH91" s="1237"/>
      <c r="EI91" s="1237"/>
      <c r="EJ91" s="1237"/>
      <c r="EK91" s="1237"/>
      <c r="EL91" s="1237"/>
      <c r="EM91" s="1237"/>
      <c r="EN91" s="1237"/>
      <c r="EO91" s="1237"/>
      <c r="EP91" s="1237"/>
      <c r="EQ91" s="1237"/>
      <c r="ER91" s="1237"/>
      <c r="ES91" s="1237"/>
      <c r="ET91" s="1237"/>
      <c r="EU91" s="1237"/>
      <c r="EV91" s="1237"/>
      <c r="EW91" s="1237"/>
      <c r="EX91" s="1237"/>
      <c r="EY91" s="1237"/>
      <c r="EZ91" s="1237"/>
      <c r="FA91" s="1237"/>
      <c r="FB91" s="1237"/>
      <c r="FC91" s="1237"/>
      <c r="FD91" s="1237"/>
      <c r="FE91" s="1237"/>
      <c r="FF91" s="1237"/>
      <c r="FG91" s="1237"/>
      <c r="FH91" s="1237"/>
      <c r="FI91" s="1237"/>
      <c r="FJ91" s="1237"/>
      <c r="FK91" s="1237"/>
      <c r="FL91" s="1237"/>
      <c r="FM91" s="1237"/>
      <c r="FN91" s="1237"/>
      <c r="FO91" s="1237"/>
      <c r="FP91" s="1237"/>
      <c r="FQ91" s="1237"/>
      <c r="FR91" s="1237"/>
      <c r="FS91" s="1237"/>
      <c r="FT91" s="1237"/>
      <c r="FU91" s="1237"/>
      <c r="FV91" s="1237"/>
      <c r="FW91" s="1237"/>
      <c r="FX91" s="1237"/>
      <c r="FY91" s="1237"/>
      <c r="FZ91" s="1237"/>
      <c r="GA91" s="1237"/>
      <c r="GB91" s="1237"/>
      <c r="GC91" s="1237"/>
      <c r="GD91" s="1237"/>
      <c r="GE91" s="1237"/>
      <c r="GF91" s="1237"/>
      <c r="GG91" s="1237"/>
      <c r="GH91" s="1237"/>
      <c r="GI91" s="1237"/>
      <c r="GJ91" s="1237"/>
      <c r="GK91" s="1237"/>
      <c r="GL91" s="1237"/>
      <c r="GM91" s="1237"/>
      <c r="GN91" s="1237"/>
      <c r="GO91" s="1237"/>
      <c r="GP91" s="1237"/>
      <c r="GQ91" s="1237"/>
    </row>
    <row r="92" spans="1:199" ht="12.95" customHeight="1">
      <c r="A92" s="800" t="s">
        <v>1143</v>
      </c>
      <c r="B92" s="801"/>
      <c r="C92" s="801"/>
      <c r="D92" s="801"/>
      <c r="E92" s="801"/>
      <c r="F92" s="801"/>
      <c r="G92" s="801"/>
      <c r="H92" s="772"/>
      <c r="I92" s="708"/>
      <c r="J92" s="773"/>
      <c r="K92" s="753"/>
      <c r="L92" s="753"/>
      <c r="M92" s="752"/>
      <c r="N92" s="681"/>
      <c r="O92" s="919" t="str">
        <f>'Forecasts '!A153</f>
        <v>Other intangible assets</v>
      </c>
      <c r="P92" s="919">
        <f>'Forecasts '!B153</f>
        <v>34903</v>
      </c>
      <c r="Q92" s="919">
        <f>'Forecasts '!C153</f>
        <v>36872</v>
      </c>
      <c r="R92" s="919">
        <f>'Forecasts '!D153</f>
        <v>31872</v>
      </c>
      <c r="S92" s="919">
        <f>'Forecasts '!E153</f>
        <v>32350.079999999998</v>
      </c>
      <c r="T92" s="919">
        <f>'Forecasts '!F153</f>
        <v>32835.331199999993</v>
      </c>
      <c r="U92" s="919">
        <f>'Forecasts '!G153</f>
        <v>33327.861167999989</v>
      </c>
      <c r="V92" s="919">
        <f>'Forecasts '!H153</f>
        <v>33827.779085519986</v>
      </c>
      <c r="W92" s="919">
        <f>'Forecasts '!I153</f>
        <v>34335.195771802784</v>
      </c>
      <c r="X92" s="919">
        <f>'Forecasts '!J153</f>
        <v>35365.251644956872</v>
      </c>
      <c r="Y92" s="748"/>
      <c r="Z92" s="748"/>
      <c r="AA92" s="748"/>
      <c r="AB92" s="1111"/>
      <c r="AC92" s="1239"/>
      <c r="AP92" s="742"/>
      <c r="AQ92" s="681"/>
      <c r="AR92" s="1237"/>
      <c r="AS92" s="1237"/>
      <c r="AT92" s="1237"/>
      <c r="AU92" s="1237"/>
      <c r="AV92" s="1237"/>
      <c r="AW92" s="1237"/>
      <c r="AX92" s="1237"/>
      <c r="AY92" s="1237"/>
      <c r="AZ92" s="1237"/>
      <c r="BA92" s="1237"/>
      <c r="BB92" s="1237"/>
      <c r="BC92" s="1237"/>
      <c r="BD92" s="1237"/>
      <c r="BE92" s="1237"/>
      <c r="BF92" s="1237"/>
      <c r="BG92" s="1237"/>
      <c r="BH92" s="1237"/>
      <c r="BI92" s="1237"/>
      <c r="BJ92" s="1237"/>
      <c r="BK92" s="1237"/>
      <c r="BL92" s="1237"/>
      <c r="BM92" s="1237"/>
      <c r="BN92" s="1237"/>
      <c r="BO92" s="1237"/>
      <c r="BP92" s="1237"/>
      <c r="BQ92" s="1237"/>
      <c r="BR92" s="1237"/>
      <c r="BS92" s="1237"/>
      <c r="BT92" s="1237"/>
      <c r="BU92" s="1237"/>
      <c r="BV92" s="1237"/>
      <c r="BW92" s="1237"/>
      <c r="BX92" s="1237"/>
      <c r="BY92" s="1237"/>
      <c r="BZ92" s="1237"/>
      <c r="CA92" s="1237"/>
      <c r="CB92" s="1237"/>
      <c r="CC92" s="1237"/>
      <c r="CD92" s="1237"/>
      <c r="CE92" s="1237"/>
      <c r="CF92" s="1237"/>
      <c r="CG92" s="1237"/>
      <c r="CH92" s="1237"/>
      <c r="CI92" s="1237"/>
      <c r="CJ92" s="1237"/>
      <c r="CK92" s="1237"/>
      <c r="CL92" s="1237"/>
      <c r="CM92" s="1237"/>
      <c r="CN92" s="1237"/>
      <c r="CO92" s="1237"/>
      <c r="CP92" s="1237"/>
      <c r="CQ92" s="1237"/>
      <c r="CR92" s="1237"/>
      <c r="CS92" s="1237"/>
      <c r="CT92" s="1237"/>
      <c r="CU92" s="1237"/>
      <c r="CV92" s="1237"/>
      <c r="CW92" s="1237"/>
      <c r="CX92" s="1237"/>
      <c r="CY92" s="1237"/>
      <c r="CZ92" s="1237"/>
      <c r="DA92" s="1237"/>
      <c r="DB92" s="1237"/>
      <c r="DC92" s="1237"/>
      <c r="DD92" s="1237"/>
      <c r="DE92" s="1237"/>
      <c r="DF92" s="1237"/>
      <c r="DG92" s="1237"/>
      <c r="DH92" s="1237"/>
      <c r="DI92" s="1237"/>
      <c r="DJ92" s="1237"/>
      <c r="DK92" s="1237"/>
      <c r="DL92" s="1237"/>
      <c r="DM92" s="1237"/>
      <c r="DN92" s="1237"/>
      <c r="DO92" s="1237"/>
      <c r="DP92" s="1237"/>
      <c r="DQ92" s="1237"/>
      <c r="DR92" s="1237"/>
      <c r="DS92" s="1237"/>
      <c r="DT92" s="1237"/>
      <c r="DU92" s="1237"/>
      <c r="DV92" s="1237"/>
      <c r="DW92" s="1237"/>
      <c r="DX92" s="1237"/>
      <c r="DY92" s="1237"/>
      <c r="DZ92" s="1237"/>
      <c r="EA92" s="1237"/>
      <c r="EB92" s="1237"/>
      <c r="EC92" s="1237"/>
      <c r="ED92" s="1237"/>
      <c r="EE92" s="1237"/>
      <c r="EF92" s="1237"/>
      <c r="EG92" s="1237"/>
      <c r="EH92" s="1237"/>
      <c r="EI92" s="1237"/>
      <c r="EJ92" s="1237"/>
      <c r="EK92" s="1237"/>
      <c r="EL92" s="1237"/>
      <c r="EM92" s="1237"/>
      <c r="EN92" s="1237"/>
      <c r="EO92" s="1237"/>
      <c r="EP92" s="1237"/>
      <c r="EQ92" s="1237"/>
      <c r="ER92" s="1237"/>
      <c r="ES92" s="1237"/>
      <c r="ET92" s="1237"/>
      <c r="EU92" s="1237"/>
      <c r="EV92" s="1237"/>
      <c r="EW92" s="1237"/>
      <c r="EX92" s="1237"/>
      <c r="EY92" s="1237"/>
      <c r="EZ92" s="1237"/>
      <c r="FA92" s="1237"/>
      <c r="FB92" s="1237"/>
      <c r="FC92" s="1237"/>
      <c r="FD92" s="1237"/>
      <c r="FE92" s="1237"/>
      <c r="FF92" s="1237"/>
      <c r="FG92" s="1237"/>
      <c r="FH92" s="1237"/>
      <c r="FI92" s="1237"/>
      <c r="FJ92" s="1237"/>
      <c r="FK92" s="1237"/>
      <c r="FL92" s="1237"/>
      <c r="FM92" s="1237"/>
      <c r="FN92" s="1237"/>
      <c r="FO92" s="1237"/>
      <c r="FP92" s="1237"/>
      <c r="FQ92" s="1237"/>
      <c r="FR92" s="1237"/>
      <c r="FS92" s="1237"/>
      <c r="FT92" s="1237"/>
      <c r="FU92" s="1237"/>
      <c r="FV92" s="1237"/>
      <c r="FW92" s="1237"/>
      <c r="FX92" s="1237"/>
      <c r="FY92" s="1237"/>
      <c r="FZ92" s="1237"/>
      <c r="GA92" s="1237"/>
      <c r="GB92" s="1237"/>
      <c r="GC92" s="1237"/>
      <c r="GD92" s="1237"/>
      <c r="GE92" s="1237"/>
      <c r="GF92" s="1237"/>
      <c r="GG92" s="1237"/>
      <c r="GH92" s="1237"/>
      <c r="GI92" s="1237"/>
      <c r="GJ92" s="1237"/>
      <c r="GK92" s="1237"/>
      <c r="GL92" s="1237"/>
      <c r="GM92" s="1237"/>
      <c r="GN92" s="1237"/>
      <c r="GO92" s="1237"/>
      <c r="GP92" s="1237"/>
      <c r="GQ92" s="1237"/>
    </row>
    <row r="93" spans="1:199" ht="16.5" customHeight="1">
      <c r="A93" s="808" t="s">
        <v>1123</v>
      </c>
      <c r="B93" s="1128">
        <v>2020</v>
      </c>
      <c r="C93" s="1128">
        <v>2021</v>
      </c>
      <c r="D93" s="1128">
        <v>2022</v>
      </c>
      <c r="E93" s="1128">
        <v>2023</v>
      </c>
      <c r="F93" s="1128">
        <v>2024</v>
      </c>
      <c r="G93" s="1128" t="s">
        <v>1555</v>
      </c>
      <c r="H93" s="709"/>
      <c r="K93" s="753"/>
      <c r="L93" s="753"/>
      <c r="M93" s="752"/>
      <c r="N93" s="681"/>
      <c r="O93" s="920" t="str">
        <f>'Forecasts '!A156</f>
        <v xml:space="preserve">Goodwill </v>
      </c>
      <c r="P93" s="920">
        <f>'Forecasts '!B156</f>
        <v>6679</v>
      </c>
      <c r="Q93" s="920">
        <f>'Forecasts '!C156</f>
        <v>6679</v>
      </c>
      <c r="R93" s="920">
        <f>'Forecasts '!D156</f>
        <v>6679</v>
      </c>
      <c r="S93" s="920">
        <f>'Forecasts '!E156</f>
        <v>6679</v>
      </c>
      <c r="T93" s="920">
        <f>'Forecasts '!F156</f>
        <v>6679</v>
      </c>
      <c r="U93" s="920">
        <f>'Forecasts '!G156</f>
        <v>6679</v>
      </c>
      <c r="V93" s="920">
        <f>'Forecasts '!H156</f>
        <v>6679</v>
      </c>
      <c r="W93" s="920">
        <f>'Forecasts '!I156</f>
        <v>6679</v>
      </c>
      <c r="X93" s="920">
        <f>'Forecasts '!J156</f>
        <v>6879.37</v>
      </c>
      <c r="AB93" s="1111"/>
      <c r="AC93" s="1239"/>
      <c r="AP93" s="681"/>
      <c r="AQ93" s="681"/>
      <c r="AR93" s="1237"/>
      <c r="AS93" s="1237"/>
      <c r="AT93" s="1237"/>
      <c r="AU93" s="1237"/>
      <c r="AV93" s="1237"/>
      <c r="AW93" s="1237"/>
      <c r="AX93" s="1237"/>
      <c r="AY93" s="1237"/>
      <c r="AZ93" s="1237"/>
      <c r="BA93" s="1237"/>
      <c r="BB93" s="1237"/>
      <c r="BC93" s="1237"/>
      <c r="BD93" s="1237"/>
      <c r="BE93" s="1237"/>
      <c r="BF93" s="1237"/>
      <c r="BG93" s="1237"/>
      <c r="BH93" s="1237"/>
      <c r="BI93" s="1237"/>
      <c r="BJ93" s="1237"/>
      <c r="BK93" s="1237"/>
      <c r="BL93" s="1237"/>
      <c r="BM93" s="1237"/>
      <c r="BN93" s="1237"/>
      <c r="BO93" s="1237"/>
      <c r="BP93" s="1237"/>
      <c r="BQ93" s="1237"/>
      <c r="BR93" s="1237"/>
      <c r="BS93" s="1237"/>
      <c r="BT93" s="1237"/>
      <c r="BU93" s="1237"/>
      <c r="BV93" s="1237"/>
      <c r="BW93" s="1237"/>
      <c r="BX93" s="1237"/>
      <c r="BY93" s="1237"/>
      <c r="BZ93" s="1237"/>
      <c r="CA93" s="1237"/>
      <c r="CB93" s="1237"/>
      <c r="CC93" s="1237"/>
      <c r="CD93" s="1237"/>
      <c r="CE93" s="1237"/>
      <c r="CF93" s="1237"/>
      <c r="CG93" s="1237"/>
      <c r="CH93" s="1237"/>
      <c r="CI93" s="1237"/>
      <c r="CJ93" s="1237"/>
      <c r="CK93" s="1237"/>
      <c r="CL93" s="1237"/>
      <c r="CM93" s="1237"/>
      <c r="CN93" s="1237"/>
      <c r="CO93" s="1237"/>
      <c r="CP93" s="1237"/>
      <c r="CQ93" s="1237"/>
      <c r="CR93" s="1237"/>
      <c r="CS93" s="1237"/>
      <c r="CT93" s="1237"/>
      <c r="CU93" s="1237"/>
      <c r="CV93" s="1237"/>
      <c r="CW93" s="1237"/>
      <c r="CX93" s="1237"/>
      <c r="CY93" s="1237"/>
      <c r="CZ93" s="1237"/>
      <c r="DA93" s="1237"/>
      <c r="DB93" s="1237"/>
      <c r="DC93" s="1237"/>
      <c r="DD93" s="1237"/>
      <c r="DE93" s="1237"/>
      <c r="DF93" s="1237"/>
      <c r="DG93" s="1237"/>
      <c r="DH93" s="1237"/>
      <c r="DI93" s="1237"/>
      <c r="DJ93" s="1237"/>
      <c r="DK93" s="1237"/>
      <c r="DL93" s="1237"/>
      <c r="DM93" s="1237"/>
      <c r="DN93" s="1237"/>
      <c r="DO93" s="1237"/>
      <c r="DP93" s="1237"/>
      <c r="DQ93" s="1237"/>
      <c r="DR93" s="1237"/>
      <c r="DS93" s="1237"/>
      <c r="DT93" s="1237"/>
      <c r="DU93" s="1237"/>
      <c r="DV93" s="1237"/>
      <c r="DW93" s="1237"/>
      <c r="DX93" s="1237"/>
      <c r="DY93" s="1237"/>
      <c r="DZ93" s="1237"/>
      <c r="EA93" s="1237"/>
      <c r="EB93" s="1237"/>
      <c r="EC93" s="1237"/>
      <c r="ED93" s="1237"/>
      <c r="EE93" s="1237"/>
      <c r="EF93" s="1237"/>
      <c r="EG93" s="1237"/>
      <c r="EH93" s="1237"/>
      <c r="EI93" s="1237"/>
      <c r="EJ93" s="1237"/>
      <c r="EK93" s="1237"/>
      <c r="EL93" s="1237"/>
      <c r="EM93" s="1237"/>
      <c r="EN93" s="1237"/>
      <c r="EO93" s="1237"/>
      <c r="EP93" s="1237"/>
      <c r="EQ93" s="1237"/>
      <c r="ER93" s="1237"/>
      <c r="ES93" s="1237"/>
      <c r="ET93" s="1237"/>
      <c r="EU93" s="1237"/>
      <c r="EV93" s="1237"/>
      <c r="EW93" s="1237"/>
      <c r="EX93" s="1237"/>
      <c r="EY93" s="1237"/>
      <c r="EZ93" s="1237"/>
      <c r="FA93" s="1237"/>
      <c r="FB93" s="1237"/>
      <c r="FC93" s="1237"/>
      <c r="FD93" s="1237"/>
      <c r="FE93" s="1237"/>
      <c r="FF93" s="1237"/>
      <c r="FG93" s="1237"/>
      <c r="FH93" s="1237"/>
      <c r="FI93" s="1237"/>
      <c r="FJ93" s="1237"/>
      <c r="FK93" s="1237"/>
      <c r="FL93" s="1237"/>
      <c r="FM93" s="1237"/>
      <c r="FN93" s="1237"/>
      <c r="FO93" s="1237"/>
      <c r="FP93" s="1237"/>
      <c r="FQ93" s="1237"/>
      <c r="FR93" s="1237"/>
      <c r="FS93" s="1237"/>
      <c r="FT93" s="1237"/>
      <c r="FU93" s="1237"/>
      <c r="FV93" s="1237"/>
      <c r="FW93" s="1237"/>
      <c r="FX93" s="1237"/>
      <c r="FY93" s="1237"/>
      <c r="FZ93" s="1237"/>
      <c r="GA93" s="1237"/>
      <c r="GB93" s="1237"/>
      <c r="GC93" s="1237"/>
      <c r="GD93" s="1237"/>
      <c r="GE93" s="1237"/>
      <c r="GF93" s="1237"/>
      <c r="GG93" s="1237"/>
      <c r="GH93" s="1237"/>
      <c r="GI93" s="1237"/>
      <c r="GJ93" s="1237"/>
      <c r="GK93" s="1237"/>
      <c r="GL93" s="1237"/>
      <c r="GM93" s="1237"/>
      <c r="GN93" s="1237"/>
      <c r="GO93" s="1237"/>
      <c r="GP93" s="1237"/>
      <c r="GQ93" s="1237"/>
    </row>
    <row r="94" spans="1:199" ht="12">
      <c r="A94" s="786" t="s">
        <v>1183</v>
      </c>
      <c r="B94" s="811">
        <v>382.4</v>
      </c>
      <c r="C94" s="811">
        <v>508.4</v>
      </c>
      <c r="D94" s="811">
        <v>569.70000000000005</v>
      </c>
      <c r="E94" s="811">
        <v>519.79999999999995</v>
      </c>
      <c r="F94" s="811">
        <v>473</v>
      </c>
      <c r="G94" s="811">
        <v>410</v>
      </c>
      <c r="J94" s="707"/>
      <c r="K94" s="753"/>
      <c r="L94" s="753"/>
      <c r="M94" s="752"/>
      <c r="N94" s="681"/>
      <c r="O94" s="921" t="str">
        <f>'Forecasts '!A159</f>
        <v xml:space="preserve">   Total Assets</v>
      </c>
      <c r="P94" s="921">
        <f>'Forecasts '!B159</f>
        <v>1720290</v>
      </c>
      <c r="Q94" s="921">
        <f>'Forecasts '!C159</f>
        <v>1883606</v>
      </c>
      <c r="R94" s="921">
        <f>'Forecasts '!D159</f>
        <v>1744841</v>
      </c>
      <c r="S94" s="921">
        <f>'Forecasts '!E159</f>
        <v>1772400.4556356457</v>
      </c>
      <c r="T94" s="921">
        <f>'Forecasts '!F159</f>
        <v>1796792.5598091902</v>
      </c>
      <c r="U94" s="921">
        <f>'Forecasts '!G159</f>
        <v>1817991.8512752859</v>
      </c>
      <c r="V94" s="921">
        <f>'Forecasts '!H159</f>
        <v>1835231.6449061565</v>
      </c>
      <c r="W94" s="921">
        <f>'Forecasts '!I159</f>
        <v>1849445.5747247948</v>
      </c>
      <c r="X94" s="921">
        <f>'Forecasts '!J159</f>
        <v>1904928.9419665388</v>
      </c>
      <c r="AB94" s="1111"/>
      <c r="AC94" s="1239"/>
      <c r="AP94" s="681"/>
      <c r="AQ94" s="681"/>
      <c r="AR94" s="1237"/>
      <c r="AS94" s="1237"/>
      <c r="AT94" s="1237"/>
      <c r="AU94" s="1237"/>
      <c r="AV94" s="1237"/>
      <c r="AW94" s="1237"/>
      <c r="AX94" s="1237"/>
      <c r="AY94" s="1237"/>
      <c r="AZ94" s="1237"/>
      <c r="BA94" s="1237"/>
      <c r="BB94" s="1237"/>
      <c r="BC94" s="1237"/>
      <c r="BD94" s="1237"/>
      <c r="BE94" s="1237"/>
      <c r="BF94" s="1237"/>
      <c r="BG94" s="1237"/>
      <c r="BH94" s="1237"/>
      <c r="BI94" s="1237"/>
      <c r="BJ94" s="1237"/>
      <c r="BK94" s="1237"/>
      <c r="BL94" s="1237"/>
      <c r="BM94" s="1237"/>
      <c r="BN94" s="1237"/>
      <c r="BO94" s="1237"/>
      <c r="BP94" s="1237"/>
      <c r="BQ94" s="1237"/>
      <c r="BR94" s="1237"/>
      <c r="BS94" s="1237"/>
      <c r="BT94" s="1237"/>
      <c r="BU94" s="1237"/>
      <c r="BV94" s="1237"/>
      <c r="BW94" s="1237"/>
      <c r="BX94" s="1237"/>
      <c r="BY94" s="1237"/>
      <c r="BZ94" s="1237"/>
      <c r="CA94" s="1237"/>
      <c r="CB94" s="1237"/>
      <c r="CC94" s="1237"/>
      <c r="CD94" s="1237"/>
      <c r="CE94" s="1237"/>
      <c r="CF94" s="1237"/>
      <c r="CG94" s="1237"/>
      <c r="CH94" s="1237"/>
      <c r="CI94" s="1237"/>
      <c r="CJ94" s="1237"/>
      <c r="CK94" s="1237"/>
      <c r="CL94" s="1237"/>
      <c r="CM94" s="1237"/>
      <c r="CN94" s="1237"/>
      <c r="CO94" s="1237"/>
      <c r="CP94" s="1237"/>
      <c r="CQ94" s="1237"/>
      <c r="CR94" s="1237"/>
      <c r="CS94" s="1237"/>
      <c r="CT94" s="1237"/>
      <c r="CU94" s="1237"/>
      <c r="CV94" s="1237"/>
      <c r="CW94" s="1237"/>
      <c r="CX94" s="1237"/>
      <c r="CY94" s="1237"/>
      <c r="CZ94" s="1237"/>
      <c r="DA94" s="1237"/>
      <c r="DB94" s="1237"/>
      <c r="DC94" s="1237"/>
      <c r="DD94" s="1237"/>
      <c r="DE94" s="1237"/>
      <c r="DF94" s="1237"/>
      <c r="DG94" s="1237"/>
      <c r="DH94" s="1237"/>
      <c r="DI94" s="1237"/>
      <c r="DJ94" s="1237"/>
      <c r="DK94" s="1237"/>
      <c r="DL94" s="1237"/>
      <c r="DM94" s="1237"/>
      <c r="DN94" s="1237"/>
      <c r="DO94" s="1237"/>
      <c r="DP94" s="1237"/>
      <c r="DQ94" s="1237"/>
      <c r="DR94" s="1237"/>
      <c r="DS94" s="1237"/>
      <c r="DT94" s="1237"/>
      <c r="DU94" s="1237"/>
      <c r="DV94" s="1237"/>
      <c r="DW94" s="1237"/>
      <c r="DX94" s="1237"/>
      <c r="DY94" s="1237"/>
      <c r="DZ94" s="1237"/>
      <c r="EA94" s="1237"/>
      <c r="EB94" s="1237"/>
      <c r="EC94" s="1237"/>
      <c r="ED94" s="1237"/>
      <c r="EE94" s="1237"/>
      <c r="EF94" s="1237"/>
      <c r="EG94" s="1237"/>
      <c r="EH94" s="1237"/>
      <c r="EI94" s="1237"/>
      <c r="EJ94" s="1237"/>
      <c r="EK94" s="1237"/>
      <c r="EL94" s="1237"/>
      <c r="EM94" s="1237"/>
      <c r="EN94" s="1237"/>
      <c r="EO94" s="1237"/>
      <c r="EP94" s="1237"/>
      <c r="EQ94" s="1237"/>
      <c r="ER94" s="1237"/>
      <c r="ES94" s="1237"/>
      <c r="ET94" s="1237"/>
      <c r="EU94" s="1237"/>
      <c r="EV94" s="1237"/>
      <c r="EW94" s="1237"/>
      <c r="EX94" s="1237"/>
      <c r="EY94" s="1237"/>
      <c r="EZ94" s="1237"/>
      <c r="FA94" s="1237"/>
      <c r="FB94" s="1237"/>
      <c r="FC94" s="1237"/>
      <c r="FD94" s="1237"/>
      <c r="FE94" s="1237"/>
      <c r="FF94" s="1237"/>
      <c r="FG94" s="1237"/>
      <c r="FH94" s="1237"/>
      <c r="FI94" s="1237"/>
      <c r="FJ94" s="1237"/>
      <c r="FK94" s="1237"/>
      <c r="FL94" s="1237"/>
      <c r="FM94" s="1237"/>
      <c r="FN94" s="1237"/>
      <c r="FO94" s="1237"/>
      <c r="FP94" s="1237"/>
      <c r="FQ94" s="1237"/>
      <c r="FR94" s="1237"/>
      <c r="FS94" s="1237"/>
      <c r="FT94" s="1237"/>
      <c r="FU94" s="1237"/>
      <c r="FV94" s="1237"/>
      <c r="FW94" s="1237"/>
      <c r="FX94" s="1237"/>
      <c r="FY94" s="1237"/>
      <c r="FZ94" s="1237"/>
      <c r="GA94" s="1237"/>
      <c r="GB94" s="1237"/>
      <c r="GC94" s="1237"/>
      <c r="GD94" s="1237"/>
      <c r="GE94" s="1237"/>
      <c r="GF94" s="1237"/>
      <c r="GG94" s="1237"/>
      <c r="GH94" s="1237"/>
      <c r="GI94" s="1237"/>
      <c r="GJ94" s="1237"/>
      <c r="GK94" s="1237"/>
      <c r="GL94" s="1237"/>
      <c r="GM94" s="1237"/>
      <c r="GN94" s="1237"/>
      <c r="GO94" s="1237"/>
      <c r="GP94" s="1237"/>
      <c r="GQ94" s="1237"/>
    </row>
    <row r="95" spans="1:199" ht="12">
      <c r="A95" s="825" t="s">
        <v>1184</v>
      </c>
      <c r="B95" s="811">
        <v>352</v>
      </c>
      <c r="C95" s="811">
        <v>449.6</v>
      </c>
      <c r="D95" s="811">
        <v>507</v>
      </c>
      <c r="E95" s="811">
        <v>473</v>
      </c>
      <c r="F95" s="811">
        <v>423</v>
      </c>
      <c r="G95" s="811">
        <v>410</v>
      </c>
      <c r="H95" s="709"/>
      <c r="K95" s="753"/>
      <c r="L95" s="753"/>
      <c r="M95" s="752"/>
      <c r="N95" s="681"/>
      <c r="O95" s="743"/>
      <c r="P95" s="743"/>
      <c r="Q95" s="743"/>
      <c r="R95" s="743"/>
      <c r="S95" s="743"/>
      <c r="T95" s="743"/>
      <c r="U95" s="743"/>
      <c r="V95" s="743"/>
      <c r="W95" s="743"/>
      <c r="X95" s="743"/>
      <c r="AB95" s="1111"/>
      <c r="AC95" s="1239"/>
      <c r="AP95" s="681"/>
      <c r="AQ95" s="681"/>
      <c r="AR95" s="1237"/>
      <c r="AS95" s="1237"/>
      <c r="AT95" s="1237"/>
      <c r="AU95" s="1237"/>
      <c r="AV95" s="1237"/>
      <c r="AW95" s="1237"/>
      <c r="AX95" s="1237"/>
      <c r="AY95" s="1237"/>
      <c r="AZ95" s="1237"/>
      <c r="BA95" s="1237"/>
      <c r="BB95" s="1237"/>
      <c r="BC95" s="1237"/>
      <c r="BD95" s="1237"/>
      <c r="BE95" s="1237"/>
      <c r="BF95" s="1237"/>
      <c r="BG95" s="1237"/>
      <c r="BH95" s="1237"/>
      <c r="BI95" s="1237"/>
      <c r="BJ95" s="1237"/>
      <c r="BK95" s="1237"/>
      <c r="BL95" s="1237"/>
      <c r="BM95" s="1237"/>
      <c r="BN95" s="1237"/>
      <c r="BO95" s="1237"/>
      <c r="BP95" s="1237"/>
      <c r="BQ95" s="1237"/>
      <c r="BR95" s="1237"/>
      <c r="BS95" s="1237"/>
      <c r="BT95" s="1237"/>
      <c r="BU95" s="1237"/>
      <c r="BV95" s="1237"/>
      <c r="BW95" s="1237"/>
      <c r="BX95" s="1237"/>
      <c r="BY95" s="1237"/>
      <c r="BZ95" s="1237"/>
      <c r="CA95" s="1237"/>
      <c r="CB95" s="1237"/>
      <c r="CC95" s="1237"/>
      <c r="CD95" s="1237"/>
      <c r="CE95" s="1237"/>
      <c r="CF95" s="1237"/>
      <c r="CG95" s="1237"/>
      <c r="CH95" s="1237"/>
      <c r="CI95" s="1237"/>
      <c r="CJ95" s="1237"/>
      <c r="CK95" s="1237"/>
      <c r="CL95" s="1237"/>
      <c r="CM95" s="1237"/>
      <c r="CN95" s="1237"/>
      <c r="CO95" s="1237"/>
      <c r="CP95" s="1237"/>
      <c r="CQ95" s="1237"/>
      <c r="CR95" s="1237"/>
      <c r="CS95" s="1237"/>
      <c r="CT95" s="1237"/>
      <c r="CU95" s="1237"/>
      <c r="CV95" s="1237"/>
      <c r="CW95" s="1237"/>
      <c r="CX95" s="1237"/>
      <c r="CY95" s="1237"/>
      <c r="CZ95" s="1237"/>
      <c r="DA95" s="1237"/>
      <c r="DB95" s="1237"/>
      <c r="DC95" s="1237"/>
      <c r="DD95" s="1237"/>
      <c r="DE95" s="1237"/>
      <c r="DF95" s="1237"/>
      <c r="DG95" s="1237"/>
      <c r="DH95" s="1237"/>
      <c r="DI95" s="1237"/>
      <c r="DJ95" s="1237"/>
      <c r="DK95" s="1237"/>
      <c r="DL95" s="1237"/>
      <c r="DM95" s="1237"/>
      <c r="DN95" s="1237"/>
      <c r="DO95" s="1237"/>
      <c r="DP95" s="1237"/>
      <c r="DQ95" s="1237"/>
      <c r="DR95" s="1237"/>
      <c r="DS95" s="1237"/>
      <c r="DT95" s="1237"/>
      <c r="DU95" s="1237"/>
      <c r="DV95" s="1237"/>
      <c r="DW95" s="1237"/>
      <c r="DX95" s="1237"/>
      <c r="DY95" s="1237"/>
      <c r="DZ95" s="1237"/>
      <c r="EA95" s="1237"/>
      <c r="EB95" s="1237"/>
      <c r="EC95" s="1237"/>
      <c r="ED95" s="1237"/>
      <c r="EE95" s="1237"/>
      <c r="EF95" s="1237"/>
      <c r="EG95" s="1237"/>
      <c r="EH95" s="1237"/>
      <c r="EI95" s="1237"/>
      <c r="EJ95" s="1237"/>
      <c r="EK95" s="1237"/>
      <c r="EL95" s="1237"/>
      <c r="EM95" s="1237"/>
      <c r="EN95" s="1237"/>
      <c r="EO95" s="1237"/>
      <c r="EP95" s="1237"/>
      <c r="EQ95" s="1237"/>
      <c r="ER95" s="1237"/>
      <c r="ES95" s="1237"/>
      <c r="ET95" s="1237"/>
      <c r="EU95" s="1237"/>
      <c r="EV95" s="1237"/>
      <c r="EW95" s="1237"/>
      <c r="EX95" s="1237"/>
      <c r="EY95" s="1237"/>
      <c r="EZ95" s="1237"/>
      <c r="FA95" s="1237"/>
      <c r="FB95" s="1237"/>
      <c r="FC95" s="1237"/>
      <c r="FD95" s="1237"/>
      <c r="FE95" s="1237"/>
      <c r="FF95" s="1237"/>
      <c r="FG95" s="1237"/>
      <c r="FH95" s="1237"/>
      <c r="FI95" s="1237"/>
      <c r="FJ95" s="1237"/>
      <c r="FK95" s="1237"/>
      <c r="FL95" s="1237"/>
      <c r="FM95" s="1237"/>
      <c r="FN95" s="1237"/>
      <c r="FO95" s="1237"/>
      <c r="FP95" s="1237"/>
      <c r="FQ95" s="1237"/>
      <c r="FR95" s="1237"/>
      <c r="FS95" s="1237"/>
      <c r="FT95" s="1237"/>
      <c r="FU95" s="1237"/>
      <c r="FV95" s="1237"/>
      <c r="FW95" s="1237"/>
      <c r="FX95" s="1237"/>
      <c r="FY95" s="1237"/>
      <c r="FZ95" s="1237"/>
      <c r="GA95" s="1237"/>
      <c r="GB95" s="1237"/>
      <c r="GC95" s="1237"/>
      <c r="GD95" s="1237"/>
      <c r="GE95" s="1237"/>
      <c r="GF95" s="1237"/>
      <c r="GG95" s="1237"/>
      <c r="GH95" s="1237"/>
      <c r="GI95" s="1237"/>
      <c r="GJ95" s="1237"/>
      <c r="GK95" s="1237"/>
      <c r="GL95" s="1237"/>
      <c r="GM95" s="1237"/>
      <c r="GN95" s="1237"/>
      <c r="GO95" s="1237"/>
      <c r="GP95" s="1237"/>
      <c r="GQ95" s="1237"/>
    </row>
    <row r="96" spans="1:199" ht="12" customHeight="1">
      <c r="A96" s="785" t="s">
        <v>1185</v>
      </c>
      <c r="B96" s="811">
        <v>62.7</v>
      </c>
      <c r="C96" s="811">
        <v>78.400000000000006</v>
      </c>
      <c r="D96" s="811">
        <v>88.6</v>
      </c>
      <c r="E96" s="811">
        <v>76.5</v>
      </c>
      <c r="F96" s="811">
        <v>68</v>
      </c>
      <c r="G96" s="811">
        <v>73</v>
      </c>
      <c r="H96" s="754"/>
      <c r="I96" s="754"/>
      <c r="J96" s="754"/>
      <c r="K96" s="753"/>
      <c r="L96" s="753"/>
      <c r="M96" s="752"/>
      <c r="N96" s="681"/>
      <c r="O96" s="922" t="s">
        <v>1142</v>
      </c>
      <c r="P96" s="922"/>
      <c r="Q96" s="922"/>
      <c r="R96" s="922"/>
      <c r="S96" s="922"/>
      <c r="T96" s="922"/>
      <c r="U96" s="922"/>
      <c r="V96" s="922"/>
      <c r="W96" s="922"/>
      <c r="X96" s="922"/>
      <c r="AB96" s="1111"/>
      <c r="AC96" s="1239"/>
      <c r="AE96" s="748"/>
      <c r="AK96" s="709"/>
      <c r="AP96" s="681"/>
      <c r="AQ96" s="681"/>
      <c r="AR96" s="1237"/>
      <c r="AS96" s="1237"/>
      <c r="AT96" s="1237"/>
      <c r="AU96" s="1237"/>
      <c r="AV96" s="1237"/>
      <c r="AW96" s="1237"/>
      <c r="AX96" s="1237"/>
      <c r="AY96" s="1237"/>
      <c r="AZ96" s="1237"/>
      <c r="BA96" s="1237"/>
      <c r="BB96" s="1237"/>
      <c r="BC96" s="1237"/>
      <c r="BD96" s="1237"/>
      <c r="BE96" s="1237"/>
      <c r="BF96" s="1237"/>
      <c r="BG96" s="1237"/>
      <c r="BH96" s="1237"/>
      <c r="BI96" s="1237"/>
      <c r="BJ96" s="1237"/>
      <c r="BK96" s="1237"/>
      <c r="BL96" s="1237"/>
      <c r="BM96" s="1237"/>
      <c r="BN96" s="1237"/>
      <c r="BO96" s="1237"/>
      <c r="BP96" s="1237"/>
      <c r="BQ96" s="1237"/>
      <c r="BR96" s="1237"/>
      <c r="BS96" s="1237"/>
      <c r="BT96" s="1237"/>
      <c r="BU96" s="1237"/>
      <c r="BV96" s="1237"/>
      <c r="BW96" s="1237"/>
      <c r="BX96" s="1237"/>
      <c r="BY96" s="1237"/>
      <c r="BZ96" s="1237"/>
      <c r="CA96" s="1237"/>
      <c r="CB96" s="1237"/>
      <c r="CC96" s="1237"/>
      <c r="CD96" s="1237"/>
      <c r="CE96" s="1237"/>
      <c r="CF96" s="1237"/>
      <c r="CG96" s="1237"/>
      <c r="CH96" s="1237"/>
      <c r="CI96" s="1237"/>
      <c r="CJ96" s="1237"/>
      <c r="CK96" s="1237"/>
      <c r="CL96" s="1237"/>
      <c r="CM96" s="1237"/>
      <c r="CN96" s="1237"/>
      <c r="CO96" s="1237"/>
      <c r="CP96" s="1237"/>
      <c r="CQ96" s="1237"/>
      <c r="CR96" s="1237"/>
      <c r="CS96" s="1237"/>
      <c r="CT96" s="1237"/>
      <c r="CU96" s="1237"/>
      <c r="CV96" s="1237"/>
      <c r="CW96" s="1237"/>
      <c r="CX96" s="1237"/>
      <c r="CY96" s="1237"/>
      <c r="CZ96" s="1237"/>
      <c r="DA96" s="1237"/>
      <c r="DB96" s="1237"/>
      <c r="DC96" s="1237"/>
      <c r="DD96" s="1237"/>
      <c r="DE96" s="1237"/>
      <c r="DF96" s="1237"/>
      <c r="DG96" s="1237"/>
      <c r="DH96" s="1237"/>
      <c r="DI96" s="1237"/>
      <c r="DJ96" s="1237"/>
      <c r="DK96" s="1237"/>
      <c r="DL96" s="1237"/>
      <c r="DM96" s="1237"/>
      <c r="DN96" s="1237"/>
      <c r="DO96" s="1237"/>
      <c r="DP96" s="1237"/>
      <c r="DQ96" s="1237"/>
      <c r="DR96" s="1237"/>
      <c r="DS96" s="1237"/>
      <c r="DT96" s="1237"/>
      <c r="DU96" s="1237"/>
      <c r="DV96" s="1237"/>
      <c r="DW96" s="1237"/>
      <c r="DX96" s="1237"/>
      <c r="DY96" s="1237"/>
      <c r="DZ96" s="1237"/>
      <c r="EA96" s="1237"/>
      <c r="EB96" s="1237"/>
      <c r="EC96" s="1237"/>
      <c r="ED96" s="1237"/>
      <c r="EE96" s="1237"/>
      <c r="EF96" s="1237"/>
      <c r="EG96" s="1237"/>
      <c r="EH96" s="1237"/>
      <c r="EI96" s="1237"/>
      <c r="EJ96" s="1237"/>
      <c r="EK96" s="1237"/>
      <c r="EL96" s="1237"/>
      <c r="EM96" s="1237"/>
      <c r="EN96" s="1237"/>
      <c r="EO96" s="1237"/>
      <c r="EP96" s="1237"/>
      <c r="EQ96" s="1237"/>
      <c r="ER96" s="1237"/>
      <c r="ES96" s="1237"/>
      <c r="ET96" s="1237"/>
      <c r="EU96" s="1237"/>
      <c r="EV96" s="1237"/>
      <c r="EW96" s="1237"/>
      <c r="EX96" s="1237"/>
      <c r="EY96" s="1237"/>
      <c r="EZ96" s="1237"/>
      <c r="FA96" s="1237"/>
      <c r="FB96" s="1237"/>
      <c r="FC96" s="1237"/>
      <c r="FD96" s="1237"/>
      <c r="FE96" s="1237"/>
      <c r="FF96" s="1237"/>
      <c r="FG96" s="1237"/>
      <c r="FH96" s="1237"/>
      <c r="FI96" s="1237"/>
      <c r="FJ96" s="1237"/>
      <c r="FK96" s="1237"/>
      <c r="FL96" s="1237"/>
      <c r="FM96" s="1237"/>
      <c r="FN96" s="1237"/>
      <c r="FO96" s="1237"/>
      <c r="FP96" s="1237"/>
      <c r="FQ96" s="1237"/>
      <c r="FR96" s="1237"/>
      <c r="FS96" s="1237"/>
      <c r="FT96" s="1237"/>
      <c r="FU96" s="1237"/>
      <c r="FV96" s="1237"/>
      <c r="FW96" s="1237"/>
      <c r="FX96" s="1237"/>
      <c r="FY96" s="1237"/>
      <c r="FZ96" s="1237"/>
      <c r="GA96" s="1237"/>
      <c r="GB96" s="1237"/>
      <c r="GC96" s="1237"/>
      <c r="GD96" s="1237"/>
      <c r="GE96" s="1237"/>
      <c r="GF96" s="1237"/>
      <c r="GG96" s="1237"/>
      <c r="GH96" s="1237"/>
      <c r="GI96" s="1237"/>
      <c r="GJ96" s="1237"/>
      <c r="GK96" s="1237"/>
      <c r="GL96" s="1237"/>
      <c r="GM96" s="1237"/>
      <c r="GN96" s="1237"/>
      <c r="GO96" s="1237"/>
      <c r="GP96" s="1237"/>
      <c r="GQ96" s="1237"/>
    </row>
    <row r="97" spans="1:199" ht="12" customHeight="1">
      <c r="A97" s="785" t="s">
        <v>1186</v>
      </c>
      <c r="B97" s="811">
        <v>79.400000000000006</v>
      </c>
      <c r="C97" s="811">
        <v>99.6</v>
      </c>
      <c r="D97" s="811">
        <v>86.7</v>
      </c>
      <c r="E97" s="811">
        <v>87</v>
      </c>
      <c r="F97" s="811">
        <v>71.099999999999994</v>
      </c>
      <c r="G97" s="811">
        <v>84</v>
      </c>
      <c r="H97" s="754"/>
      <c r="I97" s="754"/>
      <c r="J97" s="754"/>
      <c r="K97" s="753"/>
      <c r="L97" s="753"/>
      <c r="M97" s="752"/>
      <c r="N97" s="681"/>
      <c r="O97" s="920" t="str">
        <f>'Forecasts '!A170</f>
        <v>Other non-current liabilities</v>
      </c>
      <c r="P97" s="920">
        <f>'Forecasts '!B170+'Forecasts '!B167+'Forecasts '!B164</f>
        <v>213380</v>
      </c>
      <c r="Q97" s="920">
        <f>'Forecasts '!C170+'Forecasts '!C167+'Forecasts '!C164</f>
        <v>47105</v>
      </c>
      <c r="R97" s="920">
        <f>'Forecasts '!D170+'Forecasts '!D167+'Forecasts '!D164</f>
        <v>43263</v>
      </c>
      <c r="S97" s="920">
        <f>'Forecasts '!E170+'Forecasts '!E167+'Forecasts '!E164</f>
        <v>44128.26</v>
      </c>
      <c r="T97" s="920">
        <f>'Forecasts '!F170+'Forecasts '!F167+'Forecasts '!F164</f>
        <v>45010.825199999999</v>
      </c>
      <c r="U97" s="920">
        <f>'Forecasts '!G170+'Forecasts '!G167+'Forecasts '!G164</f>
        <v>45911.041704000003</v>
      </c>
      <c r="V97" s="920">
        <f>'Forecasts '!H170+'Forecasts '!H167+'Forecasts '!H164</f>
        <v>46829.262538080002</v>
      </c>
      <c r="W97" s="920">
        <f>'Forecasts '!I170+'Forecasts '!I167+'Forecasts '!I164</f>
        <v>47765.847788841609</v>
      </c>
      <c r="X97" s="920">
        <f>'Forecasts '!J170+'Forecasts '!J167+'Forecasts '!J164</f>
        <v>49198.823222506857</v>
      </c>
      <c r="AB97" s="1111"/>
      <c r="AC97" s="1239"/>
      <c r="AD97" s="748"/>
      <c r="AE97" s="748"/>
      <c r="AK97" s="709"/>
      <c r="AP97" s="681"/>
      <c r="AQ97" s="681"/>
      <c r="AR97" s="1237"/>
      <c r="AS97" s="1237"/>
      <c r="AT97" s="1237"/>
      <c r="AU97" s="1237"/>
      <c r="AV97" s="1237"/>
      <c r="AW97" s="1237"/>
      <c r="AX97" s="1237"/>
      <c r="AY97" s="1237"/>
      <c r="AZ97" s="1237"/>
      <c r="BA97" s="1237"/>
      <c r="BB97" s="1237"/>
      <c r="BC97" s="1237"/>
      <c r="BD97" s="1237"/>
      <c r="BE97" s="1237"/>
      <c r="BF97" s="1237"/>
      <c r="BG97" s="1237"/>
      <c r="BH97" s="1237"/>
      <c r="BI97" s="1237"/>
      <c r="BJ97" s="1237"/>
      <c r="BK97" s="1237"/>
      <c r="BL97" s="1237"/>
      <c r="BM97" s="1237"/>
      <c r="BN97" s="1237"/>
      <c r="BO97" s="1237"/>
      <c r="BP97" s="1237"/>
      <c r="BQ97" s="1237"/>
      <c r="BR97" s="1237"/>
      <c r="BS97" s="1237"/>
      <c r="BT97" s="1237"/>
      <c r="BU97" s="1237"/>
      <c r="BV97" s="1237"/>
      <c r="BW97" s="1237"/>
      <c r="BX97" s="1237"/>
      <c r="BY97" s="1237"/>
      <c r="BZ97" s="1237"/>
      <c r="CA97" s="1237"/>
      <c r="CB97" s="1237"/>
      <c r="CC97" s="1237"/>
      <c r="CD97" s="1237"/>
      <c r="CE97" s="1237"/>
      <c r="CF97" s="1237"/>
      <c r="CG97" s="1237"/>
      <c r="CH97" s="1237"/>
      <c r="CI97" s="1237"/>
      <c r="CJ97" s="1237"/>
      <c r="CK97" s="1237"/>
      <c r="CL97" s="1237"/>
      <c r="CM97" s="1237"/>
      <c r="CN97" s="1237"/>
      <c r="CO97" s="1237"/>
      <c r="CP97" s="1237"/>
      <c r="CQ97" s="1237"/>
      <c r="CR97" s="1237"/>
      <c r="CS97" s="1237"/>
      <c r="CT97" s="1237"/>
      <c r="CU97" s="1237"/>
      <c r="CV97" s="1237"/>
      <c r="CW97" s="1237"/>
      <c r="CX97" s="1237"/>
      <c r="CY97" s="1237"/>
      <c r="CZ97" s="1237"/>
      <c r="DA97" s="1237"/>
      <c r="DB97" s="1237"/>
      <c r="DC97" s="1237"/>
      <c r="DD97" s="1237"/>
      <c r="DE97" s="1237"/>
      <c r="DF97" s="1237"/>
      <c r="DG97" s="1237"/>
      <c r="DH97" s="1237"/>
      <c r="DI97" s="1237"/>
      <c r="DJ97" s="1237"/>
      <c r="DK97" s="1237"/>
      <c r="DL97" s="1237"/>
      <c r="DM97" s="1237"/>
      <c r="DN97" s="1237"/>
      <c r="DO97" s="1237"/>
      <c r="DP97" s="1237"/>
      <c r="DQ97" s="1237"/>
      <c r="DR97" s="1237"/>
      <c r="DS97" s="1237"/>
      <c r="DT97" s="1237"/>
      <c r="DU97" s="1237"/>
      <c r="DV97" s="1237"/>
      <c r="DW97" s="1237"/>
      <c r="DX97" s="1237"/>
      <c r="DY97" s="1237"/>
      <c r="DZ97" s="1237"/>
      <c r="EA97" s="1237"/>
      <c r="EB97" s="1237"/>
      <c r="EC97" s="1237"/>
      <c r="ED97" s="1237"/>
      <c r="EE97" s="1237"/>
      <c r="EF97" s="1237"/>
      <c r="EG97" s="1237"/>
      <c r="EH97" s="1237"/>
      <c r="EI97" s="1237"/>
      <c r="EJ97" s="1237"/>
      <c r="EK97" s="1237"/>
      <c r="EL97" s="1237"/>
      <c r="EM97" s="1237"/>
      <c r="EN97" s="1237"/>
      <c r="EO97" s="1237"/>
      <c r="EP97" s="1237"/>
      <c r="EQ97" s="1237"/>
      <c r="ER97" s="1237"/>
      <c r="ES97" s="1237"/>
      <c r="ET97" s="1237"/>
      <c r="EU97" s="1237"/>
      <c r="EV97" s="1237"/>
      <c r="EW97" s="1237"/>
      <c r="EX97" s="1237"/>
      <c r="EY97" s="1237"/>
      <c r="EZ97" s="1237"/>
      <c r="FA97" s="1237"/>
      <c r="FB97" s="1237"/>
      <c r="FC97" s="1237"/>
      <c r="FD97" s="1237"/>
      <c r="FE97" s="1237"/>
      <c r="FF97" s="1237"/>
      <c r="FG97" s="1237"/>
      <c r="FH97" s="1237"/>
      <c r="FI97" s="1237"/>
      <c r="FJ97" s="1237"/>
      <c r="FK97" s="1237"/>
      <c r="FL97" s="1237"/>
      <c r="FM97" s="1237"/>
      <c r="FN97" s="1237"/>
      <c r="FO97" s="1237"/>
      <c r="FP97" s="1237"/>
      <c r="FQ97" s="1237"/>
      <c r="FR97" s="1237"/>
      <c r="FS97" s="1237"/>
      <c r="FT97" s="1237"/>
      <c r="FU97" s="1237"/>
      <c r="FV97" s="1237"/>
      <c r="FW97" s="1237"/>
      <c r="FX97" s="1237"/>
      <c r="FY97" s="1237"/>
      <c r="FZ97" s="1237"/>
      <c r="GA97" s="1237"/>
      <c r="GB97" s="1237"/>
      <c r="GC97" s="1237"/>
      <c r="GD97" s="1237"/>
      <c r="GE97" s="1237"/>
      <c r="GF97" s="1237"/>
      <c r="GG97" s="1237"/>
      <c r="GH97" s="1237"/>
      <c r="GI97" s="1237"/>
      <c r="GJ97" s="1237"/>
      <c r="GK97" s="1237"/>
      <c r="GL97" s="1237"/>
      <c r="GM97" s="1237"/>
      <c r="GN97" s="1237"/>
      <c r="GO97" s="1237"/>
      <c r="GP97" s="1237"/>
      <c r="GQ97" s="1237"/>
    </row>
    <row r="98" spans="1:199" ht="12" customHeight="1">
      <c r="G98" s="755"/>
      <c r="H98" s="755"/>
      <c r="I98" s="755"/>
      <c r="J98" s="755"/>
      <c r="K98" s="753"/>
      <c r="L98" s="753"/>
      <c r="M98" s="752"/>
      <c r="N98" s="681"/>
      <c r="O98" s="920" t="str">
        <f>'Forecasts '!A173</f>
        <v>Non-current lease liabilities</v>
      </c>
      <c r="P98" s="920">
        <f>'Forecasts '!B173</f>
        <v>106586</v>
      </c>
      <c r="Q98" s="920">
        <f>'Forecasts '!C173</f>
        <v>596603</v>
      </c>
      <c r="R98" s="920">
        <f>'Forecasts '!D173</f>
        <v>552344</v>
      </c>
      <c r="S98" s="920">
        <f>'Forecasts '!E173</f>
        <v>563390.88</v>
      </c>
      <c r="T98" s="920">
        <f>'Forecasts '!F173</f>
        <v>574658.69760000007</v>
      </c>
      <c r="U98" s="920">
        <f>'Forecasts '!G173</f>
        <v>586151.87155200006</v>
      </c>
      <c r="V98" s="920">
        <f>'Forecasts '!H173</f>
        <v>597874.90898304002</v>
      </c>
      <c r="W98" s="920">
        <f>'Forecasts '!I173</f>
        <v>609832.40716270078</v>
      </c>
      <c r="X98" s="920">
        <f>'Forecasts '!J173</f>
        <v>628127.37937758176</v>
      </c>
      <c r="AB98" s="1111"/>
      <c r="AC98" s="1239"/>
      <c r="AD98" s="748"/>
      <c r="AP98" s="681"/>
      <c r="AQ98" s="681"/>
      <c r="AR98" s="1237"/>
      <c r="AS98" s="1237"/>
      <c r="AT98" s="1237"/>
      <c r="AU98" s="1237"/>
      <c r="AV98" s="1237"/>
      <c r="AW98" s="1237"/>
      <c r="AX98" s="1237"/>
      <c r="AY98" s="1237"/>
      <c r="AZ98" s="1237"/>
      <c r="BA98" s="1237"/>
      <c r="BB98" s="1237"/>
      <c r="BC98" s="1237"/>
      <c r="BD98" s="1237"/>
      <c r="BE98" s="1237"/>
      <c r="BF98" s="1237"/>
      <c r="BG98" s="1237"/>
      <c r="BH98" s="1237"/>
      <c r="BI98" s="1237"/>
      <c r="BJ98" s="1237"/>
      <c r="BK98" s="1237"/>
      <c r="BL98" s="1237"/>
      <c r="BM98" s="1237"/>
      <c r="BN98" s="1237"/>
      <c r="BO98" s="1237"/>
      <c r="BP98" s="1237"/>
      <c r="BQ98" s="1237"/>
      <c r="BR98" s="1237"/>
      <c r="BS98" s="1237"/>
      <c r="BT98" s="1237"/>
      <c r="BU98" s="1237"/>
      <c r="BV98" s="1237"/>
      <c r="BW98" s="1237"/>
      <c r="BX98" s="1237"/>
      <c r="BY98" s="1237"/>
      <c r="BZ98" s="1237"/>
      <c r="CA98" s="1237"/>
      <c r="CB98" s="1237"/>
      <c r="CC98" s="1237"/>
      <c r="CD98" s="1237"/>
      <c r="CE98" s="1237"/>
      <c r="CF98" s="1237"/>
      <c r="CG98" s="1237"/>
      <c r="CH98" s="1237"/>
      <c r="CI98" s="1237"/>
      <c r="CJ98" s="1237"/>
      <c r="CK98" s="1237"/>
      <c r="CL98" s="1237"/>
      <c r="CM98" s="1237"/>
      <c r="CN98" s="1237"/>
      <c r="CO98" s="1237"/>
      <c r="CP98" s="1237"/>
      <c r="CQ98" s="1237"/>
      <c r="CR98" s="1237"/>
      <c r="CS98" s="1237"/>
      <c r="CT98" s="1237"/>
      <c r="CU98" s="1237"/>
      <c r="CV98" s="1237"/>
      <c r="CW98" s="1237"/>
      <c r="CX98" s="1237"/>
      <c r="CY98" s="1237"/>
      <c r="CZ98" s="1237"/>
      <c r="DA98" s="1237"/>
      <c r="DB98" s="1237"/>
      <c r="DC98" s="1237"/>
      <c r="DD98" s="1237"/>
      <c r="DE98" s="1237"/>
      <c r="DF98" s="1237"/>
      <c r="DG98" s="1237"/>
      <c r="DH98" s="1237"/>
      <c r="DI98" s="1237"/>
      <c r="DJ98" s="1237"/>
      <c r="DK98" s="1237"/>
      <c r="DL98" s="1237"/>
      <c r="DM98" s="1237"/>
      <c r="DN98" s="1237"/>
      <c r="DO98" s="1237"/>
      <c r="DP98" s="1237"/>
      <c r="DQ98" s="1237"/>
      <c r="DR98" s="1237"/>
      <c r="DS98" s="1237"/>
      <c r="DT98" s="1237"/>
      <c r="DU98" s="1237"/>
      <c r="DV98" s="1237"/>
      <c r="DW98" s="1237"/>
      <c r="DX98" s="1237"/>
      <c r="DY98" s="1237"/>
      <c r="DZ98" s="1237"/>
      <c r="EA98" s="1237"/>
      <c r="EB98" s="1237"/>
      <c r="EC98" s="1237"/>
      <c r="ED98" s="1237"/>
      <c r="EE98" s="1237"/>
      <c r="EF98" s="1237"/>
      <c r="EG98" s="1237"/>
      <c r="EH98" s="1237"/>
      <c r="EI98" s="1237"/>
      <c r="EJ98" s="1237"/>
      <c r="EK98" s="1237"/>
      <c r="EL98" s="1237"/>
      <c r="EM98" s="1237"/>
      <c r="EN98" s="1237"/>
      <c r="EO98" s="1237"/>
      <c r="EP98" s="1237"/>
      <c r="EQ98" s="1237"/>
      <c r="ER98" s="1237"/>
      <c r="ES98" s="1237"/>
      <c r="ET98" s="1237"/>
      <c r="EU98" s="1237"/>
      <c r="EV98" s="1237"/>
      <c r="EW98" s="1237"/>
      <c r="EX98" s="1237"/>
      <c r="EY98" s="1237"/>
      <c r="EZ98" s="1237"/>
      <c r="FA98" s="1237"/>
      <c r="FB98" s="1237"/>
      <c r="FC98" s="1237"/>
      <c r="FD98" s="1237"/>
      <c r="FE98" s="1237"/>
      <c r="FF98" s="1237"/>
      <c r="FG98" s="1237"/>
      <c r="FH98" s="1237"/>
      <c r="FI98" s="1237"/>
      <c r="FJ98" s="1237"/>
      <c r="FK98" s="1237"/>
      <c r="FL98" s="1237"/>
      <c r="FM98" s="1237"/>
      <c r="FN98" s="1237"/>
      <c r="FO98" s="1237"/>
      <c r="FP98" s="1237"/>
      <c r="FQ98" s="1237"/>
      <c r="FR98" s="1237"/>
      <c r="FS98" s="1237"/>
      <c r="FT98" s="1237"/>
      <c r="FU98" s="1237"/>
      <c r="FV98" s="1237"/>
      <c r="FW98" s="1237"/>
      <c r="FX98" s="1237"/>
      <c r="FY98" s="1237"/>
      <c r="FZ98" s="1237"/>
      <c r="GA98" s="1237"/>
      <c r="GB98" s="1237"/>
      <c r="GC98" s="1237"/>
      <c r="GD98" s="1237"/>
      <c r="GE98" s="1237"/>
      <c r="GF98" s="1237"/>
      <c r="GG98" s="1237"/>
      <c r="GH98" s="1237"/>
      <c r="GI98" s="1237"/>
      <c r="GJ98" s="1237"/>
      <c r="GK98" s="1237"/>
      <c r="GL98" s="1237"/>
      <c r="GM98" s="1237"/>
      <c r="GN98" s="1237"/>
      <c r="GO98" s="1237"/>
      <c r="GP98" s="1237"/>
      <c r="GQ98" s="1237"/>
    </row>
    <row r="99" spans="1:199" ht="12.95" customHeight="1">
      <c r="G99" s="754"/>
      <c r="H99" s="755"/>
      <c r="I99" s="755"/>
      <c r="J99" s="755"/>
      <c r="K99" s="753"/>
      <c r="L99" s="753"/>
      <c r="M99" s="752"/>
      <c r="N99" s="681"/>
      <c r="O99" s="920" t="str">
        <f>'Forecasts '!A179</f>
        <v>Other current liabilities (1)</v>
      </c>
      <c r="P99" s="923">
        <f>'Forecasts '!B179+'Forecasts '!B182+'Forecasts '!B185</f>
        <v>104147</v>
      </c>
      <c r="Q99" s="923">
        <f>'Forecasts '!C179+'Forecasts '!C182+'Forecasts '!C185</f>
        <v>460229</v>
      </c>
      <c r="R99" s="923">
        <f>'Forecasts '!D179+'Forecasts '!D182+'Forecasts '!D185</f>
        <v>479471</v>
      </c>
      <c r="S99" s="923">
        <f>'Forecasts '!E179+'Forecasts '!E182+'Forecasts '!E185</f>
        <v>489060.42</v>
      </c>
      <c r="T99" s="923">
        <f>'Forecasts '!F179+'Forecasts '!F182+'Forecasts '!F185</f>
        <v>498841.62839999999</v>
      </c>
      <c r="U99" s="923">
        <f>'Forecasts '!G179+'Forecasts '!G182+'Forecasts '!G185</f>
        <v>508818.460968</v>
      </c>
      <c r="V99" s="923">
        <f>'Forecasts '!H179+'Forecasts '!H182+'Forecasts '!H185</f>
        <v>518994.83018736</v>
      </c>
      <c r="W99" s="923">
        <f>'Forecasts '!I179+'Forecasts '!I182+'Forecasts '!I185</f>
        <v>529374.72679110721</v>
      </c>
      <c r="X99" s="923">
        <f>'Forecasts '!J179+'Forecasts '!J182+'Forecasts '!J185</f>
        <v>545255.96859484049</v>
      </c>
      <c r="AB99" s="1111"/>
      <c r="AC99" s="1239"/>
      <c r="AD99" s="1032"/>
      <c r="AE99" s="1032"/>
      <c r="AF99" s="1032"/>
      <c r="AG99" s="1032"/>
      <c r="AH99" s="1032"/>
      <c r="AI99" s="1032"/>
      <c r="AJ99" s="1032"/>
      <c r="AK99" s="1032"/>
      <c r="AL99" s="1032"/>
      <c r="AM99" s="1032"/>
      <c r="AN99" s="1032"/>
      <c r="AO99" s="1032"/>
      <c r="AP99" s="681"/>
      <c r="AQ99" s="681"/>
      <c r="AR99" s="1237"/>
      <c r="AS99" s="1237"/>
      <c r="AT99" s="1237"/>
      <c r="AU99" s="1237"/>
      <c r="AV99" s="1237"/>
      <c r="AW99" s="1237"/>
      <c r="AX99" s="1237"/>
      <c r="AY99" s="1237"/>
      <c r="AZ99" s="1237"/>
      <c r="BA99" s="1237"/>
      <c r="BB99" s="1237"/>
      <c r="BC99" s="1237"/>
      <c r="BD99" s="1237"/>
      <c r="BE99" s="1237"/>
      <c r="BF99" s="1237"/>
      <c r="BG99" s="1237"/>
      <c r="BH99" s="1237"/>
      <c r="BI99" s="1237"/>
      <c r="BJ99" s="1237"/>
      <c r="BK99" s="1237"/>
      <c r="BL99" s="1237"/>
      <c r="BM99" s="1237"/>
      <c r="BN99" s="1237"/>
      <c r="BO99" s="1237"/>
      <c r="BP99" s="1237"/>
      <c r="BQ99" s="1237"/>
      <c r="BR99" s="1237"/>
      <c r="BS99" s="1237"/>
      <c r="BT99" s="1237"/>
      <c r="BU99" s="1237"/>
      <c r="BV99" s="1237"/>
      <c r="BW99" s="1237"/>
      <c r="BX99" s="1237"/>
      <c r="BY99" s="1237"/>
      <c r="BZ99" s="1237"/>
      <c r="CA99" s="1237"/>
      <c r="CB99" s="1237"/>
      <c r="CC99" s="1237"/>
      <c r="CD99" s="1237"/>
      <c r="CE99" s="1237"/>
      <c r="CF99" s="1237"/>
      <c r="CG99" s="1237"/>
      <c r="CH99" s="1237"/>
      <c r="CI99" s="1237"/>
      <c r="CJ99" s="1237"/>
      <c r="CK99" s="1237"/>
      <c r="CL99" s="1237"/>
      <c r="CM99" s="1237"/>
      <c r="CN99" s="1237"/>
      <c r="CO99" s="1237"/>
      <c r="CP99" s="1237"/>
      <c r="CQ99" s="1237"/>
      <c r="CR99" s="1237"/>
      <c r="CS99" s="1237"/>
      <c r="CT99" s="1237"/>
      <c r="CU99" s="1237"/>
      <c r="CV99" s="1237"/>
      <c r="CW99" s="1237"/>
      <c r="CX99" s="1237"/>
      <c r="CY99" s="1237"/>
      <c r="CZ99" s="1237"/>
      <c r="DA99" s="1237"/>
      <c r="DB99" s="1237"/>
      <c r="DC99" s="1237"/>
      <c r="DD99" s="1237"/>
      <c r="DE99" s="1237"/>
      <c r="DF99" s="1237"/>
      <c r="DG99" s="1237"/>
      <c r="DH99" s="1237"/>
      <c r="DI99" s="1237"/>
      <c r="DJ99" s="1237"/>
      <c r="DK99" s="1237"/>
      <c r="DL99" s="1237"/>
      <c r="DM99" s="1237"/>
      <c r="DN99" s="1237"/>
      <c r="DO99" s="1237"/>
      <c r="DP99" s="1237"/>
      <c r="DQ99" s="1237"/>
      <c r="DR99" s="1237"/>
      <c r="DS99" s="1237"/>
      <c r="DT99" s="1237"/>
      <c r="DU99" s="1237"/>
      <c r="DV99" s="1237"/>
      <c r="DW99" s="1237"/>
      <c r="DX99" s="1237"/>
      <c r="DY99" s="1237"/>
      <c r="DZ99" s="1237"/>
      <c r="EA99" s="1237"/>
      <c r="EB99" s="1237"/>
      <c r="EC99" s="1237"/>
      <c r="ED99" s="1237"/>
      <c r="EE99" s="1237"/>
      <c r="EF99" s="1237"/>
      <c r="EG99" s="1237"/>
      <c r="EH99" s="1237"/>
      <c r="EI99" s="1237"/>
      <c r="EJ99" s="1237"/>
      <c r="EK99" s="1237"/>
      <c r="EL99" s="1237"/>
      <c r="EM99" s="1237"/>
      <c r="EN99" s="1237"/>
      <c r="EO99" s="1237"/>
      <c r="EP99" s="1237"/>
      <c r="EQ99" s="1237"/>
      <c r="ER99" s="1237"/>
      <c r="ES99" s="1237"/>
      <c r="ET99" s="1237"/>
      <c r="EU99" s="1237"/>
      <c r="EV99" s="1237"/>
      <c r="EW99" s="1237"/>
      <c r="EX99" s="1237"/>
      <c r="EY99" s="1237"/>
      <c r="EZ99" s="1237"/>
      <c r="FA99" s="1237"/>
      <c r="FB99" s="1237"/>
      <c r="FC99" s="1237"/>
      <c r="FD99" s="1237"/>
      <c r="FE99" s="1237"/>
      <c r="FF99" s="1237"/>
      <c r="FG99" s="1237"/>
      <c r="FH99" s="1237"/>
      <c r="FI99" s="1237"/>
      <c r="FJ99" s="1237"/>
      <c r="FK99" s="1237"/>
      <c r="FL99" s="1237"/>
      <c r="FM99" s="1237"/>
      <c r="FN99" s="1237"/>
      <c r="FO99" s="1237"/>
      <c r="FP99" s="1237"/>
      <c r="FQ99" s="1237"/>
      <c r="FR99" s="1237"/>
      <c r="FS99" s="1237"/>
      <c r="FT99" s="1237"/>
      <c r="FU99" s="1237"/>
      <c r="FV99" s="1237"/>
      <c r="FW99" s="1237"/>
      <c r="FX99" s="1237"/>
      <c r="FY99" s="1237"/>
      <c r="FZ99" s="1237"/>
      <c r="GA99" s="1237"/>
      <c r="GB99" s="1237"/>
      <c r="GC99" s="1237"/>
      <c r="GD99" s="1237"/>
      <c r="GE99" s="1237"/>
      <c r="GF99" s="1237"/>
      <c r="GG99" s="1237"/>
      <c r="GH99" s="1237"/>
      <c r="GI99" s="1237"/>
      <c r="GJ99" s="1237"/>
      <c r="GK99" s="1237"/>
      <c r="GL99" s="1237"/>
      <c r="GM99" s="1237"/>
      <c r="GN99" s="1237"/>
      <c r="GO99" s="1237"/>
      <c r="GP99" s="1237"/>
      <c r="GQ99" s="1237"/>
    </row>
    <row r="100" spans="1:199" ht="12.95" customHeight="1">
      <c r="A100" s="1022" t="s">
        <v>1227</v>
      </c>
      <c r="B100" s="1022"/>
      <c r="C100" s="1022"/>
      <c r="D100" s="1022"/>
      <c r="E100" s="1022"/>
      <c r="F100" s="1022"/>
      <c r="G100" s="757"/>
      <c r="H100" s="758"/>
      <c r="I100" s="758"/>
      <c r="J100" s="758"/>
      <c r="K100" s="758"/>
      <c r="L100" s="758"/>
      <c r="M100" s="758"/>
      <c r="N100" s="681"/>
      <c r="O100" s="924" t="str">
        <f>'Forecasts '!A188</f>
        <v xml:space="preserve">  Current Liabilities</v>
      </c>
      <c r="P100" s="924">
        <f>'Forecasts '!B188</f>
        <v>424113</v>
      </c>
      <c r="Q100" s="924">
        <f>'Forecasts '!C188</f>
        <v>1103937</v>
      </c>
      <c r="R100" s="924">
        <f>'Forecasts '!D188</f>
        <v>1075078</v>
      </c>
      <c r="S100" s="924">
        <f>'Forecasts '!E188</f>
        <v>1096579.56</v>
      </c>
      <c r="T100" s="924">
        <f>'Forecasts '!F188</f>
        <v>1118511.1512</v>
      </c>
      <c r="U100" s="924">
        <f>'Forecasts '!G188</f>
        <v>1140881.3742240001</v>
      </c>
      <c r="V100" s="924">
        <f>'Forecasts '!H188</f>
        <v>1163699.0017084801</v>
      </c>
      <c r="W100" s="924">
        <f>'Forecasts '!I188</f>
        <v>1186972.9817426496</v>
      </c>
      <c r="X100" s="924">
        <f>'Forecasts '!J188</f>
        <v>1222582.1711949292</v>
      </c>
      <c r="AB100" s="1111"/>
      <c r="AC100" s="1239"/>
      <c r="AD100" s="1032"/>
      <c r="AE100" s="1032"/>
      <c r="AF100" s="1032"/>
      <c r="AG100" s="1032"/>
      <c r="AH100" s="1032"/>
      <c r="AI100" s="1032"/>
      <c r="AJ100" s="1032"/>
      <c r="AK100" s="1032"/>
      <c r="AL100" s="1032"/>
      <c r="AM100" s="1032"/>
      <c r="AN100" s="1032"/>
      <c r="AO100" s="1032"/>
      <c r="AP100" s="681"/>
      <c r="AQ100" s="681"/>
      <c r="AR100" s="1237"/>
      <c r="AS100" s="1237"/>
      <c r="AT100" s="1237"/>
      <c r="AU100" s="1237"/>
      <c r="AV100" s="1237"/>
      <c r="AW100" s="1237"/>
      <c r="AX100" s="1237"/>
      <c r="AY100" s="1237"/>
      <c r="AZ100" s="1237"/>
      <c r="BA100" s="1237"/>
      <c r="BB100" s="1237"/>
      <c r="BC100" s="1237"/>
      <c r="BD100" s="1237"/>
      <c r="BE100" s="1237"/>
      <c r="BF100" s="1237"/>
      <c r="BG100" s="1237"/>
      <c r="BH100" s="1237"/>
      <c r="BI100" s="1237"/>
      <c r="BJ100" s="1237"/>
      <c r="BK100" s="1237"/>
      <c r="BL100" s="1237"/>
      <c r="BM100" s="1237"/>
      <c r="BN100" s="1237"/>
      <c r="BO100" s="1237"/>
      <c r="BP100" s="1237"/>
      <c r="BQ100" s="1237"/>
      <c r="BR100" s="1237"/>
      <c r="BS100" s="1237"/>
      <c r="BT100" s="1237"/>
      <c r="BU100" s="1237"/>
      <c r="BV100" s="1237"/>
      <c r="BW100" s="1237"/>
      <c r="BX100" s="1237"/>
      <c r="BY100" s="1237"/>
      <c r="BZ100" s="1237"/>
      <c r="CA100" s="1237"/>
      <c r="CB100" s="1237"/>
      <c r="CC100" s="1237"/>
      <c r="CD100" s="1237"/>
      <c r="CE100" s="1237"/>
      <c r="CF100" s="1237"/>
      <c r="CG100" s="1237"/>
      <c r="CH100" s="1237"/>
      <c r="CI100" s="1237"/>
      <c r="CJ100" s="1237"/>
      <c r="CK100" s="1237"/>
      <c r="CL100" s="1237"/>
      <c r="CM100" s="1237"/>
      <c r="CN100" s="1237"/>
      <c r="CO100" s="1237"/>
      <c r="CP100" s="1237"/>
      <c r="CQ100" s="1237"/>
      <c r="CR100" s="1237"/>
      <c r="CS100" s="1237"/>
      <c r="CT100" s="1237"/>
      <c r="CU100" s="1237"/>
      <c r="CV100" s="1237"/>
      <c r="CW100" s="1237"/>
      <c r="CX100" s="1237"/>
      <c r="CY100" s="1237"/>
      <c r="CZ100" s="1237"/>
      <c r="DA100" s="1237"/>
      <c r="DB100" s="1237"/>
      <c r="DC100" s="1237"/>
      <c r="DD100" s="1237"/>
      <c r="DE100" s="1237"/>
      <c r="DF100" s="1237"/>
      <c r="DG100" s="1237"/>
      <c r="DH100" s="1237"/>
      <c r="DI100" s="1237"/>
      <c r="DJ100" s="1237"/>
      <c r="DK100" s="1237"/>
      <c r="DL100" s="1237"/>
      <c r="DM100" s="1237"/>
      <c r="DN100" s="1237"/>
      <c r="DO100" s="1237"/>
      <c r="DP100" s="1237"/>
      <c r="DQ100" s="1237"/>
      <c r="DR100" s="1237"/>
      <c r="DS100" s="1237"/>
      <c r="DT100" s="1237"/>
      <c r="DU100" s="1237"/>
      <c r="DV100" s="1237"/>
      <c r="DW100" s="1237"/>
      <c r="DX100" s="1237"/>
      <c r="DY100" s="1237"/>
      <c r="DZ100" s="1237"/>
      <c r="EA100" s="1237"/>
      <c r="EB100" s="1237"/>
      <c r="EC100" s="1237"/>
      <c r="ED100" s="1237"/>
      <c r="EE100" s="1237"/>
      <c r="EF100" s="1237"/>
      <c r="EG100" s="1237"/>
      <c r="EH100" s="1237"/>
      <c r="EI100" s="1237"/>
      <c r="EJ100" s="1237"/>
      <c r="EK100" s="1237"/>
      <c r="EL100" s="1237"/>
      <c r="EM100" s="1237"/>
      <c r="EN100" s="1237"/>
      <c r="EO100" s="1237"/>
      <c r="EP100" s="1237"/>
      <c r="EQ100" s="1237"/>
      <c r="ER100" s="1237"/>
      <c r="ES100" s="1237"/>
      <c r="ET100" s="1237"/>
      <c r="EU100" s="1237"/>
      <c r="EV100" s="1237"/>
      <c r="EW100" s="1237"/>
      <c r="EX100" s="1237"/>
      <c r="EY100" s="1237"/>
      <c r="EZ100" s="1237"/>
      <c r="FA100" s="1237"/>
      <c r="FB100" s="1237"/>
      <c r="FC100" s="1237"/>
      <c r="FD100" s="1237"/>
      <c r="FE100" s="1237"/>
      <c r="FF100" s="1237"/>
      <c r="FG100" s="1237"/>
      <c r="FH100" s="1237"/>
      <c r="FI100" s="1237"/>
      <c r="FJ100" s="1237"/>
      <c r="FK100" s="1237"/>
      <c r="FL100" s="1237"/>
      <c r="FM100" s="1237"/>
      <c r="FN100" s="1237"/>
      <c r="FO100" s="1237"/>
      <c r="FP100" s="1237"/>
      <c r="FQ100" s="1237"/>
      <c r="FR100" s="1237"/>
      <c r="FS100" s="1237"/>
      <c r="FT100" s="1237"/>
      <c r="FU100" s="1237"/>
      <c r="FV100" s="1237"/>
      <c r="FW100" s="1237"/>
      <c r="FX100" s="1237"/>
      <c r="FY100" s="1237"/>
      <c r="FZ100" s="1237"/>
      <c r="GA100" s="1237"/>
      <c r="GB100" s="1237"/>
      <c r="GC100" s="1237"/>
      <c r="GD100" s="1237"/>
      <c r="GE100" s="1237"/>
      <c r="GF100" s="1237"/>
      <c r="GG100" s="1237"/>
      <c r="GH100" s="1237"/>
      <c r="GI100" s="1237"/>
      <c r="GJ100" s="1237"/>
      <c r="GK100" s="1237"/>
      <c r="GL100" s="1237"/>
      <c r="GM100" s="1237"/>
      <c r="GN100" s="1237"/>
      <c r="GO100" s="1237"/>
      <c r="GP100" s="1237"/>
      <c r="GQ100" s="1237"/>
    </row>
    <row r="101" spans="1:199" ht="12" customHeight="1">
      <c r="A101" s="1022"/>
      <c r="B101" s="1022"/>
      <c r="C101" s="1022"/>
      <c r="D101" s="1022"/>
      <c r="E101" s="1022"/>
      <c r="F101" s="1022"/>
      <c r="G101" s="761"/>
      <c r="H101" s="758"/>
      <c r="I101" s="758"/>
      <c r="J101" s="758"/>
      <c r="K101" s="758"/>
      <c r="L101" s="758"/>
      <c r="M101" s="758"/>
      <c r="N101" s="681"/>
      <c r="O101" s="743"/>
      <c r="P101" s="743"/>
      <c r="Q101" s="743"/>
      <c r="R101" s="743"/>
      <c r="S101" s="743"/>
      <c r="T101" s="743"/>
      <c r="U101" s="743"/>
      <c r="V101" s="743"/>
      <c r="W101" s="743"/>
      <c r="X101" s="743"/>
      <c r="AB101" s="1111"/>
      <c r="AC101" s="1239"/>
      <c r="AD101" s="1032"/>
      <c r="AE101" s="1032"/>
      <c r="AF101" s="1032"/>
      <c r="AG101" s="1032"/>
      <c r="AH101" s="1032"/>
      <c r="AI101" s="1032"/>
      <c r="AJ101" s="1032"/>
      <c r="AK101" s="1032"/>
      <c r="AL101" s="1032"/>
      <c r="AM101" s="1032"/>
      <c r="AN101" s="1032"/>
      <c r="AO101" s="1032"/>
      <c r="AP101" s="681"/>
      <c r="AQ101" s="681"/>
      <c r="AR101" s="1237"/>
      <c r="AS101" s="1237"/>
      <c r="AT101" s="1237"/>
      <c r="AU101" s="1237"/>
      <c r="AV101" s="1237"/>
      <c r="AW101" s="1237"/>
      <c r="AX101" s="1237"/>
      <c r="AY101" s="1237"/>
      <c r="AZ101" s="1237"/>
      <c r="BA101" s="1237"/>
      <c r="BB101" s="1237"/>
      <c r="BC101" s="1237"/>
      <c r="BD101" s="1237"/>
      <c r="BE101" s="1237"/>
      <c r="BF101" s="1237"/>
      <c r="BG101" s="1237"/>
      <c r="BH101" s="1237"/>
      <c r="BI101" s="1237"/>
      <c r="BJ101" s="1237"/>
      <c r="BK101" s="1237"/>
      <c r="BL101" s="1237"/>
      <c r="BM101" s="1237"/>
      <c r="BN101" s="1237"/>
      <c r="BO101" s="1237"/>
      <c r="BP101" s="1237"/>
      <c r="BQ101" s="1237"/>
      <c r="BR101" s="1237"/>
      <c r="BS101" s="1237"/>
      <c r="BT101" s="1237"/>
      <c r="BU101" s="1237"/>
      <c r="BV101" s="1237"/>
      <c r="BW101" s="1237"/>
      <c r="BX101" s="1237"/>
      <c r="BY101" s="1237"/>
      <c r="BZ101" s="1237"/>
      <c r="CA101" s="1237"/>
      <c r="CB101" s="1237"/>
      <c r="CC101" s="1237"/>
      <c r="CD101" s="1237"/>
      <c r="CE101" s="1237"/>
      <c r="CF101" s="1237"/>
      <c r="CG101" s="1237"/>
      <c r="CH101" s="1237"/>
      <c r="CI101" s="1237"/>
      <c r="CJ101" s="1237"/>
      <c r="CK101" s="1237"/>
      <c r="CL101" s="1237"/>
      <c r="CM101" s="1237"/>
      <c r="CN101" s="1237"/>
      <c r="CO101" s="1237"/>
      <c r="CP101" s="1237"/>
      <c r="CQ101" s="1237"/>
      <c r="CR101" s="1237"/>
      <c r="CS101" s="1237"/>
      <c r="CT101" s="1237"/>
      <c r="CU101" s="1237"/>
      <c r="CV101" s="1237"/>
      <c r="CW101" s="1237"/>
      <c r="CX101" s="1237"/>
      <c r="CY101" s="1237"/>
      <c r="CZ101" s="1237"/>
      <c r="DA101" s="1237"/>
      <c r="DB101" s="1237"/>
      <c r="DC101" s="1237"/>
      <c r="DD101" s="1237"/>
      <c r="DE101" s="1237"/>
      <c r="DF101" s="1237"/>
      <c r="DG101" s="1237"/>
      <c r="DH101" s="1237"/>
      <c r="DI101" s="1237"/>
      <c r="DJ101" s="1237"/>
      <c r="DK101" s="1237"/>
      <c r="DL101" s="1237"/>
      <c r="DM101" s="1237"/>
      <c r="DN101" s="1237"/>
      <c r="DO101" s="1237"/>
      <c r="DP101" s="1237"/>
      <c r="DQ101" s="1237"/>
      <c r="DR101" s="1237"/>
      <c r="DS101" s="1237"/>
      <c r="DT101" s="1237"/>
      <c r="DU101" s="1237"/>
      <c r="DV101" s="1237"/>
      <c r="DW101" s="1237"/>
      <c r="DX101" s="1237"/>
      <c r="DY101" s="1237"/>
      <c r="DZ101" s="1237"/>
      <c r="EA101" s="1237"/>
      <c r="EB101" s="1237"/>
      <c r="EC101" s="1237"/>
      <c r="ED101" s="1237"/>
      <c r="EE101" s="1237"/>
      <c r="EF101" s="1237"/>
      <c r="EG101" s="1237"/>
      <c r="EH101" s="1237"/>
      <c r="EI101" s="1237"/>
      <c r="EJ101" s="1237"/>
      <c r="EK101" s="1237"/>
      <c r="EL101" s="1237"/>
      <c r="EM101" s="1237"/>
      <c r="EN101" s="1237"/>
      <c r="EO101" s="1237"/>
      <c r="EP101" s="1237"/>
      <c r="EQ101" s="1237"/>
      <c r="ER101" s="1237"/>
      <c r="ES101" s="1237"/>
      <c r="ET101" s="1237"/>
      <c r="EU101" s="1237"/>
      <c r="EV101" s="1237"/>
      <c r="EW101" s="1237"/>
      <c r="EX101" s="1237"/>
      <c r="EY101" s="1237"/>
      <c r="EZ101" s="1237"/>
      <c r="FA101" s="1237"/>
      <c r="FB101" s="1237"/>
      <c r="FC101" s="1237"/>
      <c r="FD101" s="1237"/>
      <c r="FE101" s="1237"/>
      <c r="FF101" s="1237"/>
      <c r="FG101" s="1237"/>
      <c r="FH101" s="1237"/>
      <c r="FI101" s="1237"/>
      <c r="FJ101" s="1237"/>
      <c r="FK101" s="1237"/>
      <c r="FL101" s="1237"/>
      <c r="FM101" s="1237"/>
      <c r="FN101" s="1237"/>
      <c r="FO101" s="1237"/>
      <c r="FP101" s="1237"/>
      <c r="FQ101" s="1237"/>
      <c r="FR101" s="1237"/>
      <c r="FS101" s="1237"/>
      <c r="FT101" s="1237"/>
      <c r="FU101" s="1237"/>
      <c r="FV101" s="1237"/>
      <c r="FW101" s="1237"/>
      <c r="FX101" s="1237"/>
      <c r="FY101" s="1237"/>
      <c r="FZ101" s="1237"/>
      <c r="GA101" s="1237"/>
      <c r="GB101" s="1237"/>
      <c r="GC101" s="1237"/>
      <c r="GD101" s="1237"/>
      <c r="GE101" s="1237"/>
      <c r="GF101" s="1237"/>
      <c r="GG101" s="1237"/>
      <c r="GH101" s="1237"/>
      <c r="GI101" s="1237"/>
      <c r="GJ101" s="1237"/>
      <c r="GK101" s="1237"/>
      <c r="GL101" s="1237"/>
      <c r="GM101" s="1237"/>
      <c r="GN101" s="1237"/>
      <c r="GO101" s="1237"/>
      <c r="GP101" s="1237"/>
      <c r="GQ101" s="1237"/>
    </row>
    <row r="102" spans="1:199" ht="12.95" customHeight="1">
      <c r="A102" s="1022"/>
      <c r="B102" s="1022"/>
      <c r="C102" s="1022"/>
      <c r="D102" s="1022"/>
      <c r="E102" s="1022"/>
      <c r="F102" s="1022"/>
      <c r="G102" s="761"/>
      <c r="H102" s="758"/>
      <c r="I102" s="758"/>
      <c r="J102" s="758"/>
      <c r="K102" s="758"/>
      <c r="L102" s="758"/>
      <c r="M102" s="758"/>
      <c r="N102" s="681"/>
      <c r="O102" s="919" t="str">
        <f>'Forecasts '!A194</f>
        <v>Long-term accrued liabilities</v>
      </c>
      <c r="P102" s="919">
        <f>'Forecasts '!B194</f>
        <v>468737</v>
      </c>
      <c r="Q102" s="919">
        <f>'Forecasts '!C194</f>
        <v>6589</v>
      </c>
      <c r="R102" s="919">
        <f>'Forecasts '!D194</f>
        <v>3404</v>
      </c>
      <c r="S102" s="919">
        <f>'Forecasts '!E194</f>
        <v>3472.08</v>
      </c>
      <c r="T102" s="919">
        <f>'Forecasts '!F194</f>
        <v>3541.5216</v>
      </c>
      <c r="U102" s="919">
        <f>'Forecasts '!G194</f>
        <v>3612.3520320000002</v>
      </c>
      <c r="V102" s="919">
        <f>'Forecasts '!H194</f>
        <v>3684.5990726400005</v>
      </c>
      <c r="W102" s="919">
        <f>'Forecasts '!I194</f>
        <v>3758.2910540928006</v>
      </c>
      <c r="X102" s="919">
        <f>'Forecasts '!J194</f>
        <v>3871.0397857155845</v>
      </c>
      <c r="AB102" s="1111"/>
      <c r="AC102" s="1239"/>
      <c r="AD102" s="1033"/>
      <c r="AE102" s="1033"/>
      <c r="AF102" s="1033"/>
      <c r="AG102" s="1033"/>
      <c r="AH102" s="1033"/>
      <c r="AI102" s="1033"/>
      <c r="AJ102" s="1033"/>
      <c r="AK102" s="1033"/>
      <c r="AL102" s="1033"/>
      <c r="AM102" s="1033"/>
      <c r="AN102" s="1033"/>
      <c r="AO102" s="1033"/>
      <c r="AP102" s="681"/>
      <c r="AQ102" s="681"/>
      <c r="AR102" s="1237"/>
      <c r="AS102" s="1237"/>
      <c r="AT102" s="1237"/>
      <c r="AU102" s="1237"/>
      <c r="AV102" s="1237"/>
      <c r="AW102" s="1237"/>
      <c r="AX102" s="1237"/>
      <c r="AY102" s="1237"/>
      <c r="AZ102" s="1237"/>
      <c r="BA102" s="1237"/>
      <c r="BB102" s="1237"/>
      <c r="BC102" s="1237"/>
      <c r="BD102" s="1237"/>
      <c r="BE102" s="1237"/>
      <c r="BF102" s="1237"/>
      <c r="BG102" s="1237"/>
      <c r="BH102" s="1237"/>
      <c r="BI102" s="1237"/>
      <c r="BJ102" s="1237"/>
      <c r="BK102" s="1237"/>
      <c r="BL102" s="1237"/>
      <c r="BM102" s="1237"/>
      <c r="BN102" s="1237"/>
      <c r="BO102" s="1237"/>
      <c r="BP102" s="1237"/>
      <c r="BQ102" s="1237"/>
      <c r="BR102" s="1237"/>
      <c r="BS102" s="1237"/>
      <c r="BT102" s="1237"/>
      <c r="BU102" s="1237"/>
      <c r="BV102" s="1237"/>
      <c r="BW102" s="1237"/>
      <c r="BX102" s="1237"/>
      <c r="BY102" s="1237"/>
      <c r="BZ102" s="1237"/>
      <c r="CA102" s="1237"/>
      <c r="CB102" s="1237"/>
      <c r="CC102" s="1237"/>
      <c r="CD102" s="1237"/>
      <c r="CE102" s="1237"/>
      <c r="CF102" s="1237"/>
      <c r="CG102" s="1237"/>
      <c r="CH102" s="1237"/>
      <c r="CI102" s="1237"/>
      <c r="CJ102" s="1237"/>
      <c r="CK102" s="1237"/>
      <c r="CL102" s="1237"/>
      <c r="CM102" s="1237"/>
      <c r="CN102" s="1237"/>
      <c r="CO102" s="1237"/>
      <c r="CP102" s="1237"/>
      <c r="CQ102" s="1237"/>
      <c r="CR102" s="1237"/>
      <c r="CS102" s="1237"/>
      <c r="CT102" s="1237"/>
      <c r="CU102" s="1237"/>
      <c r="CV102" s="1237"/>
      <c r="CW102" s="1237"/>
      <c r="CX102" s="1237"/>
      <c r="CY102" s="1237"/>
      <c r="CZ102" s="1237"/>
      <c r="DA102" s="1237"/>
      <c r="DB102" s="1237"/>
      <c r="DC102" s="1237"/>
      <c r="DD102" s="1237"/>
      <c r="DE102" s="1237"/>
      <c r="DF102" s="1237"/>
      <c r="DG102" s="1237"/>
      <c r="DH102" s="1237"/>
      <c r="DI102" s="1237"/>
      <c r="DJ102" s="1237"/>
      <c r="DK102" s="1237"/>
      <c r="DL102" s="1237"/>
      <c r="DM102" s="1237"/>
      <c r="DN102" s="1237"/>
      <c r="DO102" s="1237"/>
      <c r="DP102" s="1237"/>
      <c r="DQ102" s="1237"/>
      <c r="DR102" s="1237"/>
      <c r="DS102" s="1237"/>
      <c r="DT102" s="1237"/>
      <c r="DU102" s="1237"/>
      <c r="DV102" s="1237"/>
      <c r="DW102" s="1237"/>
      <c r="DX102" s="1237"/>
      <c r="DY102" s="1237"/>
      <c r="DZ102" s="1237"/>
      <c r="EA102" s="1237"/>
      <c r="EB102" s="1237"/>
      <c r="EC102" s="1237"/>
      <c r="ED102" s="1237"/>
      <c r="EE102" s="1237"/>
      <c r="EF102" s="1237"/>
      <c r="EG102" s="1237"/>
      <c r="EH102" s="1237"/>
      <c r="EI102" s="1237"/>
      <c r="EJ102" s="1237"/>
      <c r="EK102" s="1237"/>
      <c r="EL102" s="1237"/>
      <c r="EM102" s="1237"/>
      <c r="EN102" s="1237"/>
      <c r="EO102" s="1237"/>
      <c r="EP102" s="1237"/>
      <c r="EQ102" s="1237"/>
      <c r="ER102" s="1237"/>
      <c r="ES102" s="1237"/>
      <c r="ET102" s="1237"/>
      <c r="EU102" s="1237"/>
      <c r="EV102" s="1237"/>
      <c r="EW102" s="1237"/>
      <c r="EX102" s="1237"/>
      <c r="EY102" s="1237"/>
      <c r="EZ102" s="1237"/>
      <c r="FA102" s="1237"/>
      <c r="FB102" s="1237"/>
      <c r="FC102" s="1237"/>
      <c r="FD102" s="1237"/>
      <c r="FE102" s="1237"/>
      <c r="FF102" s="1237"/>
      <c r="FG102" s="1237"/>
      <c r="FH102" s="1237"/>
      <c r="FI102" s="1237"/>
      <c r="FJ102" s="1237"/>
      <c r="FK102" s="1237"/>
      <c r="FL102" s="1237"/>
      <c r="FM102" s="1237"/>
      <c r="FN102" s="1237"/>
      <c r="FO102" s="1237"/>
      <c r="FP102" s="1237"/>
      <c r="FQ102" s="1237"/>
      <c r="FR102" s="1237"/>
      <c r="FS102" s="1237"/>
      <c r="FT102" s="1237"/>
      <c r="FU102" s="1237"/>
      <c r="FV102" s="1237"/>
      <c r="FW102" s="1237"/>
      <c r="FX102" s="1237"/>
      <c r="FY102" s="1237"/>
      <c r="FZ102" s="1237"/>
      <c r="GA102" s="1237"/>
      <c r="GB102" s="1237"/>
      <c r="GC102" s="1237"/>
      <c r="GD102" s="1237"/>
      <c r="GE102" s="1237"/>
      <c r="GF102" s="1237"/>
      <c r="GG102" s="1237"/>
      <c r="GH102" s="1237"/>
      <c r="GI102" s="1237"/>
      <c r="GJ102" s="1237"/>
      <c r="GK102" s="1237"/>
      <c r="GL102" s="1237"/>
      <c r="GM102" s="1237"/>
      <c r="GN102" s="1237"/>
      <c r="GO102" s="1237"/>
      <c r="GP102" s="1237"/>
      <c r="GQ102" s="1237"/>
    </row>
    <row r="103" spans="1:199" ht="12" customHeight="1">
      <c r="A103" s="1022"/>
      <c r="B103" s="1022"/>
      <c r="C103" s="1022"/>
      <c r="D103" s="1022"/>
      <c r="E103" s="1022"/>
      <c r="F103" s="1022"/>
      <c r="G103" s="699"/>
      <c r="H103" s="699"/>
      <c r="I103" s="699"/>
      <c r="J103" s="699"/>
      <c r="K103" s="699"/>
      <c r="L103" s="699"/>
      <c r="M103" s="699"/>
      <c r="N103" s="681"/>
      <c r="O103" s="919" t="str">
        <f>'Forecasts '!A197</f>
        <v>Deferred tax liabilities- noncurrent</v>
      </c>
      <c r="P103" s="919">
        <f>'Forecasts '!B197</f>
        <v>6071</v>
      </c>
      <c r="Q103" s="919">
        <f>'Forecasts '!C197</f>
        <v>6832</v>
      </c>
      <c r="R103" s="919">
        <f>'Forecasts '!D197</f>
        <v>5682</v>
      </c>
      <c r="S103" s="919">
        <f>'Forecasts '!E197</f>
        <v>5795.64</v>
      </c>
      <c r="T103" s="919">
        <f>'Forecasts '!F197</f>
        <v>5911.5528000000004</v>
      </c>
      <c r="U103" s="919">
        <f>'Forecasts '!G197</f>
        <v>6029.7838560000009</v>
      </c>
      <c r="V103" s="919">
        <f>'Forecasts '!H197</f>
        <v>6150.3795331200008</v>
      </c>
      <c r="W103" s="919">
        <f>'Forecasts '!I197</f>
        <v>6273.3871237824005</v>
      </c>
      <c r="X103" s="919">
        <f>'Forecasts '!J197</f>
        <v>6461.5887374958729</v>
      </c>
      <c r="AB103" s="1111"/>
      <c r="AC103" s="1239"/>
      <c r="AD103" s="1033"/>
      <c r="AE103" s="1033"/>
      <c r="AF103" s="1033"/>
      <c r="AG103" s="1033"/>
      <c r="AH103" s="1033"/>
      <c r="AI103" s="1033"/>
      <c r="AJ103" s="1033"/>
      <c r="AK103" s="1033"/>
      <c r="AL103" s="1033"/>
      <c r="AM103" s="1033"/>
      <c r="AN103" s="1033"/>
      <c r="AO103" s="1033"/>
      <c r="AP103" s="681"/>
      <c r="AQ103" s="681"/>
      <c r="AR103" s="1237"/>
      <c r="AS103" s="1237"/>
      <c r="AT103" s="1237"/>
      <c r="AU103" s="1237"/>
      <c r="AV103" s="1237"/>
      <c r="AW103" s="1237"/>
      <c r="AX103" s="1237"/>
      <c r="AY103" s="1237"/>
      <c r="AZ103" s="1237"/>
      <c r="BA103" s="1237"/>
      <c r="BB103" s="1237"/>
      <c r="BC103" s="1237"/>
      <c r="BD103" s="1237"/>
      <c r="BE103" s="1237"/>
      <c r="BF103" s="1237"/>
      <c r="BG103" s="1237"/>
      <c r="BH103" s="1237"/>
      <c r="BI103" s="1237"/>
      <c r="BJ103" s="1237"/>
      <c r="BK103" s="1237"/>
      <c r="BL103" s="1237"/>
      <c r="BM103" s="1237"/>
      <c r="BN103" s="1237"/>
      <c r="BO103" s="1237"/>
      <c r="BP103" s="1237"/>
      <c r="BQ103" s="1237"/>
      <c r="BR103" s="1237"/>
      <c r="BS103" s="1237"/>
      <c r="BT103" s="1237"/>
      <c r="BU103" s="1237"/>
      <c r="BV103" s="1237"/>
      <c r="BW103" s="1237"/>
      <c r="BX103" s="1237"/>
      <c r="BY103" s="1237"/>
      <c r="BZ103" s="1237"/>
      <c r="CA103" s="1237"/>
      <c r="CB103" s="1237"/>
      <c r="CC103" s="1237"/>
      <c r="CD103" s="1237"/>
      <c r="CE103" s="1237"/>
      <c r="CF103" s="1237"/>
      <c r="CG103" s="1237"/>
      <c r="CH103" s="1237"/>
      <c r="CI103" s="1237"/>
      <c r="CJ103" s="1237"/>
      <c r="CK103" s="1237"/>
      <c r="CL103" s="1237"/>
      <c r="CM103" s="1237"/>
      <c r="CN103" s="1237"/>
      <c r="CO103" s="1237"/>
      <c r="CP103" s="1237"/>
      <c r="CQ103" s="1237"/>
      <c r="CR103" s="1237"/>
      <c r="CS103" s="1237"/>
      <c r="CT103" s="1237"/>
      <c r="CU103" s="1237"/>
      <c r="CV103" s="1237"/>
      <c r="CW103" s="1237"/>
      <c r="CX103" s="1237"/>
      <c r="CY103" s="1237"/>
      <c r="CZ103" s="1237"/>
      <c r="DA103" s="1237"/>
      <c r="DB103" s="1237"/>
      <c r="DC103" s="1237"/>
      <c r="DD103" s="1237"/>
      <c r="DE103" s="1237"/>
      <c r="DF103" s="1237"/>
      <c r="DG103" s="1237"/>
      <c r="DH103" s="1237"/>
      <c r="DI103" s="1237"/>
      <c r="DJ103" s="1237"/>
      <c r="DK103" s="1237"/>
      <c r="DL103" s="1237"/>
      <c r="DM103" s="1237"/>
      <c r="DN103" s="1237"/>
      <c r="DO103" s="1237"/>
      <c r="DP103" s="1237"/>
      <c r="DQ103" s="1237"/>
      <c r="DR103" s="1237"/>
      <c r="DS103" s="1237"/>
      <c r="DT103" s="1237"/>
      <c r="DU103" s="1237"/>
      <c r="DV103" s="1237"/>
      <c r="DW103" s="1237"/>
      <c r="DX103" s="1237"/>
      <c r="DY103" s="1237"/>
      <c r="DZ103" s="1237"/>
      <c r="EA103" s="1237"/>
      <c r="EB103" s="1237"/>
      <c r="EC103" s="1237"/>
      <c r="ED103" s="1237"/>
      <c r="EE103" s="1237"/>
      <c r="EF103" s="1237"/>
      <c r="EG103" s="1237"/>
      <c r="EH103" s="1237"/>
      <c r="EI103" s="1237"/>
      <c r="EJ103" s="1237"/>
      <c r="EK103" s="1237"/>
      <c r="EL103" s="1237"/>
      <c r="EM103" s="1237"/>
      <c r="EN103" s="1237"/>
      <c r="EO103" s="1237"/>
      <c r="EP103" s="1237"/>
      <c r="EQ103" s="1237"/>
      <c r="ER103" s="1237"/>
      <c r="ES103" s="1237"/>
      <c r="ET103" s="1237"/>
      <c r="EU103" s="1237"/>
      <c r="EV103" s="1237"/>
      <c r="EW103" s="1237"/>
      <c r="EX103" s="1237"/>
      <c r="EY103" s="1237"/>
      <c r="EZ103" s="1237"/>
      <c r="FA103" s="1237"/>
      <c r="FB103" s="1237"/>
      <c r="FC103" s="1237"/>
      <c r="FD103" s="1237"/>
      <c r="FE103" s="1237"/>
      <c r="FF103" s="1237"/>
      <c r="FG103" s="1237"/>
      <c r="FH103" s="1237"/>
      <c r="FI103" s="1237"/>
      <c r="FJ103" s="1237"/>
      <c r="FK103" s="1237"/>
      <c r="FL103" s="1237"/>
      <c r="FM103" s="1237"/>
      <c r="FN103" s="1237"/>
      <c r="FO103" s="1237"/>
      <c r="FP103" s="1237"/>
      <c r="FQ103" s="1237"/>
      <c r="FR103" s="1237"/>
      <c r="FS103" s="1237"/>
      <c r="FT103" s="1237"/>
      <c r="FU103" s="1237"/>
      <c r="FV103" s="1237"/>
      <c r="FW103" s="1237"/>
      <c r="FX103" s="1237"/>
      <c r="FY103" s="1237"/>
      <c r="FZ103" s="1237"/>
      <c r="GA103" s="1237"/>
      <c r="GB103" s="1237"/>
      <c r="GC103" s="1237"/>
      <c r="GD103" s="1237"/>
      <c r="GE103" s="1237"/>
      <c r="GF103" s="1237"/>
      <c r="GG103" s="1237"/>
      <c r="GH103" s="1237"/>
      <c r="GI103" s="1237"/>
      <c r="GJ103" s="1237"/>
      <c r="GK103" s="1237"/>
      <c r="GL103" s="1237"/>
      <c r="GM103" s="1237"/>
      <c r="GN103" s="1237"/>
      <c r="GO103" s="1237"/>
      <c r="GP103" s="1237"/>
      <c r="GQ103" s="1237"/>
    </row>
    <row r="104" spans="1:199" ht="12">
      <c r="A104" s="1022"/>
      <c r="B104" s="1022"/>
      <c r="C104" s="1022"/>
      <c r="D104" s="1022"/>
      <c r="E104" s="1022"/>
      <c r="F104" s="1022"/>
      <c r="G104" s="699"/>
      <c r="H104" s="699"/>
      <c r="I104" s="699"/>
      <c r="J104" s="699"/>
      <c r="K104" s="699"/>
      <c r="L104" s="699"/>
      <c r="M104" s="699"/>
      <c r="N104" s="681"/>
      <c r="O104" s="925" t="str">
        <f>'Forecasts '!A200</f>
        <v>Other noncurrent liabilities (1)</v>
      </c>
      <c r="P104" s="923">
        <f>'Forecasts '!B200+'Forecasts '!B203</f>
        <v>45960</v>
      </c>
      <c r="Q104" s="923">
        <f>'Forecasts '!C200+'Forecasts '!C203</f>
        <v>40151</v>
      </c>
      <c r="R104" s="923">
        <f>'Forecasts '!D200+'Forecasts '!D203</f>
        <v>37237</v>
      </c>
      <c r="S104" s="923">
        <f>'Forecasts '!E200+'Forecasts '!E203</f>
        <v>37981.74</v>
      </c>
      <c r="T104" s="923">
        <f>'Forecasts '!F200+'Forecasts '!F203</f>
        <v>38741.374799999998</v>
      </c>
      <c r="U104" s="923">
        <f>'Forecasts '!G200+'Forecasts '!G203</f>
        <v>39516.202296000003</v>
      </c>
      <c r="V104" s="923">
        <f>'Forecasts '!H200+'Forecasts '!H203</f>
        <v>40306.526341920006</v>
      </c>
      <c r="W104" s="923">
        <f>'Forecasts '!I200+'Forecasts '!I203</f>
        <v>41112.656868758408</v>
      </c>
      <c r="X104" s="923">
        <f>'Forecasts '!J200+'Forecasts '!J203</f>
        <v>42346.036574821163</v>
      </c>
      <c r="AB104" s="1111"/>
      <c r="AC104" s="1239"/>
      <c r="AD104" s="1033"/>
      <c r="AE104" s="1033"/>
      <c r="AF104" s="1033"/>
      <c r="AG104" s="1033"/>
      <c r="AH104" s="1033"/>
      <c r="AI104" s="1033"/>
      <c r="AJ104" s="1033"/>
      <c r="AK104" s="1033"/>
      <c r="AL104" s="1033"/>
      <c r="AM104" s="1033"/>
      <c r="AN104" s="1033"/>
      <c r="AO104" s="1033"/>
      <c r="AP104" s="681"/>
      <c r="AQ104" s="681"/>
      <c r="AR104" s="1237"/>
      <c r="AS104" s="1237"/>
      <c r="AT104" s="1237"/>
      <c r="AU104" s="1237"/>
      <c r="AV104" s="1237"/>
      <c r="AW104" s="1237"/>
      <c r="AX104" s="1237"/>
      <c r="AY104" s="1237"/>
      <c r="AZ104" s="1237"/>
      <c r="BA104" s="1237"/>
      <c r="BB104" s="1237"/>
      <c r="BC104" s="1237"/>
      <c r="BD104" s="1237"/>
      <c r="BE104" s="1237"/>
      <c r="BF104" s="1237"/>
      <c r="BG104" s="1237"/>
      <c r="BH104" s="1237"/>
      <c r="BI104" s="1237"/>
      <c r="BJ104" s="1237"/>
      <c r="BK104" s="1237"/>
      <c r="BL104" s="1237"/>
      <c r="BM104" s="1237"/>
      <c r="BN104" s="1237"/>
      <c r="BO104" s="1237"/>
      <c r="BP104" s="1237"/>
      <c r="BQ104" s="1237"/>
      <c r="BR104" s="1237"/>
      <c r="BS104" s="1237"/>
      <c r="BT104" s="1237"/>
      <c r="BU104" s="1237"/>
      <c r="BV104" s="1237"/>
      <c r="BW104" s="1237"/>
      <c r="BX104" s="1237"/>
      <c r="BY104" s="1237"/>
      <c r="BZ104" s="1237"/>
      <c r="CA104" s="1237"/>
      <c r="CB104" s="1237"/>
      <c r="CC104" s="1237"/>
      <c r="CD104" s="1237"/>
      <c r="CE104" s="1237"/>
      <c r="CF104" s="1237"/>
      <c r="CG104" s="1237"/>
      <c r="CH104" s="1237"/>
      <c r="CI104" s="1237"/>
      <c r="CJ104" s="1237"/>
      <c r="CK104" s="1237"/>
      <c r="CL104" s="1237"/>
      <c r="CM104" s="1237"/>
      <c r="CN104" s="1237"/>
      <c r="CO104" s="1237"/>
      <c r="CP104" s="1237"/>
      <c r="CQ104" s="1237"/>
      <c r="CR104" s="1237"/>
      <c r="CS104" s="1237"/>
      <c r="CT104" s="1237"/>
      <c r="CU104" s="1237"/>
      <c r="CV104" s="1237"/>
      <c r="CW104" s="1237"/>
      <c r="CX104" s="1237"/>
      <c r="CY104" s="1237"/>
      <c r="CZ104" s="1237"/>
      <c r="DA104" s="1237"/>
      <c r="DB104" s="1237"/>
      <c r="DC104" s="1237"/>
      <c r="DD104" s="1237"/>
      <c r="DE104" s="1237"/>
      <c r="DF104" s="1237"/>
      <c r="DG104" s="1237"/>
      <c r="DH104" s="1237"/>
      <c r="DI104" s="1237"/>
      <c r="DJ104" s="1237"/>
      <c r="DK104" s="1237"/>
      <c r="DL104" s="1237"/>
      <c r="DM104" s="1237"/>
      <c r="DN104" s="1237"/>
      <c r="DO104" s="1237"/>
      <c r="DP104" s="1237"/>
      <c r="DQ104" s="1237"/>
      <c r="DR104" s="1237"/>
      <c r="DS104" s="1237"/>
      <c r="DT104" s="1237"/>
      <c r="DU104" s="1237"/>
      <c r="DV104" s="1237"/>
      <c r="DW104" s="1237"/>
      <c r="DX104" s="1237"/>
      <c r="DY104" s="1237"/>
      <c r="DZ104" s="1237"/>
      <c r="EA104" s="1237"/>
      <c r="EB104" s="1237"/>
      <c r="EC104" s="1237"/>
      <c r="ED104" s="1237"/>
      <c r="EE104" s="1237"/>
      <c r="EF104" s="1237"/>
      <c r="EG104" s="1237"/>
      <c r="EH104" s="1237"/>
      <c r="EI104" s="1237"/>
      <c r="EJ104" s="1237"/>
      <c r="EK104" s="1237"/>
      <c r="EL104" s="1237"/>
      <c r="EM104" s="1237"/>
      <c r="EN104" s="1237"/>
      <c r="EO104" s="1237"/>
      <c r="EP104" s="1237"/>
      <c r="EQ104" s="1237"/>
      <c r="ER104" s="1237"/>
      <c r="ES104" s="1237"/>
      <c r="ET104" s="1237"/>
      <c r="EU104" s="1237"/>
      <c r="EV104" s="1237"/>
      <c r="EW104" s="1237"/>
      <c r="EX104" s="1237"/>
      <c r="EY104" s="1237"/>
      <c r="EZ104" s="1237"/>
      <c r="FA104" s="1237"/>
      <c r="FB104" s="1237"/>
      <c r="FC104" s="1237"/>
      <c r="FD104" s="1237"/>
      <c r="FE104" s="1237"/>
      <c r="FF104" s="1237"/>
      <c r="FG104" s="1237"/>
      <c r="FH104" s="1237"/>
      <c r="FI104" s="1237"/>
      <c r="FJ104" s="1237"/>
      <c r="FK104" s="1237"/>
      <c r="FL104" s="1237"/>
      <c r="FM104" s="1237"/>
      <c r="FN104" s="1237"/>
      <c r="FO104" s="1237"/>
      <c r="FP104" s="1237"/>
      <c r="FQ104" s="1237"/>
      <c r="FR104" s="1237"/>
      <c r="FS104" s="1237"/>
      <c r="FT104" s="1237"/>
      <c r="FU104" s="1237"/>
      <c r="FV104" s="1237"/>
      <c r="FW104" s="1237"/>
      <c r="FX104" s="1237"/>
      <c r="FY104" s="1237"/>
      <c r="FZ104" s="1237"/>
      <c r="GA104" s="1237"/>
      <c r="GB104" s="1237"/>
      <c r="GC104" s="1237"/>
      <c r="GD104" s="1237"/>
      <c r="GE104" s="1237"/>
      <c r="GF104" s="1237"/>
      <c r="GG104" s="1237"/>
      <c r="GH104" s="1237"/>
      <c r="GI104" s="1237"/>
      <c r="GJ104" s="1237"/>
      <c r="GK104" s="1237"/>
      <c r="GL104" s="1237"/>
      <c r="GM104" s="1237"/>
      <c r="GN104" s="1237"/>
      <c r="GO104" s="1237"/>
      <c r="GP104" s="1237"/>
      <c r="GQ104" s="1237"/>
    </row>
    <row r="105" spans="1:199" ht="12" customHeight="1">
      <c r="A105" s="1022"/>
      <c r="B105" s="1022"/>
      <c r="C105" s="1022"/>
      <c r="D105" s="1022"/>
      <c r="E105" s="1022"/>
      <c r="F105" s="1022"/>
      <c r="G105" s="699"/>
      <c r="H105" s="699"/>
      <c r="I105" s="699"/>
      <c r="J105" s="699"/>
      <c r="K105" s="699"/>
      <c r="L105" s="699"/>
      <c r="M105" s="699"/>
      <c r="N105" s="681"/>
      <c r="O105" s="917" t="str">
        <f>'Forecasts '!A206</f>
        <v xml:space="preserve">  Total Liabilities</v>
      </c>
      <c r="P105" s="917">
        <f>'Forecasts '!B206</f>
        <v>944881</v>
      </c>
      <c r="Q105" s="917">
        <f>'Forecasts '!C206</f>
        <v>1157509</v>
      </c>
      <c r="R105" s="917">
        <f>'Forecasts '!D206</f>
        <v>1121401</v>
      </c>
      <c r="S105" s="917">
        <f>'Forecasts '!E206</f>
        <v>1143829.02</v>
      </c>
      <c r="T105" s="917">
        <f>'Forecasts '!F206</f>
        <v>1166705.6004000001</v>
      </c>
      <c r="U105" s="917">
        <f>'Forecasts '!G206</f>
        <v>1190039.7124080001</v>
      </c>
      <c r="V105" s="917">
        <f>'Forecasts '!H206</f>
        <v>1213840.5066561601</v>
      </c>
      <c r="W105" s="917">
        <f>'Forecasts '!I206</f>
        <v>1238117.3167892832</v>
      </c>
      <c r="X105" s="917">
        <f>'Forecasts '!J206</f>
        <v>1275260.8362929616</v>
      </c>
      <c r="AB105" s="1111"/>
      <c r="AC105" s="1239"/>
      <c r="AD105" s="1033"/>
      <c r="AE105" s="1033"/>
      <c r="AF105" s="1033"/>
      <c r="AG105" s="1033"/>
      <c r="AH105" s="1033"/>
      <c r="AI105" s="1033"/>
      <c r="AJ105" s="1033"/>
      <c r="AK105" s="1033"/>
      <c r="AL105" s="1033"/>
      <c r="AM105" s="1033"/>
      <c r="AN105" s="1033"/>
      <c r="AO105" s="1033"/>
      <c r="AP105" s="681"/>
      <c r="AQ105" s="681"/>
      <c r="AR105" s="1237"/>
      <c r="AS105" s="1237"/>
      <c r="AT105" s="1237"/>
      <c r="AU105" s="1237"/>
      <c r="AV105" s="1237"/>
      <c r="AW105" s="1237"/>
      <c r="AX105" s="1237"/>
      <c r="AY105" s="1237"/>
      <c r="AZ105" s="1237"/>
      <c r="BA105" s="1237"/>
      <c r="BB105" s="1237"/>
      <c r="BC105" s="1237"/>
      <c r="BD105" s="1237"/>
      <c r="BE105" s="1237"/>
      <c r="BF105" s="1237"/>
      <c r="BG105" s="1237"/>
      <c r="BH105" s="1237"/>
      <c r="BI105" s="1237"/>
      <c r="BJ105" s="1237"/>
      <c r="BK105" s="1237"/>
      <c r="BL105" s="1237"/>
      <c r="BM105" s="1237"/>
      <c r="BN105" s="1237"/>
      <c r="BO105" s="1237"/>
      <c r="BP105" s="1237"/>
      <c r="BQ105" s="1237"/>
      <c r="BR105" s="1237"/>
      <c r="BS105" s="1237"/>
      <c r="BT105" s="1237"/>
      <c r="BU105" s="1237"/>
      <c r="BV105" s="1237"/>
      <c r="BW105" s="1237"/>
      <c r="BX105" s="1237"/>
      <c r="BY105" s="1237"/>
      <c r="BZ105" s="1237"/>
      <c r="CA105" s="1237"/>
      <c r="CB105" s="1237"/>
      <c r="CC105" s="1237"/>
      <c r="CD105" s="1237"/>
      <c r="CE105" s="1237"/>
      <c r="CF105" s="1237"/>
      <c r="CG105" s="1237"/>
      <c r="CH105" s="1237"/>
      <c r="CI105" s="1237"/>
      <c r="CJ105" s="1237"/>
      <c r="CK105" s="1237"/>
      <c r="CL105" s="1237"/>
      <c r="CM105" s="1237"/>
      <c r="CN105" s="1237"/>
      <c r="CO105" s="1237"/>
      <c r="CP105" s="1237"/>
      <c r="CQ105" s="1237"/>
      <c r="CR105" s="1237"/>
      <c r="CS105" s="1237"/>
      <c r="CT105" s="1237"/>
      <c r="CU105" s="1237"/>
      <c r="CV105" s="1237"/>
      <c r="CW105" s="1237"/>
      <c r="CX105" s="1237"/>
      <c r="CY105" s="1237"/>
      <c r="CZ105" s="1237"/>
      <c r="DA105" s="1237"/>
      <c r="DB105" s="1237"/>
      <c r="DC105" s="1237"/>
      <c r="DD105" s="1237"/>
      <c r="DE105" s="1237"/>
      <c r="DF105" s="1237"/>
      <c r="DG105" s="1237"/>
      <c r="DH105" s="1237"/>
      <c r="DI105" s="1237"/>
      <c r="DJ105" s="1237"/>
      <c r="DK105" s="1237"/>
      <c r="DL105" s="1237"/>
      <c r="DM105" s="1237"/>
      <c r="DN105" s="1237"/>
      <c r="DO105" s="1237"/>
      <c r="DP105" s="1237"/>
      <c r="DQ105" s="1237"/>
      <c r="DR105" s="1237"/>
      <c r="DS105" s="1237"/>
      <c r="DT105" s="1237"/>
      <c r="DU105" s="1237"/>
      <c r="DV105" s="1237"/>
      <c r="DW105" s="1237"/>
      <c r="DX105" s="1237"/>
      <c r="DY105" s="1237"/>
      <c r="DZ105" s="1237"/>
      <c r="EA105" s="1237"/>
      <c r="EB105" s="1237"/>
      <c r="EC105" s="1237"/>
      <c r="ED105" s="1237"/>
      <c r="EE105" s="1237"/>
      <c r="EF105" s="1237"/>
      <c r="EG105" s="1237"/>
      <c r="EH105" s="1237"/>
      <c r="EI105" s="1237"/>
      <c r="EJ105" s="1237"/>
      <c r="EK105" s="1237"/>
      <c r="EL105" s="1237"/>
      <c r="EM105" s="1237"/>
      <c r="EN105" s="1237"/>
      <c r="EO105" s="1237"/>
      <c r="EP105" s="1237"/>
      <c r="EQ105" s="1237"/>
      <c r="ER105" s="1237"/>
      <c r="ES105" s="1237"/>
      <c r="ET105" s="1237"/>
      <c r="EU105" s="1237"/>
      <c r="EV105" s="1237"/>
      <c r="EW105" s="1237"/>
      <c r="EX105" s="1237"/>
      <c r="EY105" s="1237"/>
      <c r="EZ105" s="1237"/>
      <c r="FA105" s="1237"/>
      <c r="FB105" s="1237"/>
      <c r="FC105" s="1237"/>
      <c r="FD105" s="1237"/>
      <c r="FE105" s="1237"/>
      <c r="FF105" s="1237"/>
      <c r="FG105" s="1237"/>
      <c r="FH105" s="1237"/>
      <c r="FI105" s="1237"/>
      <c r="FJ105" s="1237"/>
      <c r="FK105" s="1237"/>
      <c r="FL105" s="1237"/>
      <c r="FM105" s="1237"/>
      <c r="FN105" s="1237"/>
      <c r="FO105" s="1237"/>
      <c r="FP105" s="1237"/>
      <c r="FQ105" s="1237"/>
      <c r="FR105" s="1237"/>
      <c r="FS105" s="1237"/>
      <c r="FT105" s="1237"/>
      <c r="FU105" s="1237"/>
      <c r="FV105" s="1237"/>
      <c r="FW105" s="1237"/>
      <c r="FX105" s="1237"/>
      <c r="FY105" s="1237"/>
      <c r="FZ105" s="1237"/>
      <c r="GA105" s="1237"/>
      <c r="GB105" s="1237"/>
      <c r="GC105" s="1237"/>
      <c r="GD105" s="1237"/>
      <c r="GE105" s="1237"/>
      <c r="GF105" s="1237"/>
      <c r="GG105" s="1237"/>
      <c r="GH105" s="1237"/>
      <c r="GI105" s="1237"/>
      <c r="GJ105" s="1237"/>
      <c r="GK105" s="1237"/>
      <c r="GL105" s="1237"/>
      <c r="GM105" s="1237"/>
      <c r="GN105" s="1237"/>
      <c r="GO105" s="1237"/>
      <c r="GP105" s="1237"/>
      <c r="GQ105" s="1237"/>
    </row>
    <row r="106" spans="1:199" ht="12" customHeight="1">
      <c r="A106" s="1022"/>
      <c r="B106" s="1022"/>
      <c r="C106" s="1022"/>
      <c r="D106" s="1022"/>
      <c r="E106" s="1022"/>
      <c r="F106" s="1022"/>
      <c r="G106" s="699"/>
      <c r="H106" s="699"/>
      <c r="I106" s="699"/>
      <c r="J106" s="699"/>
      <c r="K106" s="699"/>
      <c r="L106" s="699"/>
      <c r="M106" s="699"/>
      <c r="N106" s="681"/>
      <c r="O106" s="743"/>
      <c r="P106" s="743"/>
      <c r="Q106" s="743"/>
      <c r="R106" s="743"/>
      <c r="S106" s="743"/>
      <c r="T106" s="743"/>
      <c r="U106" s="743"/>
      <c r="V106" s="743"/>
      <c r="W106" s="743"/>
      <c r="X106" s="743"/>
      <c r="Y106" s="705"/>
      <c r="Z106" s="705"/>
      <c r="AA106" s="705"/>
      <c r="AB106" s="1111"/>
      <c r="AC106" s="1239"/>
      <c r="AD106" s="748"/>
      <c r="AE106" s="748"/>
      <c r="AF106" s="748"/>
      <c r="AG106" s="748"/>
      <c r="AH106" s="748"/>
      <c r="AI106" s="748"/>
      <c r="AJ106" s="748"/>
      <c r="AK106" s="1029"/>
      <c r="AL106" s="1029"/>
      <c r="AM106" s="1029"/>
      <c r="AN106" s="1029"/>
      <c r="AO106" s="1029"/>
      <c r="AP106" s="681"/>
      <c r="AQ106" s="681"/>
      <c r="AR106" s="1237"/>
      <c r="AS106" s="1237"/>
      <c r="AT106" s="1237"/>
      <c r="AU106" s="1237"/>
      <c r="AV106" s="1237"/>
      <c r="AW106" s="1237"/>
      <c r="AX106" s="1237"/>
      <c r="AY106" s="1237"/>
      <c r="AZ106" s="1237"/>
      <c r="BA106" s="1237"/>
      <c r="BB106" s="1237"/>
      <c r="BC106" s="1237"/>
      <c r="BD106" s="1237"/>
      <c r="BE106" s="1237"/>
      <c r="BF106" s="1237"/>
      <c r="BG106" s="1237"/>
      <c r="BH106" s="1237"/>
      <c r="BI106" s="1237"/>
      <c r="BJ106" s="1237"/>
      <c r="BK106" s="1237"/>
      <c r="BL106" s="1237"/>
      <c r="BM106" s="1237"/>
      <c r="BN106" s="1237"/>
      <c r="BO106" s="1237"/>
      <c r="BP106" s="1237"/>
      <c r="BQ106" s="1237"/>
      <c r="BR106" s="1237"/>
      <c r="BS106" s="1237"/>
      <c r="BT106" s="1237"/>
      <c r="BU106" s="1237"/>
      <c r="BV106" s="1237"/>
      <c r="BW106" s="1237"/>
      <c r="BX106" s="1237"/>
      <c r="BY106" s="1237"/>
      <c r="BZ106" s="1237"/>
      <c r="CA106" s="1237"/>
      <c r="CB106" s="1237"/>
      <c r="CC106" s="1237"/>
      <c r="CD106" s="1237"/>
      <c r="CE106" s="1237"/>
      <c r="CF106" s="1237"/>
      <c r="CG106" s="1237"/>
      <c r="CH106" s="1237"/>
      <c r="CI106" s="1237"/>
      <c r="CJ106" s="1237"/>
      <c r="CK106" s="1237"/>
      <c r="CL106" s="1237"/>
      <c r="CM106" s="1237"/>
      <c r="CN106" s="1237"/>
      <c r="CO106" s="1237"/>
      <c r="CP106" s="1237"/>
      <c r="CQ106" s="1237"/>
      <c r="CR106" s="1237"/>
      <c r="CS106" s="1237"/>
      <c r="CT106" s="1237"/>
      <c r="CU106" s="1237"/>
      <c r="CV106" s="1237"/>
      <c r="CW106" s="1237"/>
      <c r="CX106" s="1237"/>
      <c r="CY106" s="1237"/>
      <c r="CZ106" s="1237"/>
      <c r="DA106" s="1237"/>
      <c r="DB106" s="1237"/>
      <c r="DC106" s="1237"/>
      <c r="DD106" s="1237"/>
      <c r="DE106" s="1237"/>
      <c r="DF106" s="1237"/>
      <c r="DG106" s="1237"/>
      <c r="DH106" s="1237"/>
      <c r="DI106" s="1237"/>
      <c r="DJ106" s="1237"/>
      <c r="DK106" s="1237"/>
      <c r="DL106" s="1237"/>
      <c r="DM106" s="1237"/>
      <c r="DN106" s="1237"/>
      <c r="DO106" s="1237"/>
      <c r="DP106" s="1237"/>
      <c r="DQ106" s="1237"/>
      <c r="DR106" s="1237"/>
      <c r="DS106" s="1237"/>
      <c r="DT106" s="1237"/>
      <c r="DU106" s="1237"/>
      <c r="DV106" s="1237"/>
      <c r="DW106" s="1237"/>
      <c r="DX106" s="1237"/>
      <c r="DY106" s="1237"/>
      <c r="DZ106" s="1237"/>
      <c r="EA106" s="1237"/>
      <c r="EB106" s="1237"/>
      <c r="EC106" s="1237"/>
      <c r="ED106" s="1237"/>
      <c r="EE106" s="1237"/>
      <c r="EF106" s="1237"/>
      <c r="EG106" s="1237"/>
      <c r="EH106" s="1237"/>
      <c r="EI106" s="1237"/>
      <c r="EJ106" s="1237"/>
      <c r="EK106" s="1237"/>
      <c r="EL106" s="1237"/>
      <c r="EM106" s="1237"/>
      <c r="EN106" s="1237"/>
      <c r="EO106" s="1237"/>
      <c r="EP106" s="1237"/>
      <c r="EQ106" s="1237"/>
      <c r="ER106" s="1237"/>
      <c r="ES106" s="1237"/>
      <c r="ET106" s="1237"/>
      <c r="EU106" s="1237"/>
      <c r="EV106" s="1237"/>
      <c r="EW106" s="1237"/>
      <c r="EX106" s="1237"/>
      <c r="EY106" s="1237"/>
      <c r="EZ106" s="1237"/>
      <c r="FA106" s="1237"/>
      <c r="FB106" s="1237"/>
      <c r="FC106" s="1237"/>
      <c r="FD106" s="1237"/>
      <c r="FE106" s="1237"/>
      <c r="FF106" s="1237"/>
      <c r="FG106" s="1237"/>
      <c r="FH106" s="1237"/>
      <c r="FI106" s="1237"/>
      <c r="FJ106" s="1237"/>
      <c r="FK106" s="1237"/>
      <c r="FL106" s="1237"/>
      <c r="FM106" s="1237"/>
      <c r="FN106" s="1237"/>
      <c r="FO106" s="1237"/>
      <c r="FP106" s="1237"/>
      <c r="FQ106" s="1237"/>
      <c r="FR106" s="1237"/>
      <c r="FS106" s="1237"/>
      <c r="FT106" s="1237"/>
      <c r="FU106" s="1237"/>
      <c r="FV106" s="1237"/>
      <c r="FW106" s="1237"/>
      <c r="FX106" s="1237"/>
      <c r="FY106" s="1237"/>
      <c r="FZ106" s="1237"/>
      <c r="GA106" s="1237"/>
      <c r="GB106" s="1237"/>
      <c r="GC106" s="1237"/>
      <c r="GD106" s="1237"/>
      <c r="GE106" s="1237"/>
      <c r="GF106" s="1237"/>
      <c r="GG106" s="1237"/>
      <c r="GH106" s="1237"/>
      <c r="GI106" s="1237"/>
      <c r="GJ106" s="1237"/>
      <c r="GK106" s="1237"/>
      <c r="GL106" s="1237"/>
      <c r="GM106" s="1237"/>
      <c r="GN106" s="1237"/>
      <c r="GO106" s="1237"/>
      <c r="GP106" s="1237"/>
      <c r="GQ106" s="1237"/>
    </row>
    <row r="107" spans="1:199" ht="12" customHeight="1">
      <c r="A107" s="1022"/>
      <c r="B107" s="1022"/>
      <c r="C107" s="1022"/>
      <c r="D107" s="1022"/>
      <c r="E107" s="1022"/>
      <c r="F107" s="1022"/>
      <c r="N107" s="681"/>
      <c r="O107" s="918" t="s">
        <v>1144</v>
      </c>
      <c r="P107" s="926"/>
      <c r="Q107" s="743"/>
      <c r="R107" s="743"/>
      <c r="S107" s="743"/>
      <c r="T107" s="743"/>
      <c r="U107" s="743"/>
      <c r="V107" s="743"/>
      <c r="W107" s="743"/>
      <c r="X107" s="743"/>
      <c r="Y107" s="705"/>
      <c r="Z107" s="705"/>
      <c r="AA107" s="705"/>
      <c r="AB107" s="1111"/>
      <c r="AC107" s="1239"/>
      <c r="AD107" s="695"/>
      <c r="AK107" s="1029"/>
      <c r="AL107" s="1029"/>
      <c r="AM107" s="1029"/>
      <c r="AN107" s="1029"/>
      <c r="AO107" s="1029"/>
      <c r="AP107" s="681"/>
      <c r="AQ107" s="681"/>
      <c r="AR107" s="1237"/>
      <c r="AS107" s="1237"/>
      <c r="AT107" s="1237"/>
      <c r="AU107" s="1237"/>
      <c r="AV107" s="1237"/>
      <c r="AW107" s="1237"/>
      <c r="AX107" s="1237"/>
      <c r="AY107" s="1237"/>
      <c r="AZ107" s="1237"/>
      <c r="BA107" s="1237"/>
      <c r="BB107" s="1237"/>
      <c r="BC107" s="1237"/>
      <c r="BD107" s="1237"/>
      <c r="BE107" s="1237"/>
      <c r="BF107" s="1237"/>
      <c r="BG107" s="1237"/>
      <c r="BH107" s="1237"/>
      <c r="BI107" s="1237"/>
      <c r="BJ107" s="1237"/>
      <c r="BK107" s="1237"/>
      <c r="BL107" s="1237"/>
      <c r="BM107" s="1237"/>
      <c r="BN107" s="1237"/>
      <c r="BO107" s="1237"/>
      <c r="BP107" s="1237"/>
      <c r="BQ107" s="1237"/>
      <c r="BR107" s="1237"/>
      <c r="BS107" s="1237"/>
      <c r="BT107" s="1237"/>
      <c r="BU107" s="1237"/>
      <c r="BV107" s="1237"/>
      <c r="BW107" s="1237"/>
      <c r="BX107" s="1237"/>
      <c r="BY107" s="1237"/>
      <c r="BZ107" s="1237"/>
      <c r="CA107" s="1237"/>
      <c r="CB107" s="1237"/>
      <c r="CC107" s="1237"/>
      <c r="CD107" s="1237"/>
      <c r="CE107" s="1237"/>
      <c r="CF107" s="1237"/>
      <c r="CG107" s="1237"/>
      <c r="CH107" s="1237"/>
      <c r="CI107" s="1237"/>
      <c r="CJ107" s="1237"/>
      <c r="CK107" s="1237"/>
      <c r="CL107" s="1237"/>
      <c r="CM107" s="1237"/>
      <c r="CN107" s="1237"/>
      <c r="CO107" s="1237"/>
      <c r="CP107" s="1237"/>
      <c r="CQ107" s="1237"/>
      <c r="CR107" s="1237"/>
      <c r="CS107" s="1237"/>
      <c r="CT107" s="1237"/>
      <c r="CU107" s="1237"/>
      <c r="CV107" s="1237"/>
      <c r="CW107" s="1237"/>
      <c r="CX107" s="1237"/>
      <c r="CY107" s="1237"/>
      <c r="CZ107" s="1237"/>
      <c r="DA107" s="1237"/>
      <c r="DB107" s="1237"/>
      <c r="DC107" s="1237"/>
      <c r="DD107" s="1237"/>
      <c r="DE107" s="1237"/>
      <c r="DF107" s="1237"/>
      <c r="DG107" s="1237"/>
      <c r="DH107" s="1237"/>
      <c r="DI107" s="1237"/>
      <c r="DJ107" s="1237"/>
      <c r="DK107" s="1237"/>
      <c r="DL107" s="1237"/>
      <c r="DM107" s="1237"/>
      <c r="DN107" s="1237"/>
      <c r="DO107" s="1237"/>
      <c r="DP107" s="1237"/>
      <c r="DQ107" s="1237"/>
      <c r="DR107" s="1237"/>
      <c r="DS107" s="1237"/>
      <c r="DT107" s="1237"/>
      <c r="DU107" s="1237"/>
      <c r="DV107" s="1237"/>
      <c r="DW107" s="1237"/>
      <c r="DX107" s="1237"/>
      <c r="DY107" s="1237"/>
      <c r="DZ107" s="1237"/>
      <c r="EA107" s="1237"/>
      <c r="EB107" s="1237"/>
      <c r="EC107" s="1237"/>
      <c r="ED107" s="1237"/>
      <c r="EE107" s="1237"/>
      <c r="EF107" s="1237"/>
      <c r="EG107" s="1237"/>
      <c r="EH107" s="1237"/>
      <c r="EI107" s="1237"/>
      <c r="EJ107" s="1237"/>
      <c r="EK107" s="1237"/>
      <c r="EL107" s="1237"/>
      <c r="EM107" s="1237"/>
      <c r="EN107" s="1237"/>
      <c r="EO107" s="1237"/>
      <c r="EP107" s="1237"/>
      <c r="EQ107" s="1237"/>
      <c r="ER107" s="1237"/>
      <c r="ES107" s="1237"/>
      <c r="ET107" s="1237"/>
      <c r="EU107" s="1237"/>
      <c r="EV107" s="1237"/>
      <c r="EW107" s="1237"/>
      <c r="EX107" s="1237"/>
      <c r="EY107" s="1237"/>
      <c r="EZ107" s="1237"/>
      <c r="FA107" s="1237"/>
      <c r="FB107" s="1237"/>
      <c r="FC107" s="1237"/>
      <c r="FD107" s="1237"/>
      <c r="FE107" s="1237"/>
      <c r="FF107" s="1237"/>
      <c r="FG107" s="1237"/>
      <c r="FH107" s="1237"/>
      <c r="FI107" s="1237"/>
      <c r="FJ107" s="1237"/>
      <c r="FK107" s="1237"/>
      <c r="FL107" s="1237"/>
      <c r="FM107" s="1237"/>
      <c r="FN107" s="1237"/>
      <c r="FO107" s="1237"/>
      <c r="FP107" s="1237"/>
      <c r="FQ107" s="1237"/>
      <c r="FR107" s="1237"/>
      <c r="FS107" s="1237"/>
      <c r="FT107" s="1237"/>
      <c r="FU107" s="1237"/>
      <c r="FV107" s="1237"/>
      <c r="FW107" s="1237"/>
      <c r="FX107" s="1237"/>
      <c r="FY107" s="1237"/>
      <c r="FZ107" s="1237"/>
      <c r="GA107" s="1237"/>
      <c r="GB107" s="1237"/>
      <c r="GC107" s="1237"/>
      <c r="GD107" s="1237"/>
      <c r="GE107" s="1237"/>
      <c r="GF107" s="1237"/>
      <c r="GG107" s="1237"/>
      <c r="GH107" s="1237"/>
      <c r="GI107" s="1237"/>
      <c r="GJ107" s="1237"/>
      <c r="GK107" s="1237"/>
      <c r="GL107" s="1237"/>
      <c r="GM107" s="1237"/>
      <c r="GN107" s="1237"/>
      <c r="GO107" s="1237"/>
      <c r="GP107" s="1237"/>
      <c r="GQ107" s="1237"/>
    </row>
    <row r="108" spans="1:199">
      <c r="A108" s="1022"/>
      <c r="B108" s="1022"/>
      <c r="C108" s="1022"/>
      <c r="D108" s="1022"/>
      <c r="E108" s="1022"/>
      <c r="F108" s="1022"/>
      <c r="N108" s="681"/>
      <c r="O108" s="743" t="str">
        <f>'Forecasts '!A215</f>
        <v>Common stock + Additional paid in capital</v>
      </c>
      <c r="P108" s="743">
        <f>'Forecasts '!B215</f>
        <v>16879</v>
      </c>
      <c r="Q108" s="743">
        <f>'Forecasts '!C215</f>
        <v>16879</v>
      </c>
      <c r="R108" s="743">
        <f>'Forecasts '!D215</f>
        <v>16879</v>
      </c>
      <c r="S108" s="743">
        <f>'Forecasts '!E215</f>
        <v>16879</v>
      </c>
      <c r="T108" s="743">
        <f>'Forecasts '!F215</f>
        <v>16879</v>
      </c>
      <c r="U108" s="743">
        <f>'Forecasts '!G215</f>
        <v>16879</v>
      </c>
      <c r="V108" s="743">
        <f>'Forecasts '!H215</f>
        <v>16879</v>
      </c>
      <c r="W108" s="743">
        <f>'Forecasts '!I215</f>
        <v>16879</v>
      </c>
      <c r="X108" s="743">
        <f>'Forecasts '!J215</f>
        <v>17385.37</v>
      </c>
      <c r="Y108" s="705"/>
      <c r="Z108" s="705"/>
      <c r="AA108" s="705"/>
      <c r="AB108" s="1111"/>
      <c r="AC108" s="1239"/>
      <c r="AD108" s="743"/>
      <c r="AE108" s="756"/>
      <c r="AF108" s="756"/>
      <c r="AG108" s="756"/>
      <c r="AH108" s="756"/>
      <c r="AI108" s="756"/>
      <c r="AK108" s="1029"/>
      <c r="AL108" s="1029"/>
      <c r="AM108" s="1029"/>
      <c r="AN108" s="1029"/>
      <c r="AO108" s="1029"/>
      <c r="AP108" s="681"/>
      <c r="AQ108" s="681"/>
      <c r="AR108" s="1237"/>
      <c r="AS108" s="1237"/>
      <c r="AT108" s="1237"/>
      <c r="AU108" s="1237"/>
      <c r="AV108" s="1237"/>
      <c r="AW108" s="1237"/>
      <c r="AX108" s="1237"/>
      <c r="AY108" s="1237"/>
      <c r="AZ108" s="1237"/>
      <c r="BA108" s="1237"/>
      <c r="BB108" s="1237"/>
      <c r="BC108" s="1237"/>
      <c r="BD108" s="1237"/>
      <c r="BE108" s="1237"/>
      <c r="BF108" s="1237"/>
      <c r="BG108" s="1237"/>
      <c r="BH108" s="1237"/>
      <c r="BI108" s="1237"/>
      <c r="BJ108" s="1237"/>
      <c r="BK108" s="1237"/>
      <c r="BL108" s="1237"/>
      <c r="BM108" s="1237"/>
      <c r="BN108" s="1237"/>
      <c r="BO108" s="1237"/>
      <c r="BP108" s="1237"/>
      <c r="BQ108" s="1237"/>
      <c r="BR108" s="1237"/>
      <c r="BS108" s="1237"/>
      <c r="BT108" s="1237"/>
      <c r="BU108" s="1237"/>
      <c r="BV108" s="1237"/>
      <c r="BW108" s="1237"/>
      <c r="BX108" s="1237"/>
      <c r="BY108" s="1237"/>
      <c r="BZ108" s="1237"/>
      <c r="CA108" s="1237"/>
      <c r="CB108" s="1237"/>
      <c r="CC108" s="1237"/>
      <c r="CD108" s="1237"/>
      <c r="CE108" s="1237"/>
      <c r="CF108" s="1237"/>
      <c r="CG108" s="1237"/>
      <c r="CH108" s="1237"/>
      <c r="CI108" s="1237"/>
      <c r="CJ108" s="1237"/>
      <c r="CK108" s="1237"/>
      <c r="CL108" s="1237"/>
      <c r="CM108" s="1237"/>
      <c r="CN108" s="1237"/>
      <c r="CO108" s="1237"/>
      <c r="CP108" s="1237"/>
      <c r="CQ108" s="1237"/>
      <c r="CR108" s="1237"/>
      <c r="CS108" s="1237"/>
      <c r="CT108" s="1237"/>
      <c r="CU108" s="1237"/>
      <c r="CV108" s="1237"/>
      <c r="CW108" s="1237"/>
      <c r="CX108" s="1237"/>
      <c r="CY108" s="1237"/>
      <c r="CZ108" s="1237"/>
      <c r="DA108" s="1237"/>
      <c r="DB108" s="1237"/>
      <c r="DC108" s="1237"/>
      <c r="DD108" s="1237"/>
      <c r="DE108" s="1237"/>
      <c r="DF108" s="1237"/>
      <c r="DG108" s="1237"/>
      <c r="DH108" s="1237"/>
      <c r="DI108" s="1237"/>
      <c r="DJ108" s="1237"/>
      <c r="DK108" s="1237"/>
      <c r="DL108" s="1237"/>
      <c r="DM108" s="1237"/>
      <c r="DN108" s="1237"/>
      <c r="DO108" s="1237"/>
      <c r="DP108" s="1237"/>
      <c r="DQ108" s="1237"/>
      <c r="DR108" s="1237"/>
      <c r="DS108" s="1237"/>
      <c r="DT108" s="1237"/>
      <c r="DU108" s="1237"/>
      <c r="DV108" s="1237"/>
      <c r="DW108" s="1237"/>
      <c r="DX108" s="1237"/>
      <c r="DY108" s="1237"/>
      <c r="DZ108" s="1237"/>
      <c r="EA108" s="1237"/>
      <c r="EB108" s="1237"/>
      <c r="EC108" s="1237"/>
      <c r="ED108" s="1237"/>
      <c r="EE108" s="1237"/>
      <c r="EF108" s="1237"/>
      <c r="EG108" s="1237"/>
      <c r="EH108" s="1237"/>
      <c r="EI108" s="1237"/>
      <c r="EJ108" s="1237"/>
      <c r="EK108" s="1237"/>
      <c r="EL108" s="1237"/>
      <c r="EM108" s="1237"/>
      <c r="EN108" s="1237"/>
      <c r="EO108" s="1237"/>
      <c r="EP108" s="1237"/>
      <c r="EQ108" s="1237"/>
      <c r="ER108" s="1237"/>
      <c r="ES108" s="1237"/>
      <c r="ET108" s="1237"/>
      <c r="EU108" s="1237"/>
      <c r="EV108" s="1237"/>
      <c r="EW108" s="1237"/>
      <c r="EX108" s="1237"/>
      <c r="EY108" s="1237"/>
      <c r="EZ108" s="1237"/>
      <c r="FA108" s="1237"/>
      <c r="FB108" s="1237"/>
      <c r="FC108" s="1237"/>
      <c r="FD108" s="1237"/>
      <c r="FE108" s="1237"/>
      <c r="FF108" s="1237"/>
      <c r="FG108" s="1237"/>
      <c r="FH108" s="1237"/>
      <c r="FI108" s="1237"/>
      <c r="FJ108" s="1237"/>
      <c r="FK108" s="1237"/>
      <c r="FL108" s="1237"/>
      <c r="FM108" s="1237"/>
      <c r="FN108" s="1237"/>
      <c r="FO108" s="1237"/>
      <c r="FP108" s="1237"/>
      <c r="FQ108" s="1237"/>
      <c r="FR108" s="1237"/>
      <c r="FS108" s="1237"/>
      <c r="FT108" s="1237"/>
      <c r="FU108" s="1237"/>
      <c r="FV108" s="1237"/>
      <c r="FW108" s="1237"/>
      <c r="FX108" s="1237"/>
      <c r="FY108" s="1237"/>
      <c r="FZ108" s="1237"/>
      <c r="GA108" s="1237"/>
      <c r="GB108" s="1237"/>
      <c r="GC108" s="1237"/>
      <c r="GD108" s="1237"/>
      <c r="GE108" s="1237"/>
      <c r="GF108" s="1237"/>
      <c r="GG108" s="1237"/>
      <c r="GH108" s="1237"/>
      <c r="GI108" s="1237"/>
      <c r="GJ108" s="1237"/>
      <c r="GK108" s="1237"/>
      <c r="GL108" s="1237"/>
      <c r="GM108" s="1237"/>
      <c r="GN108" s="1237"/>
      <c r="GO108" s="1237"/>
      <c r="GP108" s="1237"/>
      <c r="GQ108" s="1237"/>
    </row>
    <row r="109" spans="1:199" ht="12" customHeight="1">
      <c r="A109" s="1022"/>
      <c r="B109" s="1022"/>
      <c r="C109" s="1022"/>
      <c r="D109" s="1022"/>
      <c r="E109" s="1022"/>
      <c r="F109" s="1022"/>
      <c r="N109" s="758"/>
      <c r="O109" s="743" t="str">
        <f>'Forecasts '!A218</f>
        <v>Retained earnings &lt;deficit&gt;</v>
      </c>
      <c r="P109" s="743">
        <f>'Forecasts '!B218</f>
        <v>665322</v>
      </c>
      <c r="Q109" s="743">
        <f>'Forecasts '!C218</f>
        <v>704287</v>
      </c>
      <c r="R109" s="743">
        <f>'Forecasts '!D218</f>
        <v>602212</v>
      </c>
      <c r="S109" s="743">
        <f>'Forecasts '!E218</f>
        <v>607342.44063564553</v>
      </c>
      <c r="T109" s="743">
        <f>'Forecasts '!F218</f>
        <v>608856.96841419034</v>
      </c>
      <c r="U109" s="743">
        <f>'Forecasts '!G218</f>
        <v>606721.1508812909</v>
      </c>
      <c r="V109" s="743">
        <f>'Forecasts '!H218</f>
        <v>600159.15227601526</v>
      </c>
      <c r="W109" s="743">
        <f>'Forecasts '!I218</f>
        <v>590095.27297555667</v>
      </c>
      <c r="X109" s="743">
        <f>'Forecasts '!J218</f>
        <v>607927.72175806877</v>
      </c>
      <c r="Y109" s="705"/>
      <c r="Z109" s="705"/>
      <c r="AA109" s="705"/>
      <c r="AB109" s="1111"/>
      <c r="AC109" s="1239"/>
      <c r="AD109" s="759"/>
      <c r="AE109" s="760"/>
      <c r="AF109" s="760"/>
      <c r="AG109" s="760"/>
      <c r="AH109" s="760"/>
      <c r="AI109" s="760"/>
      <c r="AK109" s="1029"/>
      <c r="AL109" s="1029"/>
      <c r="AM109" s="1029"/>
      <c r="AN109" s="1029"/>
      <c r="AO109" s="1029"/>
      <c r="AP109" s="681"/>
      <c r="AQ109" s="681"/>
      <c r="AR109" s="1237"/>
      <c r="AS109" s="1237"/>
      <c r="AT109" s="1237"/>
      <c r="AU109" s="1237"/>
      <c r="AV109" s="1237"/>
      <c r="AW109" s="1237"/>
      <c r="AX109" s="1237"/>
      <c r="AY109" s="1237"/>
      <c r="AZ109" s="1237"/>
      <c r="BA109" s="1237"/>
      <c r="BB109" s="1237"/>
      <c r="BC109" s="1237"/>
      <c r="BD109" s="1237"/>
      <c r="BE109" s="1237"/>
      <c r="BF109" s="1237"/>
      <c r="BG109" s="1237"/>
      <c r="BH109" s="1237"/>
      <c r="BI109" s="1237"/>
      <c r="BJ109" s="1237"/>
      <c r="BK109" s="1237"/>
      <c r="BL109" s="1237"/>
      <c r="BM109" s="1237"/>
      <c r="BN109" s="1237"/>
      <c r="BO109" s="1237"/>
      <c r="BP109" s="1237"/>
      <c r="BQ109" s="1237"/>
      <c r="BR109" s="1237"/>
      <c r="BS109" s="1237"/>
      <c r="BT109" s="1237"/>
      <c r="BU109" s="1237"/>
      <c r="BV109" s="1237"/>
      <c r="BW109" s="1237"/>
      <c r="BX109" s="1237"/>
      <c r="BY109" s="1237"/>
      <c r="BZ109" s="1237"/>
      <c r="CA109" s="1237"/>
      <c r="CB109" s="1237"/>
      <c r="CC109" s="1237"/>
      <c r="CD109" s="1237"/>
      <c r="CE109" s="1237"/>
      <c r="CF109" s="1237"/>
      <c r="CG109" s="1237"/>
      <c r="CH109" s="1237"/>
      <c r="CI109" s="1237"/>
      <c r="CJ109" s="1237"/>
      <c r="CK109" s="1237"/>
      <c r="CL109" s="1237"/>
      <c r="CM109" s="1237"/>
      <c r="CN109" s="1237"/>
      <c r="CO109" s="1237"/>
      <c r="CP109" s="1237"/>
      <c r="CQ109" s="1237"/>
      <c r="CR109" s="1237"/>
      <c r="CS109" s="1237"/>
      <c r="CT109" s="1237"/>
      <c r="CU109" s="1237"/>
      <c r="CV109" s="1237"/>
      <c r="CW109" s="1237"/>
      <c r="CX109" s="1237"/>
      <c r="CY109" s="1237"/>
      <c r="CZ109" s="1237"/>
      <c r="DA109" s="1237"/>
      <c r="DB109" s="1237"/>
      <c r="DC109" s="1237"/>
      <c r="DD109" s="1237"/>
      <c r="DE109" s="1237"/>
      <c r="DF109" s="1237"/>
      <c r="DG109" s="1237"/>
      <c r="DH109" s="1237"/>
      <c r="DI109" s="1237"/>
      <c r="DJ109" s="1237"/>
      <c r="DK109" s="1237"/>
      <c r="DL109" s="1237"/>
      <c r="DM109" s="1237"/>
      <c r="DN109" s="1237"/>
      <c r="DO109" s="1237"/>
      <c r="DP109" s="1237"/>
      <c r="DQ109" s="1237"/>
      <c r="DR109" s="1237"/>
      <c r="DS109" s="1237"/>
      <c r="DT109" s="1237"/>
      <c r="DU109" s="1237"/>
      <c r="DV109" s="1237"/>
      <c r="DW109" s="1237"/>
      <c r="DX109" s="1237"/>
      <c r="DY109" s="1237"/>
      <c r="DZ109" s="1237"/>
      <c r="EA109" s="1237"/>
      <c r="EB109" s="1237"/>
      <c r="EC109" s="1237"/>
      <c r="ED109" s="1237"/>
      <c r="EE109" s="1237"/>
      <c r="EF109" s="1237"/>
      <c r="EG109" s="1237"/>
      <c r="EH109" s="1237"/>
      <c r="EI109" s="1237"/>
      <c r="EJ109" s="1237"/>
      <c r="EK109" s="1237"/>
      <c r="EL109" s="1237"/>
      <c r="EM109" s="1237"/>
      <c r="EN109" s="1237"/>
      <c r="EO109" s="1237"/>
      <c r="EP109" s="1237"/>
      <c r="EQ109" s="1237"/>
      <c r="ER109" s="1237"/>
      <c r="ES109" s="1237"/>
      <c r="ET109" s="1237"/>
      <c r="EU109" s="1237"/>
      <c r="EV109" s="1237"/>
      <c r="EW109" s="1237"/>
      <c r="EX109" s="1237"/>
      <c r="EY109" s="1237"/>
      <c r="EZ109" s="1237"/>
      <c r="FA109" s="1237"/>
      <c r="FB109" s="1237"/>
      <c r="FC109" s="1237"/>
      <c r="FD109" s="1237"/>
      <c r="FE109" s="1237"/>
      <c r="FF109" s="1237"/>
      <c r="FG109" s="1237"/>
      <c r="FH109" s="1237"/>
      <c r="FI109" s="1237"/>
      <c r="FJ109" s="1237"/>
      <c r="FK109" s="1237"/>
      <c r="FL109" s="1237"/>
      <c r="FM109" s="1237"/>
      <c r="FN109" s="1237"/>
      <c r="FO109" s="1237"/>
      <c r="FP109" s="1237"/>
      <c r="FQ109" s="1237"/>
      <c r="FR109" s="1237"/>
      <c r="FS109" s="1237"/>
      <c r="FT109" s="1237"/>
      <c r="FU109" s="1237"/>
      <c r="FV109" s="1237"/>
      <c r="FW109" s="1237"/>
      <c r="FX109" s="1237"/>
      <c r="FY109" s="1237"/>
      <c r="FZ109" s="1237"/>
      <c r="GA109" s="1237"/>
      <c r="GB109" s="1237"/>
      <c r="GC109" s="1237"/>
      <c r="GD109" s="1237"/>
      <c r="GE109" s="1237"/>
      <c r="GF109" s="1237"/>
      <c r="GG109" s="1237"/>
      <c r="GH109" s="1237"/>
      <c r="GI109" s="1237"/>
      <c r="GJ109" s="1237"/>
      <c r="GK109" s="1237"/>
      <c r="GL109" s="1237"/>
      <c r="GM109" s="1237"/>
      <c r="GN109" s="1237"/>
      <c r="GO109" s="1237"/>
      <c r="GP109" s="1237"/>
      <c r="GQ109" s="1237"/>
    </row>
    <row r="110" spans="1:199">
      <c r="A110" s="1022"/>
      <c r="B110" s="1022"/>
      <c r="C110" s="1022"/>
      <c r="D110" s="1022"/>
      <c r="E110" s="1022"/>
      <c r="F110" s="1022"/>
      <c r="N110" s="758"/>
      <c r="O110" s="917" t="str">
        <f>'Forecasts '!A227</f>
        <v xml:space="preserve"> Total Common Shareholders' Equity</v>
      </c>
      <c r="P110" s="917">
        <f>'Forecasts '!B227</f>
        <v>751810</v>
      </c>
      <c r="Q110" s="917">
        <f>'Forecasts '!C227</f>
        <v>725100</v>
      </c>
      <c r="R110" s="917">
        <f>'Forecasts '!D227</f>
        <v>622445</v>
      </c>
      <c r="S110" s="917">
        <f>'Forecasts '!E227</f>
        <v>627575.44063564553</v>
      </c>
      <c r="T110" s="917">
        <f>'Forecasts '!F227</f>
        <v>629089.96841419034</v>
      </c>
      <c r="U110" s="917">
        <f>'Forecasts '!G227</f>
        <v>626954.1508812909</v>
      </c>
      <c r="V110" s="917">
        <f>'Forecasts '!H227</f>
        <v>620392.15227601526</v>
      </c>
      <c r="W110" s="917">
        <f>'Forecasts '!I227</f>
        <v>610328.27297555667</v>
      </c>
      <c r="X110" s="917">
        <f>'Forecasts '!J227</f>
        <v>628667.09175806877</v>
      </c>
      <c r="Y110" s="705"/>
      <c r="Z110" s="705"/>
      <c r="AA110" s="705"/>
      <c r="AB110" s="1111"/>
      <c r="AC110" s="1239"/>
      <c r="AD110" s="759"/>
      <c r="AE110" s="760"/>
      <c r="AF110" s="760"/>
      <c r="AG110" s="760"/>
      <c r="AH110" s="760"/>
      <c r="AI110" s="760"/>
      <c r="AK110" s="1029"/>
      <c r="AL110" s="1029"/>
      <c r="AM110" s="1029"/>
      <c r="AN110" s="1029"/>
      <c r="AO110" s="1029"/>
      <c r="AP110" s="681"/>
      <c r="AQ110" s="681"/>
      <c r="AR110" s="1237"/>
      <c r="AS110" s="1237"/>
      <c r="AT110" s="1237"/>
      <c r="AU110" s="1237"/>
      <c r="AV110" s="1237"/>
      <c r="AW110" s="1237"/>
      <c r="AX110" s="1237"/>
      <c r="AY110" s="1237"/>
      <c r="AZ110" s="1237"/>
      <c r="BA110" s="1237"/>
      <c r="BB110" s="1237"/>
      <c r="BC110" s="1237"/>
      <c r="BD110" s="1237"/>
      <c r="BE110" s="1237"/>
      <c r="BF110" s="1237"/>
      <c r="BG110" s="1237"/>
      <c r="BH110" s="1237"/>
      <c r="BI110" s="1237"/>
      <c r="BJ110" s="1237"/>
      <c r="BK110" s="1237"/>
      <c r="BL110" s="1237"/>
      <c r="BM110" s="1237"/>
      <c r="BN110" s="1237"/>
      <c r="BO110" s="1237"/>
      <c r="BP110" s="1237"/>
      <c r="BQ110" s="1237"/>
      <c r="BR110" s="1237"/>
      <c r="BS110" s="1237"/>
      <c r="BT110" s="1237"/>
      <c r="BU110" s="1237"/>
      <c r="BV110" s="1237"/>
      <c r="BW110" s="1237"/>
      <c r="BX110" s="1237"/>
      <c r="BY110" s="1237"/>
      <c r="BZ110" s="1237"/>
      <c r="CA110" s="1237"/>
      <c r="CB110" s="1237"/>
      <c r="CC110" s="1237"/>
      <c r="CD110" s="1237"/>
      <c r="CE110" s="1237"/>
      <c r="CF110" s="1237"/>
      <c r="CG110" s="1237"/>
      <c r="CH110" s="1237"/>
      <c r="CI110" s="1237"/>
      <c r="CJ110" s="1237"/>
      <c r="CK110" s="1237"/>
      <c r="CL110" s="1237"/>
      <c r="CM110" s="1237"/>
      <c r="CN110" s="1237"/>
      <c r="CO110" s="1237"/>
      <c r="CP110" s="1237"/>
      <c r="CQ110" s="1237"/>
      <c r="CR110" s="1237"/>
      <c r="CS110" s="1237"/>
      <c r="CT110" s="1237"/>
      <c r="CU110" s="1237"/>
      <c r="CV110" s="1237"/>
      <c r="CW110" s="1237"/>
      <c r="CX110" s="1237"/>
      <c r="CY110" s="1237"/>
      <c r="CZ110" s="1237"/>
      <c r="DA110" s="1237"/>
      <c r="DB110" s="1237"/>
      <c r="DC110" s="1237"/>
      <c r="DD110" s="1237"/>
      <c r="DE110" s="1237"/>
      <c r="DF110" s="1237"/>
      <c r="DG110" s="1237"/>
      <c r="DH110" s="1237"/>
      <c r="DI110" s="1237"/>
      <c r="DJ110" s="1237"/>
      <c r="DK110" s="1237"/>
      <c r="DL110" s="1237"/>
      <c r="DM110" s="1237"/>
      <c r="DN110" s="1237"/>
      <c r="DO110" s="1237"/>
      <c r="DP110" s="1237"/>
      <c r="DQ110" s="1237"/>
      <c r="DR110" s="1237"/>
      <c r="DS110" s="1237"/>
      <c r="DT110" s="1237"/>
      <c r="DU110" s="1237"/>
      <c r="DV110" s="1237"/>
      <c r="DW110" s="1237"/>
      <c r="DX110" s="1237"/>
      <c r="DY110" s="1237"/>
      <c r="DZ110" s="1237"/>
      <c r="EA110" s="1237"/>
      <c r="EB110" s="1237"/>
      <c r="EC110" s="1237"/>
      <c r="ED110" s="1237"/>
      <c r="EE110" s="1237"/>
      <c r="EF110" s="1237"/>
      <c r="EG110" s="1237"/>
      <c r="EH110" s="1237"/>
      <c r="EI110" s="1237"/>
      <c r="EJ110" s="1237"/>
      <c r="EK110" s="1237"/>
      <c r="EL110" s="1237"/>
      <c r="EM110" s="1237"/>
      <c r="EN110" s="1237"/>
      <c r="EO110" s="1237"/>
      <c r="EP110" s="1237"/>
      <c r="EQ110" s="1237"/>
      <c r="ER110" s="1237"/>
      <c r="ES110" s="1237"/>
      <c r="ET110" s="1237"/>
      <c r="EU110" s="1237"/>
      <c r="EV110" s="1237"/>
      <c r="EW110" s="1237"/>
      <c r="EX110" s="1237"/>
      <c r="EY110" s="1237"/>
      <c r="EZ110" s="1237"/>
      <c r="FA110" s="1237"/>
      <c r="FB110" s="1237"/>
      <c r="FC110" s="1237"/>
      <c r="FD110" s="1237"/>
      <c r="FE110" s="1237"/>
      <c r="FF110" s="1237"/>
      <c r="FG110" s="1237"/>
      <c r="FH110" s="1237"/>
      <c r="FI110" s="1237"/>
      <c r="FJ110" s="1237"/>
      <c r="FK110" s="1237"/>
      <c r="FL110" s="1237"/>
      <c r="FM110" s="1237"/>
      <c r="FN110" s="1237"/>
      <c r="FO110" s="1237"/>
      <c r="FP110" s="1237"/>
      <c r="FQ110" s="1237"/>
      <c r="FR110" s="1237"/>
      <c r="FS110" s="1237"/>
      <c r="FT110" s="1237"/>
      <c r="FU110" s="1237"/>
      <c r="FV110" s="1237"/>
      <c r="FW110" s="1237"/>
      <c r="FX110" s="1237"/>
      <c r="FY110" s="1237"/>
      <c r="FZ110" s="1237"/>
      <c r="GA110" s="1237"/>
      <c r="GB110" s="1237"/>
      <c r="GC110" s="1237"/>
      <c r="GD110" s="1237"/>
      <c r="GE110" s="1237"/>
      <c r="GF110" s="1237"/>
      <c r="GG110" s="1237"/>
      <c r="GH110" s="1237"/>
      <c r="GI110" s="1237"/>
      <c r="GJ110" s="1237"/>
      <c r="GK110" s="1237"/>
      <c r="GL110" s="1237"/>
      <c r="GM110" s="1237"/>
      <c r="GN110" s="1237"/>
      <c r="GO110" s="1237"/>
      <c r="GP110" s="1237"/>
      <c r="GQ110" s="1237"/>
    </row>
    <row r="111" spans="1:199" ht="12" customHeight="1">
      <c r="A111" s="1022"/>
      <c r="B111" s="1022"/>
      <c r="C111" s="1022"/>
      <c r="D111" s="1022"/>
      <c r="E111" s="1022"/>
      <c r="F111" s="1022"/>
      <c r="N111" s="758"/>
      <c r="O111" s="743"/>
      <c r="P111" s="743"/>
      <c r="Q111" s="743"/>
      <c r="R111" s="743"/>
      <c r="S111" s="743"/>
      <c r="T111" s="743"/>
      <c r="U111" s="743"/>
      <c r="V111" s="743"/>
      <c r="W111" s="743"/>
      <c r="X111" s="743"/>
      <c r="Y111" s="705"/>
      <c r="Z111" s="705"/>
      <c r="AA111" s="705"/>
      <c r="AB111" s="1111"/>
      <c r="AC111" s="1239"/>
      <c r="AD111" s="759"/>
      <c r="AE111" s="760"/>
      <c r="AF111" s="760"/>
      <c r="AG111" s="760"/>
      <c r="AH111" s="760"/>
      <c r="AI111" s="760"/>
      <c r="AK111" s="1029"/>
      <c r="AL111" s="1029"/>
      <c r="AM111" s="1029"/>
      <c r="AN111" s="1029"/>
      <c r="AO111" s="1029"/>
      <c r="AP111" s="681"/>
      <c r="AQ111" s="681"/>
      <c r="AR111" s="1237"/>
      <c r="AS111" s="1237"/>
      <c r="AT111" s="1237"/>
      <c r="AU111" s="1237"/>
      <c r="AV111" s="1237"/>
      <c r="AW111" s="1237"/>
      <c r="AX111" s="1237"/>
      <c r="AY111" s="1237"/>
      <c r="AZ111" s="1237"/>
      <c r="BA111" s="1237"/>
      <c r="BB111" s="1237"/>
      <c r="BC111" s="1237"/>
      <c r="BD111" s="1237"/>
      <c r="BE111" s="1237"/>
      <c r="BF111" s="1237"/>
      <c r="BG111" s="1237"/>
      <c r="BH111" s="1237"/>
      <c r="BI111" s="1237"/>
      <c r="BJ111" s="1237"/>
      <c r="BK111" s="1237"/>
      <c r="BL111" s="1237"/>
      <c r="BM111" s="1237"/>
      <c r="BN111" s="1237"/>
      <c r="BO111" s="1237"/>
      <c r="BP111" s="1237"/>
      <c r="BQ111" s="1237"/>
      <c r="BR111" s="1237"/>
      <c r="BS111" s="1237"/>
      <c r="BT111" s="1237"/>
      <c r="BU111" s="1237"/>
      <c r="BV111" s="1237"/>
      <c r="BW111" s="1237"/>
      <c r="BX111" s="1237"/>
      <c r="BY111" s="1237"/>
      <c r="BZ111" s="1237"/>
      <c r="CA111" s="1237"/>
      <c r="CB111" s="1237"/>
      <c r="CC111" s="1237"/>
      <c r="CD111" s="1237"/>
      <c r="CE111" s="1237"/>
      <c r="CF111" s="1237"/>
      <c r="CG111" s="1237"/>
      <c r="CH111" s="1237"/>
      <c r="CI111" s="1237"/>
      <c r="CJ111" s="1237"/>
      <c r="CK111" s="1237"/>
      <c r="CL111" s="1237"/>
      <c r="CM111" s="1237"/>
      <c r="CN111" s="1237"/>
      <c r="CO111" s="1237"/>
      <c r="CP111" s="1237"/>
      <c r="CQ111" s="1237"/>
      <c r="CR111" s="1237"/>
      <c r="CS111" s="1237"/>
      <c r="CT111" s="1237"/>
      <c r="CU111" s="1237"/>
      <c r="CV111" s="1237"/>
      <c r="CW111" s="1237"/>
      <c r="CX111" s="1237"/>
      <c r="CY111" s="1237"/>
      <c r="CZ111" s="1237"/>
      <c r="DA111" s="1237"/>
      <c r="DB111" s="1237"/>
      <c r="DC111" s="1237"/>
      <c r="DD111" s="1237"/>
      <c r="DE111" s="1237"/>
      <c r="DF111" s="1237"/>
      <c r="DG111" s="1237"/>
      <c r="DH111" s="1237"/>
      <c r="DI111" s="1237"/>
      <c r="DJ111" s="1237"/>
      <c r="DK111" s="1237"/>
      <c r="DL111" s="1237"/>
      <c r="DM111" s="1237"/>
      <c r="DN111" s="1237"/>
      <c r="DO111" s="1237"/>
      <c r="DP111" s="1237"/>
      <c r="DQ111" s="1237"/>
      <c r="DR111" s="1237"/>
      <c r="DS111" s="1237"/>
      <c r="DT111" s="1237"/>
      <c r="DU111" s="1237"/>
      <c r="DV111" s="1237"/>
      <c r="DW111" s="1237"/>
      <c r="DX111" s="1237"/>
      <c r="DY111" s="1237"/>
      <c r="DZ111" s="1237"/>
      <c r="EA111" s="1237"/>
      <c r="EB111" s="1237"/>
      <c r="EC111" s="1237"/>
      <c r="ED111" s="1237"/>
      <c r="EE111" s="1237"/>
      <c r="EF111" s="1237"/>
      <c r="EG111" s="1237"/>
      <c r="EH111" s="1237"/>
      <c r="EI111" s="1237"/>
      <c r="EJ111" s="1237"/>
      <c r="EK111" s="1237"/>
      <c r="EL111" s="1237"/>
      <c r="EM111" s="1237"/>
      <c r="EN111" s="1237"/>
      <c r="EO111" s="1237"/>
      <c r="EP111" s="1237"/>
      <c r="EQ111" s="1237"/>
      <c r="ER111" s="1237"/>
      <c r="ES111" s="1237"/>
      <c r="ET111" s="1237"/>
      <c r="EU111" s="1237"/>
      <c r="EV111" s="1237"/>
      <c r="EW111" s="1237"/>
      <c r="EX111" s="1237"/>
      <c r="EY111" s="1237"/>
      <c r="EZ111" s="1237"/>
      <c r="FA111" s="1237"/>
      <c r="FB111" s="1237"/>
      <c r="FC111" s="1237"/>
      <c r="FD111" s="1237"/>
      <c r="FE111" s="1237"/>
      <c r="FF111" s="1237"/>
      <c r="FG111" s="1237"/>
      <c r="FH111" s="1237"/>
      <c r="FI111" s="1237"/>
      <c r="FJ111" s="1237"/>
      <c r="FK111" s="1237"/>
      <c r="FL111" s="1237"/>
      <c r="FM111" s="1237"/>
      <c r="FN111" s="1237"/>
      <c r="FO111" s="1237"/>
      <c r="FP111" s="1237"/>
      <c r="FQ111" s="1237"/>
      <c r="FR111" s="1237"/>
      <c r="FS111" s="1237"/>
      <c r="FT111" s="1237"/>
      <c r="FU111" s="1237"/>
      <c r="FV111" s="1237"/>
      <c r="FW111" s="1237"/>
      <c r="FX111" s="1237"/>
      <c r="FY111" s="1237"/>
      <c r="FZ111" s="1237"/>
      <c r="GA111" s="1237"/>
      <c r="GB111" s="1237"/>
      <c r="GC111" s="1237"/>
      <c r="GD111" s="1237"/>
      <c r="GE111" s="1237"/>
      <c r="GF111" s="1237"/>
      <c r="GG111" s="1237"/>
      <c r="GH111" s="1237"/>
      <c r="GI111" s="1237"/>
      <c r="GJ111" s="1237"/>
      <c r="GK111" s="1237"/>
      <c r="GL111" s="1237"/>
      <c r="GM111" s="1237"/>
      <c r="GN111" s="1237"/>
      <c r="GO111" s="1237"/>
      <c r="GP111" s="1237"/>
      <c r="GQ111" s="1237"/>
    </row>
    <row r="112" spans="1:199" ht="12" customHeight="1">
      <c r="N112" s="758"/>
      <c r="O112" s="915" t="str">
        <f>'Forecasts '!A230</f>
        <v>Noncontrolling interests</v>
      </c>
      <c r="P112" s="915">
        <f>'Forecasts '!B230</f>
        <v>23599</v>
      </c>
      <c r="Q112" s="915">
        <f>'Forecasts '!C230</f>
        <v>997</v>
      </c>
      <c r="R112" s="915">
        <f>'Forecasts '!D230</f>
        <v>995</v>
      </c>
      <c r="S112" s="915">
        <f>'Forecasts '!E230</f>
        <v>995.995</v>
      </c>
      <c r="T112" s="915">
        <f>'Forecasts '!F230</f>
        <v>996.990995</v>
      </c>
      <c r="U112" s="915">
        <f>'Forecasts '!G230</f>
        <v>997.98798599500003</v>
      </c>
      <c r="V112" s="915">
        <f>'Forecasts '!H230</f>
        <v>998.98597398099503</v>
      </c>
      <c r="W112" s="915">
        <f>'Forecasts '!I230</f>
        <v>999.98495995497603</v>
      </c>
      <c r="X112" s="915">
        <f>'Forecasts '!J230</f>
        <v>1001.0139155081764</v>
      </c>
      <c r="Y112" s="705"/>
      <c r="Z112" s="705"/>
      <c r="AA112" s="705"/>
      <c r="AB112" s="1111"/>
      <c r="AC112" s="1239"/>
      <c r="AD112" s="762"/>
      <c r="AE112" s="763"/>
      <c r="AF112" s="763"/>
      <c r="AG112" s="763"/>
      <c r="AH112" s="763"/>
      <c r="AI112" s="763"/>
      <c r="AK112" s="1029"/>
      <c r="AL112" s="1029"/>
      <c r="AM112" s="1029"/>
      <c r="AN112" s="1029"/>
      <c r="AO112" s="1029"/>
      <c r="AP112" s="681"/>
      <c r="AQ112" s="681"/>
      <c r="AR112" s="1237"/>
      <c r="AS112" s="1237"/>
      <c r="AT112" s="1237"/>
      <c r="AU112" s="1237"/>
      <c r="AV112" s="1237"/>
      <c r="AW112" s="1237"/>
      <c r="AX112" s="1237"/>
      <c r="AY112" s="1237"/>
      <c r="AZ112" s="1237"/>
      <c r="BA112" s="1237"/>
      <c r="BB112" s="1237"/>
      <c r="BC112" s="1237"/>
      <c r="BD112" s="1237"/>
      <c r="BE112" s="1237"/>
      <c r="BF112" s="1237"/>
      <c r="BG112" s="1237"/>
      <c r="BH112" s="1237"/>
      <c r="BI112" s="1237"/>
      <c r="BJ112" s="1237"/>
      <c r="BK112" s="1237"/>
      <c r="BL112" s="1237"/>
      <c r="BM112" s="1237"/>
      <c r="BN112" s="1237"/>
      <c r="BO112" s="1237"/>
      <c r="BP112" s="1237"/>
      <c r="BQ112" s="1237"/>
      <c r="BR112" s="1237"/>
      <c r="BS112" s="1237"/>
      <c r="BT112" s="1237"/>
      <c r="BU112" s="1237"/>
      <c r="BV112" s="1237"/>
      <c r="BW112" s="1237"/>
      <c r="BX112" s="1237"/>
      <c r="BY112" s="1237"/>
      <c r="BZ112" s="1237"/>
      <c r="CA112" s="1237"/>
      <c r="CB112" s="1237"/>
      <c r="CC112" s="1237"/>
      <c r="CD112" s="1237"/>
      <c r="CE112" s="1237"/>
      <c r="CF112" s="1237"/>
      <c r="CG112" s="1237"/>
      <c r="CH112" s="1237"/>
      <c r="CI112" s="1237"/>
      <c r="CJ112" s="1237"/>
      <c r="CK112" s="1237"/>
      <c r="CL112" s="1237"/>
      <c r="CM112" s="1237"/>
      <c r="CN112" s="1237"/>
      <c r="CO112" s="1237"/>
      <c r="CP112" s="1237"/>
      <c r="CQ112" s="1237"/>
      <c r="CR112" s="1237"/>
      <c r="CS112" s="1237"/>
      <c r="CT112" s="1237"/>
      <c r="CU112" s="1237"/>
      <c r="CV112" s="1237"/>
      <c r="CW112" s="1237"/>
      <c r="CX112" s="1237"/>
      <c r="CY112" s="1237"/>
      <c r="CZ112" s="1237"/>
      <c r="DA112" s="1237"/>
      <c r="DB112" s="1237"/>
      <c r="DC112" s="1237"/>
      <c r="DD112" s="1237"/>
      <c r="DE112" s="1237"/>
      <c r="DF112" s="1237"/>
      <c r="DG112" s="1237"/>
      <c r="DH112" s="1237"/>
      <c r="DI112" s="1237"/>
      <c r="DJ112" s="1237"/>
      <c r="DK112" s="1237"/>
      <c r="DL112" s="1237"/>
      <c r="DM112" s="1237"/>
      <c r="DN112" s="1237"/>
      <c r="DO112" s="1237"/>
      <c r="DP112" s="1237"/>
      <c r="DQ112" s="1237"/>
      <c r="DR112" s="1237"/>
      <c r="DS112" s="1237"/>
      <c r="DT112" s="1237"/>
      <c r="DU112" s="1237"/>
      <c r="DV112" s="1237"/>
      <c r="DW112" s="1237"/>
      <c r="DX112" s="1237"/>
      <c r="DY112" s="1237"/>
      <c r="DZ112" s="1237"/>
      <c r="EA112" s="1237"/>
      <c r="EB112" s="1237"/>
      <c r="EC112" s="1237"/>
      <c r="ED112" s="1237"/>
      <c r="EE112" s="1237"/>
      <c r="EF112" s="1237"/>
      <c r="EG112" s="1237"/>
      <c r="EH112" s="1237"/>
      <c r="EI112" s="1237"/>
      <c r="EJ112" s="1237"/>
      <c r="EK112" s="1237"/>
      <c r="EL112" s="1237"/>
      <c r="EM112" s="1237"/>
      <c r="EN112" s="1237"/>
      <c r="EO112" s="1237"/>
      <c r="EP112" s="1237"/>
      <c r="EQ112" s="1237"/>
      <c r="ER112" s="1237"/>
      <c r="ES112" s="1237"/>
      <c r="ET112" s="1237"/>
      <c r="EU112" s="1237"/>
      <c r="EV112" s="1237"/>
      <c r="EW112" s="1237"/>
      <c r="EX112" s="1237"/>
      <c r="EY112" s="1237"/>
      <c r="EZ112" s="1237"/>
      <c r="FA112" s="1237"/>
      <c r="FB112" s="1237"/>
      <c r="FC112" s="1237"/>
      <c r="FD112" s="1237"/>
      <c r="FE112" s="1237"/>
      <c r="FF112" s="1237"/>
      <c r="FG112" s="1237"/>
      <c r="FH112" s="1237"/>
      <c r="FI112" s="1237"/>
      <c r="FJ112" s="1237"/>
      <c r="FK112" s="1237"/>
      <c r="FL112" s="1237"/>
      <c r="FM112" s="1237"/>
      <c r="FN112" s="1237"/>
      <c r="FO112" s="1237"/>
      <c r="FP112" s="1237"/>
      <c r="FQ112" s="1237"/>
      <c r="FR112" s="1237"/>
      <c r="FS112" s="1237"/>
      <c r="FT112" s="1237"/>
      <c r="FU112" s="1237"/>
      <c r="FV112" s="1237"/>
      <c r="FW112" s="1237"/>
      <c r="FX112" s="1237"/>
      <c r="FY112" s="1237"/>
      <c r="FZ112" s="1237"/>
      <c r="GA112" s="1237"/>
      <c r="GB112" s="1237"/>
      <c r="GC112" s="1237"/>
      <c r="GD112" s="1237"/>
      <c r="GE112" s="1237"/>
      <c r="GF112" s="1237"/>
      <c r="GG112" s="1237"/>
      <c r="GH112" s="1237"/>
      <c r="GI112" s="1237"/>
      <c r="GJ112" s="1237"/>
      <c r="GK112" s="1237"/>
      <c r="GL112" s="1237"/>
      <c r="GM112" s="1237"/>
      <c r="GN112" s="1237"/>
      <c r="GO112" s="1237"/>
      <c r="GP112" s="1237"/>
      <c r="GQ112" s="1237"/>
    </row>
    <row r="113" spans="1:199" ht="15" customHeight="1">
      <c r="N113" s="758"/>
      <c r="O113" s="921" t="str">
        <f>'Forecasts '!A233</f>
        <v xml:space="preserve">  Total Equity</v>
      </c>
      <c r="P113" s="921">
        <f>'Forecasts '!B233</f>
        <v>775409</v>
      </c>
      <c r="Q113" s="921">
        <f>'Forecasts '!C233</f>
        <v>726097</v>
      </c>
      <c r="R113" s="921">
        <f>'Forecasts '!D233</f>
        <v>623440</v>
      </c>
      <c r="S113" s="921">
        <f>'Forecasts '!E233</f>
        <v>628571.43563564552</v>
      </c>
      <c r="T113" s="921">
        <f>'Forecasts '!F233</f>
        <v>630086.95940919034</v>
      </c>
      <c r="U113" s="921">
        <f>'Forecasts '!G233</f>
        <v>627952.13886728592</v>
      </c>
      <c r="V113" s="921">
        <f>'Forecasts '!H233</f>
        <v>621391.13824999623</v>
      </c>
      <c r="W113" s="921">
        <f>'Forecasts '!I233</f>
        <v>611328.25793551165</v>
      </c>
      <c r="X113" s="921">
        <f>'Forecasts '!J233</f>
        <v>629668.10567357694</v>
      </c>
      <c r="AB113" s="1111"/>
      <c r="AC113" s="1239"/>
      <c r="AD113" s="759"/>
      <c r="AE113" s="760"/>
      <c r="AF113" s="760"/>
      <c r="AG113" s="760"/>
      <c r="AH113" s="760"/>
      <c r="AI113" s="760"/>
      <c r="AK113" s="1029"/>
      <c r="AL113" s="1029"/>
      <c r="AM113" s="1029"/>
      <c r="AN113" s="1029"/>
      <c r="AO113" s="1029"/>
      <c r="AP113" s="681"/>
      <c r="AQ113" s="681"/>
      <c r="AR113" s="1237"/>
      <c r="AS113" s="1237"/>
      <c r="AT113" s="1237"/>
      <c r="AU113" s="1237"/>
      <c r="AV113" s="1237"/>
      <c r="AW113" s="1237"/>
      <c r="AX113" s="1237"/>
      <c r="AY113" s="1237"/>
      <c r="AZ113" s="1237"/>
      <c r="BA113" s="1237"/>
      <c r="BB113" s="1237"/>
      <c r="BC113" s="1237"/>
      <c r="BD113" s="1237"/>
      <c r="BE113" s="1237"/>
      <c r="BF113" s="1237"/>
      <c r="BG113" s="1237"/>
      <c r="BH113" s="1237"/>
      <c r="BI113" s="1237"/>
      <c r="BJ113" s="1237"/>
      <c r="BK113" s="1237"/>
      <c r="BL113" s="1237"/>
      <c r="BM113" s="1237"/>
      <c r="BN113" s="1237"/>
      <c r="BO113" s="1237"/>
      <c r="BP113" s="1237"/>
      <c r="BQ113" s="1237"/>
      <c r="BR113" s="1237"/>
      <c r="BS113" s="1237"/>
      <c r="BT113" s="1237"/>
      <c r="BU113" s="1237"/>
      <c r="BV113" s="1237"/>
      <c r="BW113" s="1237"/>
      <c r="BX113" s="1237"/>
      <c r="BY113" s="1237"/>
      <c r="BZ113" s="1237"/>
      <c r="CA113" s="1237"/>
      <c r="CB113" s="1237"/>
      <c r="CC113" s="1237"/>
      <c r="CD113" s="1237"/>
      <c r="CE113" s="1237"/>
      <c r="CF113" s="1237"/>
      <c r="CG113" s="1237"/>
      <c r="CH113" s="1237"/>
      <c r="CI113" s="1237"/>
      <c r="CJ113" s="1237"/>
      <c r="CK113" s="1237"/>
      <c r="CL113" s="1237"/>
      <c r="CM113" s="1237"/>
      <c r="CN113" s="1237"/>
      <c r="CO113" s="1237"/>
      <c r="CP113" s="1237"/>
      <c r="CQ113" s="1237"/>
      <c r="CR113" s="1237"/>
      <c r="CS113" s="1237"/>
      <c r="CT113" s="1237"/>
      <c r="CU113" s="1237"/>
      <c r="CV113" s="1237"/>
      <c r="CW113" s="1237"/>
      <c r="CX113" s="1237"/>
      <c r="CY113" s="1237"/>
      <c r="CZ113" s="1237"/>
      <c r="DA113" s="1237"/>
      <c r="DB113" s="1237"/>
      <c r="DC113" s="1237"/>
      <c r="DD113" s="1237"/>
      <c r="DE113" s="1237"/>
      <c r="DF113" s="1237"/>
      <c r="DG113" s="1237"/>
      <c r="DH113" s="1237"/>
      <c r="DI113" s="1237"/>
      <c r="DJ113" s="1237"/>
      <c r="DK113" s="1237"/>
      <c r="DL113" s="1237"/>
      <c r="DM113" s="1237"/>
      <c r="DN113" s="1237"/>
      <c r="DO113" s="1237"/>
      <c r="DP113" s="1237"/>
      <c r="DQ113" s="1237"/>
      <c r="DR113" s="1237"/>
      <c r="DS113" s="1237"/>
      <c r="DT113" s="1237"/>
      <c r="DU113" s="1237"/>
      <c r="DV113" s="1237"/>
      <c r="DW113" s="1237"/>
      <c r="DX113" s="1237"/>
      <c r="DY113" s="1237"/>
      <c r="DZ113" s="1237"/>
      <c r="EA113" s="1237"/>
      <c r="EB113" s="1237"/>
      <c r="EC113" s="1237"/>
      <c r="ED113" s="1237"/>
      <c r="EE113" s="1237"/>
      <c r="EF113" s="1237"/>
      <c r="EG113" s="1237"/>
      <c r="EH113" s="1237"/>
      <c r="EI113" s="1237"/>
      <c r="EJ113" s="1237"/>
      <c r="EK113" s="1237"/>
      <c r="EL113" s="1237"/>
      <c r="EM113" s="1237"/>
      <c r="EN113" s="1237"/>
      <c r="EO113" s="1237"/>
      <c r="EP113" s="1237"/>
      <c r="EQ113" s="1237"/>
      <c r="ER113" s="1237"/>
      <c r="ES113" s="1237"/>
      <c r="ET113" s="1237"/>
      <c r="EU113" s="1237"/>
      <c r="EV113" s="1237"/>
      <c r="EW113" s="1237"/>
      <c r="EX113" s="1237"/>
      <c r="EY113" s="1237"/>
      <c r="EZ113" s="1237"/>
      <c r="FA113" s="1237"/>
      <c r="FB113" s="1237"/>
      <c r="FC113" s="1237"/>
      <c r="FD113" s="1237"/>
      <c r="FE113" s="1237"/>
      <c r="FF113" s="1237"/>
      <c r="FG113" s="1237"/>
      <c r="FH113" s="1237"/>
      <c r="FI113" s="1237"/>
      <c r="FJ113" s="1237"/>
      <c r="FK113" s="1237"/>
      <c r="FL113" s="1237"/>
      <c r="FM113" s="1237"/>
      <c r="FN113" s="1237"/>
      <c r="FO113" s="1237"/>
      <c r="FP113" s="1237"/>
      <c r="FQ113" s="1237"/>
      <c r="FR113" s="1237"/>
      <c r="FS113" s="1237"/>
      <c r="FT113" s="1237"/>
      <c r="FU113" s="1237"/>
      <c r="FV113" s="1237"/>
      <c r="FW113" s="1237"/>
      <c r="FX113" s="1237"/>
      <c r="FY113" s="1237"/>
      <c r="FZ113" s="1237"/>
      <c r="GA113" s="1237"/>
      <c r="GB113" s="1237"/>
      <c r="GC113" s="1237"/>
      <c r="GD113" s="1237"/>
      <c r="GE113" s="1237"/>
      <c r="GF113" s="1237"/>
      <c r="GG113" s="1237"/>
      <c r="GH113" s="1237"/>
      <c r="GI113" s="1237"/>
      <c r="GJ113" s="1237"/>
      <c r="GK113" s="1237"/>
      <c r="GL113" s="1237"/>
      <c r="GM113" s="1237"/>
      <c r="GN113" s="1237"/>
      <c r="GO113" s="1237"/>
      <c r="GP113" s="1237"/>
      <c r="GQ113" s="1237"/>
    </row>
    <row r="114" spans="1:199">
      <c r="N114" s="758"/>
      <c r="O114" s="927" t="str">
        <f>'Forecasts '!A236</f>
        <v xml:space="preserve">  Total Liabilities and Equities</v>
      </c>
      <c r="P114" s="927">
        <f>'Forecasts '!B236</f>
        <v>1720290</v>
      </c>
      <c r="Q114" s="927">
        <f>'Forecasts '!C236</f>
        <v>1883606</v>
      </c>
      <c r="R114" s="927">
        <f>'Forecasts '!D236</f>
        <v>1744841</v>
      </c>
      <c r="S114" s="927">
        <f>'Forecasts '!E236</f>
        <v>1772400.4556356454</v>
      </c>
      <c r="T114" s="927">
        <f>'Forecasts '!F236</f>
        <v>1796792.5598091905</v>
      </c>
      <c r="U114" s="927">
        <f>'Forecasts '!G236</f>
        <v>1817991.8512752862</v>
      </c>
      <c r="V114" s="927">
        <f>'Forecasts '!H236</f>
        <v>1835231.6449061562</v>
      </c>
      <c r="W114" s="927">
        <f>'Forecasts '!I236</f>
        <v>1849445.5747247948</v>
      </c>
      <c r="X114" s="927">
        <f>'Forecasts '!J236</f>
        <v>1904928.9419665386</v>
      </c>
      <c r="AB114" s="1111"/>
      <c r="AC114" s="1239"/>
      <c r="AD114" s="759"/>
      <c r="AE114" s="760"/>
      <c r="AF114" s="760"/>
      <c r="AG114" s="760"/>
      <c r="AH114" s="760"/>
      <c r="AI114" s="760"/>
      <c r="AK114" s="709"/>
      <c r="AP114" s="681"/>
      <c r="AQ114" s="681"/>
      <c r="AR114" s="1237"/>
      <c r="AS114" s="1237"/>
      <c r="AT114" s="1237"/>
      <c r="AU114" s="1237"/>
      <c r="AV114" s="1237"/>
      <c r="AW114" s="1237"/>
      <c r="AX114" s="1237"/>
      <c r="AY114" s="1237"/>
      <c r="AZ114" s="1237"/>
      <c r="BA114" s="1237"/>
      <c r="BB114" s="1237"/>
      <c r="BC114" s="1237"/>
      <c r="BD114" s="1237"/>
      <c r="BE114" s="1237"/>
      <c r="BF114" s="1237"/>
      <c r="BG114" s="1237"/>
      <c r="BH114" s="1237"/>
      <c r="BI114" s="1237"/>
      <c r="BJ114" s="1237"/>
      <c r="BK114" s="1237"/>
      <c r="BL114" s="1237"/>
      <c r="BM114" s="1237"/>
      <c r="BN114" s="1237"/>
      <c r="BO114" s="1237"/>
      <c r="BP114" s="1237"/>
      <c r="BQ114" s="1237"/>
      <c r="BR114" s="1237"/>
      <c r="BS114" s="1237"/>
      <c r="BT114" s="1237"/>
      <c r="BU114" s="1237"/>
      <c r="BV114" s="1237"/>
      <c r="BW114" s="1237"/>
      <c r="BX114" s="1237"/>
      <c r="BY114" s="1237"/>
      <c r="BZ114" s="1237"/>
      <c r="CA114" s="1237"/>
      <c r="CB114" s="1237"/>
      <c r="CC114" s="1237"/>
      <c r="CD114" s="1237"/>
      <c r="CE114" s="1237"/>
      <c r="CF114" s="1237"/>
      <c r="CG114" s="1237"/>
      <c r="CH114" s="1237"/>
      <c r="CI114" s="1237"/>
      <c r="CJ114" s="1237"/>
      <c r="CK114" s="1237"/>
      <c r="CL114" s="1237"/>
      <c r="CM114" s="1237"/>
      <c r="CN114" s="1237"/>
      <c r="CO114" s="1237"/>
      <c r="CP114" s="1237"/>
      <c r="CQ114" s="1237"/>
      <c r="CR114" s="1237"/>
      <c r="CS114" s="1237"/>
      <c r="CT114" s="1237"/>
      <c r="CU114" s="1237"/>
      <c r="CV114" s="1237"/>
      <c r="CW114" s="1237"/>
      <c r="CX114" s="1237"/>
      <c r="CY114" s="1237"/>
      <c r="CZ114" s="1237"/>
      <c r="DA114" s="1237"/>
      <c r="DB114" s="1237"/>
      <c r="DC114" s="1237"/>
      <c r="DD114" s="1237"/>
      <c r="DE114" s="1237"/>
      <c r="DF114" s="1237"/>
      <c r="DG114" s="1237"/>
      <c r="DH114" s="1237"/>
      <c r="DI114" s="1237"/>
      <c r="DJ114" s="1237"/>
      <c r="DK114" s="1237"/>
      <c r="DL114" s="1237"/>
      <c r="DM114" s="1237"/>
      <c r="DN114" s="1237"/>
      <c r="DO114" s="1237"/>
      <c r="DP114" s="1237"/>
      <c r="DQ114" s="1237"/>
      <c r="DR114" s="1237"/>
      <c r="DS114" s="1237"/>
      <c r="DT114" s="1237"/>
      <c r="DU114" s="1237"/>
      <c r="DV114" s="1237"/>
      <c r="DW114" s="1237"/>
      <c r="DX114" s="1237"/>
      <c r="DY114" s="1237"/>
      <c r="DZ114" s="1237"/>
      <c r="EA114" s="1237"/>
      <c r="EB114" s="1237"/>
      <c r="EC114" s="1237"/>
      <c r="ED114" s="1237"/>
      <c r="EE114" s="1237"/>
      <c r="EF114" s="1237"/>
      <c r="EG114" s="1237"/>
      <c r="EH114" s="1237"/>
      <c r="EI114" s="1237"/>
      <c r="EJ114" s="1237"/>
      <c r="EK114" s="1237"/>
      <c r="EL114" s="1237"/>
      <c r="EM114" s="1237"/>
      <c r="EN114" s="1237"/>
      <c r="EO114" s="1237"/>
      <c r="EP114" s="1237"/>
      <c r="EQ114" s="1237"/>
      <c r="ER114" s="1237"/>
      <c r="ES114" s="1237"/>
      <c r="ET114" s="1237"/>
      <c r="EU114" s="1237"/>
      <c r="EV114" s="1237"/>
      <c r="EW114" s="1237"/>
      <c r="EX114" s="1237"/>
      <c r="EY114" s="1237"/>
      <c r="EZ114" s="1237"/>
      <c r="FA114" s="1237"/>
      <c r="FB114" s="1237"/>
      <c r="FC114" s="1237"/>
      <c r="FD114" s="1237"/>
      <c r="FE114" s="1237"/>
      <c r="FF114" s="1237"/>
      <c r="FG114" s="1237"/>
      <c r="FH114" s="1237"/>
      <c r="FI114" s="1237"/>
      <c r="FJ114" s="1237"/>
      <c r="FK114" s="1237"/>
      <c r="FL114" s="1237"/>
      <c r="FM114" s="1237"/>
      <c r="FN114" s="1237"/>
      <c r="FO114" s="1237"/>
      <c r="FP114" s="1237"/>
      <c r="FQ114" s="1237"/>
      <c r="FR114" s="1237"/>
      <c r="FS114" s="1237"/>
      <c r="FT114" s="1237"/>
      <c r="FU114" s="1237"/>
      <c r="FV114" s="1237"/>
      <c r="FW114" s="1237"/>
      <c r="FX114" s="1237"/>
      <c r="FY114" s="1237"/>
      <c r="FZ114" s="1237"/>
      <c r="GA114" s="1237"/>
      <c r="GB114" s="1237"/>
      <c r="GC114" s="1237"/>
      <c r="GD114" s="1237"/>
      <c r="GE114" s="1237"/>
      <c r="GF114" s="1237"/>
      <c r="GG114" s="1237"/>
      <c r="GH114" s="1237"/>
      <c r="GI114" s="1237"/>
      <c r="GJ114" s="1237"/>
      <c r="GK114" s="1237"/>
      <c r="GL114" s="1237"/>
      <c r="GM114" s="1237"/>
      <c r="GN114" s="1237"/>
      <c r="GO114" s="1237"/>
      <c r="GP114" s="1237"/>
      <c r="GQ114" s="1237"/>
    </row>
    <row r="115" spans="1:199">
      <c r="N115" s="758"/>
      <c r="AB115" s="1111"/>
      <c r="AC115" s="1239"/>
      <c r="AE115" s="748"/>
      <c r="AK115" s="709"/>
      <c r="AP115" s="681"/>
      <c r="AQ115" s="681"/>
      <c r="AR115" s="1237"/>
      <c r="AS115" s="1237"/>
      <c r="AT115" s="1237"/>
      <c r="AU115" s="1237"/>
      <c r="AV115" s="1237"/>
      <c r="AW115" s="1237"/>
      <c r="AX115" s="1237"/>
      <c r="AY115" s="1237"/>
      <c r="AZ115" s="1237"/>
      <c r="BA115" s="1237"/>
      <c r="BB115" s="1237"/>
      <c r="BC115" s="1237"/>
      <c r="BD115" s="1237"/>
      <c r="BE115" s="1237"/>
      <c r="BF115" s="1237"/>
      <c r="BG115" s="1237"/>
      <c r="BH115" s="1237"/>
      <c r="BI115" s="1237"/>
      <c r="BJ115" s="1237"/>
      <c r="BK115" s="1237"/>
      <c r="BL115" s="1237"/>
      <c r="BM115" s="1237"/>
      <c r="BN115" s="1237"/>
      <c r="BO115" s="1237"/>
      <c r="BP115" s="1237"/>
      <c r="BQ115" s="1237"/>
      <c r="BR115" s="1237"/>
      <c r="BS115" s="1237"/>
      <c r="BT115" s="1237"/>
      <c r="BU115" s="1237"/>
      <c r="BV115" s="1237"/>
      <c r="BW115" s="1237"/>
      <c r="BX115" s="1237"/>
      <c r="BY115" s="1237"/>
      <c r="BZ115" s="1237"/>
      <c r="CA115" s="1237"/>
      <c r="CB115" s="1237"/>
      <c r="CC115" s="1237"/>
      <c r="CD115" s="1237"/>
      <c r="CE115" s="1237"/>
      <c r="CF115" s="1237"/>
      <c r="CG115" s="1237"/>
      <c r="CH115" s="1237"/>
      <c r="CI115" s="1237"/>
      <c r="CJ115" s="1237"/>
      <c r="CK115" s="1237"/>
      <c r="CL115" s="1237"/>
      <c r="CM115" s="1237"/>
      <c r="CN115" s="1237"/>
      <c r="CO115" s="1237"/>
      <c r="CP115" s="1237"/>
      <c r="CQ115" s="1237"/>
      <c r="CR115" s="1237"/>
      <c r="CS115" s="1237"/>
      <c r="CT115" s="1237"/>
      <c r="CU115" s="1237"/>
      <c r="CV115" s="1237"/>
      <c r="CW115" s="1237"/>
      <c r="CX115" s="1237"/>
      <c r="CY115" s="1237"/>
      <c r="CZ115" s="1237"/>
      <c r="DA115" s="1237"/>
      <c r="DB115" s="1237"/>
      <c r="DC115" s="1237"/>
      <c r="DD115" s="1237"/>
      <c r="DE115" s="1237"/>
      <c r="DF115" s="1237"/>
      <c r="DG115" s="1237"/>
      <c r="DH115" s="1237"/>
      <c r="DI115" s="1237"/>
      <c r="DJ115" s="1237"/>
      <c r="DK115" s="1237"/>
      <c r="DL115" s="1237"/>
      <c r="DM115" s="1237"/>
      <c r="DN115" s="1237"/>
      <c r="DO115" s="1237"/>
      <c r="DP115" s="1237"/>
      <c r="DQ115" s="1237"/>
      <c r="DR115" s="1237"/>
      <c r="DS115" s="1237"/>
      <c r="DT115" s="1237"/>
      <c r="DU115" s="1237"/>
      <c r="DV115" s="1237"/>
      <c r="DW115" s="1237"/>
      <c r="DX115" s="1237"/>
      <c r="DY115" s="1237"/>
      <c r="DZ115" s="1237"/>
      <c r="EA115" s="1237"/>
      <c r="EB115" s="1237"/>
      <c r="EC115" s="1237"/>
      <c r="ED115" s="1237"/>
      <c r="EE115" s="1237"/>
      <c r="EF115" s="1237"/>
      <c r="EG115" s="1237"/>
      <c r="EH115" s="1237"/>
      <c r="EI115" s="1237"/>
      <c r="EJ115" s="1237"/>
      <c r="EK115" s="1237"/>
      <c r="EL115" s="1237"/>
      <c r="EM115" s="1237"/>
      <c r="EN115" s="1237"/>
      <c r="EO115" s="1237"/>
      <c r="EP115" s="1237"/>
      <c r="EQ115" s="1237"/>
      <c r="ER115" s="1237"/>
      <c r="ES115" s="1237"/>
      <c r="ET115" s="1237"/>
      <c r="EU115" s="1237"/>
      <c r="EV115" s="1237"/>
      <c r="EW115" s="1237"/>
      <c r="EX115" s="1237"/>
      <c r="EY115" s="1237"/>
      <c r="EZ115" s="1237"/>
      <c r="FA115" s="1237"/>
      <c r="FB115" s="1237"/>
      <c r="FC115" s="1237"/>
      <c r="FD115" s="1237"/>
      <c r="FE115" s="1237"/>
      <c r="FF115" s="1237"/>
      <c r="FG115" s="1237"/>
      <c r="FH115" s="1237"/>
      <c r="FI115" s="1237"/>
      <c r="FJ115" s="1237"/>
      <c r="FK115" s="1237"/>
      <c r="FL115" s="1237"/>
      <c r="FM115" s="1237"/>
      <c r="FN115" s="1237"/>
      <c r="FO115" s="1237"/>
      <c r="FP115" s="1237"/>
      <c r="FQ115" s="1237"/>
      <c r="FR115" s="1237"/>
      <c r="FS115" s="1237"/>
      <c r="FT115" s="1237"/>
      <c r="FU115" s="1237"/>
      <c r="FV115" s="1237"/>
      <c r="FW115" s="1237"/>
      <c r="FX115" s="1237"/>
      <c r="FY115" s="1237"/>
      <c r="FZ115" s="1237"/>
      <c r="GA115" s="1237"/>
      <c r="GB115" s="1237"/>
      <c r="GC115" s="1237"/>
      <c r="GD115" s="1237"/>
      <c r="GE115" s="1237"/>
      <c r="GF115" s="1237"/>
      <c r="GG115" s="1237"/>
      <c r="GH115" s="1237"/>
      <c r="GI115" s="1237"/>
      <c r="GJ115" s="1237"/>
      <c r="GK115" s="1237"/>
      <c r="GL115" s="1237"/>
      <c r="GM115" s="1237"/>
      <c r="GN115" s="1237"/>
      <c r="GO115" s="1237"/>
      <c r="GP115" s="1237"/>
      <c r="GQ115" s="1237"/>
    </row>
    <row r="116" spans="1:199" ht="12">
      <c r="A116" s="705"/>
      <c r="B116" s="705"/>
      <c r="C116" s="705"/>
      <c r="D116" s="705"/>
      <c r="E116" s="705"/>
      <c r="F116" s="705"/>
      <c r="H116" s="758"/>
      <c r="I116" s="758"/>
      <c r="J116" s="758"/>
      <c r="K116" s="758"/>
      <c r="L116" s="758"/>
      <c r="M116" s="758"/>
      <c r="N116" s="758"/>
      <c r="Y116" s="731"/>
      <c r="Z116" s="731"/>
      <c r="AA116" s="731"/>
      <c r="AB116" s="1111"/>
      <c r="AC116" s="1239"/>
      <c r="AI116" s="764"/>
      <c r="AK116" s="709"/>
      <c r="AM116" s="732"/>
      <c r="AN116" s="731"/>
      <c r="AO116" s="731"/>
      <c r="AP116" s="765"/>
      <c r="AQ116" s="681"/>
      <c r="AR116" s="1237"/>
      <c r="AS116" s="1237"/>
      <c r="AT116" s="1237"/>
      <c r="AU116" s="1237"/>
      <c r="AV116" s="1237"/>
      <c r="AW116" s="1237"/>
      <c r="AX116" s="1237"/>
      <c r="AY116" s="1237"/>
      <c r="AZ116" s="1237"/>
      <c r="BA116" s="1237"/>
      <c r="BB116" s="1237"/>
      <c r="BC116" s="1237"/>
      <c r="BD116" s="1237"/>
      <c r="BE116" s="1237"/>
      <c r="BF116" s="1237"/>
      <c r="BG116" s="1237"/>
      <c r="BH116" s="1237"/>
      <c r="BI116" s="1237"/>
      <c r="BJ116" s="1237"/>
      <c r="BK116" s="1237"/>
      <c r="BL116" s="1237"/>
      <c r="BM116" s="1237"/>
      <c r="BN116" s="1237"/>
      <c r="BO116" s="1237"/>
      <c r="BP116" s="1237"/>
      <c r="BQ116" s="1237"/>
      <c r="BR116" s="1237"/>
      <c r="BS116" s="1237"/>
      <c r="BT116" s="1237"/>
      <c r="BU116" s="1237"/>
      <c r="BV116" s="1237"/>
      <c r="BW116" s="1237"/>
      <c r="BX116" s="1237"/>
      <c r="BY116" s="1237"/>
      <c r="BZ116" s="1237"/>
      <c r="CA116" s="1237"/>
      <c r="CB116" s="1237"/>
      <c r="CC116" s="1237"/>
      <c r="CD116" s="1237"/>
      <c r="CE116" s="1237"/>
      <c r="CF116" s="1237"/>
      <c r="CG116" s="1237"/>
      <c r="CH116" s="1237"/>
      <c r="CI116" s="1237"/>
      <c r="CJ116" s="1237"/>
      <c r="CK116" s="1237"/>
      <c r="CL116" s="1237"/>
      <c r="CM116" s="1237"/>
      <c r="CN116" s="1237"/>
      <c r="CO116" s="1237"/>
      <c r="CP116" s="1237"/>
      <c r="CQ116" s="1237"/>
      <c r="CR116" s="1237"/>
      <c r="CS116" s="1237"/>
      <c r="CT116" s="1237"/>
      <c r="CU116" s="1237"/>
      <c r="CV116" s="1237"/>
      <c r="CW116" s="1237"/>
      <c r="CX116" s="1237"/>
      <c r="CY116" s="1237"/>
      <c r="CZ116" s="1237"/>
      <c r="DA116" s="1237"/>
      <c r="DB116" s="1237"/>
      <c r="DC116" s="1237"/>
      <c r="DD116" s="1237"/>
      <c r="DE116" s="1237"/>
      <c r="DF116" s="1237"/>
      <c r="DG116" s="1237"/>
      <c r="DH116" s="1237"/>
      <c r="DI116" s="1237"/>
      <c r="DJ116" s="1237"/>
      <c r="DK116" s="1237"/>
      <c r="DL116" s="1237"/>
      <c r="DM116" s="1237"/>
      <c r="DN116" s="1237"/>
      <c r="DO116" s="1237"/>
      <c r="DP116" s="1237"/>
      <c r="DQ116" s="1237"/>
      <c r="DR116" s="1237"/>
      <c r="DS116" s="1237"/>
      <c r="DT116" s="1237"/>
      <c r="DU116" s="1237"/>
      <c r="DV116" s="1237"/>
      <c r="DW116" s="1237"/>
      <c r="DX116" s="1237"/>
      <c r="DY116" s="1237"/>
      <c r="DZ116" s="1237"/>
      <c r="EA116" s="1237"/>
      <c r="EB116" s="1237"/>
      <c r="EC116" s="1237"/>
      <c r="ED116" s="1237"/>
      <c r="EE116" s="1237"/>
      <c r="EF116" s="1237"/>
      <c r="EG116" s="1237"/>
      <c r="EH116" s="1237"/>
      <c r="EI116" s="1237"/>
      <c r="EJ116" s="1237"/>
      <c r="EK116" s="1237"/>
      <c r="EL116" s="1237"/>
      <c r="EM116" s="1237"/>
      <c r="EN116" s="1237"/>
      <c r="EO116" s="1237"/>
      <c r="EP116" s="1237"/>
      <c r="EQ116" s="1237"/>
      <c r="ER116" s="1237"/>
      <c r="ES116" s="1237"/>
      <c r="ET116" s="1237"/>
      <c r="EU116" s="1237"/>
      <c r="EV116" s="1237"/>
      <c r="EW116" s="1237"/>
      <c r="EX116" s="1237"/>
      <c r="EY116" s="1237"/>
      <c r="EZ116" s="1237"/>
      <c r="FA116" s="1237"/>
      <c r="FB116" s="1237"/>
      <c r="FC116" s="1237"/>
      <c r="FD116" s="1237"/>
      <c r="FE116" s="1237"/>
      <c r="FF116" s="1237"/>
      <c r="FG116" s="1237"/>
      <c r="FH116" s="1237"/>
      <c r="FI116" s="1237"/>
      <c r="FJ116" s="1237"/>
      <c r="FK116" s="1237"/>
      <c r="FL116" s="1237"/>
      <c r="FM116" s="1237"/>
      <c r="FN116" s="1237"/>
      <c r="FO116" s="1237"/>
      <c r="FP116" s="1237"/>
      <c r="FQ116" s="1237"/>
      <c r="FR116" s="1237"/>
      <c r="FS116" s="1237"/>
      <c r="FT116" s="1237"/>
      <c r="FU116" s="1237"/>
      <c r="FV116" s="1237"/>
      <c r="FW116" s="1237"/>
      <c r="FX116" s="1237"/>
      <c r="FY116" s="1237"/>
      <c r="FZ116" s="1237"/>
      <c r="GA116" s="1237"/>
      <c r="GB116" s="1237"/>
      <c r="GC116" s="1237"/>
      <c r="GD116" s="1237"/>
      <c r="GE116" s="1237"/>
      <c r="GF116" s="1237"/>
      <c r="GG116" s="1237"/>
      <c r="GH116" s="1237"/>
      <c r="GI116" s="1237"/>
      <c r="GJ116" s="1237"/>
      <c r="GK116" s="1237"/>
      <c r="GL116" s="1237"/>
      <c r="GM116" s="1237"/>
      <c r="GN116" s="1237"/>
      <c r="GO116" s="1237"/>
      <c r="GP116" s="1237"/>
      <c r="GQ116" s="1237"/>
    </row>
    <row r="117" spans="1:199" s="735" customFormat="1" ht="19.5">
      <c r="A117" s="782" t="s">
        <v>1204</v>
      </c>
      <c r="B117" s="781"/>
      <c r="C117" s="781"/>
      <c r="D117" s="781"/>
      <c r="E117" s="781"/>
      <c r="F117" s="781"/>
      <c r="G117" s="781"/>
      <c r="H117" s="1019" t="s">
        <v>1089</v>
      </c>
      <c r="I117" s="1019"/>
      <c r="J117" s="1019"/>
      <c r="K117" s="1019"/>
      <c r="L117" s="1019"/>
      <c r="M117" s="1019"/>
      <c r="N117" s="758"/>
      <c r="O117" s="782" t="s">
        <v>1204</v>
      </c>
      <c r="P117" s="781"/>
      <c r="Q117" s="781"/>
      <c r="R117" s="781"/>
      <c r="S117" s="781"/>
      <c r="T117" s="781"/>
      <c r="U117" s="781"/>
      <c r="V117" s="1019" t="s">
        <v>1089</v>
      </c>
      <c r="W117" s="1019"/>
      <c r="X117" s="1019"/>
      <c r="Y117" s="1019"/>
      <c r="Z117" s="1019"/>
      <c r="AA117" s="1019"/>
      <c r="AB117" s="1111"/>
      <c r="AC117" s="1239"/>
      <c r="AD117" s="675"/>
      <c r="AE117" s="675"/>
      <c r="AF117" s="675"/>
      <c r="AG117" s="675"/>
      <c r="AH117" s="675"/>
      <c r="AI117" s="675"/>
      <c r="AJ117" s="675"/>
      <c r="AK117" s="709"/>
      <c r="AL117" s="675"/>
      <c r="AM117" s="732"/>
      <c r="AN117" s="733"/>
      <c r="AO117" s="731"/>
      <c r="AP117" s="766"/>
      <c r="AQ117" s="734"/>
      <c r="AR117" s="1237"/>
      <c r="AS117" s="1237"/>
      <c r="AT117" s="1237"/>
      <c r="AU117" s="1237"/>
      <c r="AV117" s="1237"/>
      <c r="AW117" s="1237"/>
      <c r="AX117" s="1237"/>
      <c r="AY117" s="1237"/>
      <c r="AZ117" s="1237"/>
      <c r="BA117" s="1237"/>
      <c r="BB117" s="1237"/>
      <c r="BC117" s="1237"/>
      <c r="BD117" s="1237"/>
      <c r="BE117" s="1237"/>
      <c r="BF117" s="1237"/>
      <c r="BG117" s="1237"/>
      <c r="BH117" s="1237"/>
      <c r="BI117" s="1237"/>
      <c r="BJ117" s="1237"/>
      <c r="BK117" s="1237"/>
      <c r="BL117" s="1237"/>
      <c r="BM117" s="1237"/>
      <c r="BN117" s="1237"/>
      <c r="BO117" s="1237"/>
      <c r="BP117" s="1237"/>
      <c r="BQ117" s="1237"/>
      <c r="BR117" s="1237"/>
      <c r="BS117" s="1237"/>
      <c r="BT117" s="1237"/>
      <c r="BU117" s="1237"/>
      <c r="BV117" s="1237"/>
      <c r="BW117" s="1237"/>
      <c r="BX117" s="1237"/>
      <c r="BY117" s="1237"/>
      <c r="BZ117" s="1237"/>
      <c r="CA117" s="1237"/>
      <c r="CB117" s="1237"/>
      <c r="CC117" s="1237"/>
      <c r="CD117" s="1237"/>
      <c r="CE117" s="1237"/>
      <c r="CF117" s="1237"/>
      <c r="CG117" s="1237"/>
      <c r="CH117" s="1237"/>
      <c r="CI117" s="1237"/>
      <c r="CJ117" s="1237"/>
      <c r="CK117" s="1237"/>
      <c r="CL117" s="1237"/>
      <c r="CM117" s="1237"/>
      <c r="CN117" s="1237"/>
      <c r="CO117" s="1237"/>
      <c r="CP117" s="1237"/>
      <c r="CQ117" s="1237"/>
      <c r="CR117" s="1237"/>
      <c r="CS117" s="1237"/>
      <c r="CT117" s="1237"/>
      <c r="CU117" s="1237"/>
      <c r="CV117" s="1237"/>
      <c r="CW117" s="1237"/>
      <c r="CX117" s="1237"/>
      <c r="CY117" s="1237"/>
      <c r="CZ117" s="1237"/>
      <c r="DA117" s="1237"/>
      <c r="DB117" s="1237"/>
      <c r="DC117" s="1237"/>
      <c r="DD117" s="1237"/>
      <c r="DE117" s="1237"/>
      <c r="DF117" s="1237"/>
      <c r="DG117" s="1237"/>
      <c r="DH117" s="1237"/>
      <c r="DI117" s="1237"/>
      <c r="DJ117" s="1237"/>
      <c r="DK117" s="1237"/>
      <c r="DL117" s="1237"/>
      <c r="DM117" s="1237"/>
      <c r="DN117" s="1237"/>
      <c r="DO117" s="1237"/>
      <c r="DP117" s="1237"/>
      <c r="DQ117" s="1237"/>
      <c r="DR117" s="1237"/>
      <c r="DS117" s="1237"/>
      <c r="DT117" s="1237"/>
      <c r="DU117" s="1237"/>
      <c r="DV117" s="1237"/>
      <c r="DW117" s="1237"/>
      <c r="DX117" s="1237"/>
      <c r="DY117" s="1237"/>
      <c r="DZ117" s="1237"/>
      <c r="EA117" s="1237"/>
      <c r="EB117" s="1237"/>
      <c r="EC117" s="1237"/>
      <c r="ED117" s="1237"/>
      <c r="EE117" s="1237"/>
      <c r="EF117" s="1237"/>
      <c r="EG117" s="1237"/>
      <c r="EH117" s="1237"/>
      <c r="EI117" s="1237"/>
      <c r="EJ117" s="1237"/>
      <c r="EK117" s="1237"/>
      <c r="EL117" s="1237"/>
      <c r="EM117" s="1237"/>
      <c r="EN117" s="1237"/>
      <c r="EO117" s="1237"/>
      <c r="EP117" s="1237"/>
      <c r="EQ117" s="1237"/>
      <c r="ER117" s="1237"/>
      <c r="ES117" s="1237"/>
      <c r="ET117" s="1237"/>
      <c r="EU117" s="1237"/>
      <c r="EV117" s="1237"/>
      <c r="EW117" s="1237"/>
      <c r="EX117" s="1237"/>
      <c r="EY117" s="1237"/>
      <c r="EZ117" s="1237"/>
      <c r="FA117" s="1237"/>
      <c r="FB117" s="1237"/>
      <c r="FC117" s="1237"/>
      <c r="FD117" s="1237"/>
      <c r="FE117" s="1237"/>
      <c r="FF117" s="1237"/>
      <c r="FG117" s="1237"/>
      <c r="FH117" s="1237"/>
      <c r="FI117" s="1237"/>
      <c r="FJ117" s="1237"/>
      <c r="FK117" s="1237"/>
      <c r="FL117" s="1237"/>
      <c r="FM117" s="1237"/>
      <c r="FN117" s="1237"/>
      <c r="FO117" s="1237"/>
      <c r="FP117" s="1237"/>
      <c r="FQ117" s="1237"/>
      <c r="FR117" s="1237"/>
      <c r="FS117" s="1237"/>
      <c r="FT117" s="1237"/>
      <c r="FU117" s="1237"/>
      <c r="FV117" s="1237"/>
      <c r="FW117" s="1237"/>
      <c r="FX117" s="1237"/>
      <c r="FY117" s="1237"/>
      <c r="FZ117" s="1237"/>
      <c r="GA117" s="1237"/>
      <c r="GB117" s="1237"/>
      <c r="GC117" s="1237"/>
      <c r="GD117" s="1237"/>
      <c r="GE117" s="1237"/>
      <c r="GF117" s="1237"/>
      <c r="GG117" s="1237"/>
      <c r="GH117" s="1237"/>
      <c r="GI117" s="1237"/>
      <c r="GJ117" s="1237"/>
      <c r="GK117" s="1237"/>
      <c r="GL117" s="1237"/>
      <c r="GM117" s="1237"/>
      <c r="GN117" s="1237"/>
      <c r="GO117" s="1237"/>
      <c r="GP117" s="1237"/>
      <c r="GQ117" s="1237"/>
    </row>
    <row r="118" spans="1:199">
      <c r="A118" s="676"/>
      <c r="B118" s="676"/>
      <c r="C118" s="676"/>
      <c r="D118" s="676"/>
      <c r="E118" s="676"/>
      <c r="F118" s="676"/>
      <c r="G118" s="676"/>
      <c r="H118" s="1026" t="s">
        <v>1090</v>
      </c>
      <c r="I118" s="1026"/>
      <c r="J118" s="1026"/>
      <c r="K118" s="679"/>
      <c r="L118" s="680">
        <f>L2</f>
        <v>7.02</v>
      </c>
      <c r="M118" s="680"/>
      <c r="O118" s="676"/>
      <c r="P118" s="676"/>
      <c r="Q118" s="676"/>
      <c r="R118" s="676"/>
      <c r="S118" s="676"/>
      <c r="T118" s="676"/>
      <c r="U118" s="676"/>
      <c r="V118" s="1026" t="s">
        <v>1090</v>
      </c>
      <c r="W118" s="1026"/>
      <c r="X118" s="1026"/>
      <c r="Y118" s="679"/>
      <c r="Z118" s="680">
        <f>L118</f>
        <v>7.02</v>
      </c>
      <c r="AA118" s="680"/>
      <c r="AR118" s="1237"/>
      <c r="AS118" s="1237"/>
      <c r="AT118" s="1237"/>
      <c r="AU118" s="1237"/>
      <c r="AV118" s="1237"/>
      <c r="AW118" s="1237"/>
      <c r="AX118" s="1237"/>
      <c r="AY118" s="1237"/>
      <c r="AZ118" s="1237"/>
      <c r="BA118" s="1237"/>
      <c r="BB118" s="1237"/>
      <c r="BC118" s="1237"/>
      <c r="BD118" s="1237"/>
      <c r="BE118" s="1237"/>
      <c r="BF118" s="1237"/>
      <c r="BG118" s="1237"/>
      <c r="BH118" s="1237"/>
      <c r="BI118" s="1237"/>
      <c r="BJ118" s="1237"/>
      <c r="BK118" s="1237"/>
      <c r="BL118" s="1237"/>
      <c r="BM118" s="1237"/>
      <c r="BN118" s="1237"/>
      <c r="BO118" s="1237"/>
      <c r="BP118" s="1237"/>
      <c r="BQ118" s="1237"/>
      <c r="BR118" s="1237"/>
      <c r="BS118" s="1237"/>
      <c r="BT118" s="1237"/>
      <c r="BU118" s="1237"/>
      <c r="BV118" s="1237"/>
      <c r="BW118" s="1237"/>
      <c r="BX118" s="1237"/>
      <c r="BY118" s="1237"/>
      <c r="BZ118" s="1237"/>
      <c r="CA118" s="1237"/>
      <c r="CB118" s="1237"/>
      <c r="CC118" s="1237"/>
      <c r="CD118" s="1237"/>
      <c r="CE118" s="1237"/>
      <c r="CF118" s="1237"/>
      <c r="CG118" s="1237"/>
      <c r="CH118" s="1237"/>
      <c r="CI118" s="1237"/>
      <c r="CJ118" s="1237"/>
      <c r="CK118" s="1237"/>
      <c r="CL118" s="1237"/>
      <c r="CM118" s="1237"/>
      <c r="CN118" s="1237"/>
      <c r="CO118" s="1237"/>
      <c r="CP118" s="1237"/>
      <c r="CQ118" s="1237"/>
      <c r="CR118" s="1237"/>
      <c r="CS118" s="1237"/>
      <c r="CT118" s="1237"/>
      <c r="CU118" s="1237"/>
      <c r="CV118" s="1237"/>
      <c r="CW118" s="1237"/>
      <c r="CX118" s="1237"/>
      <c r="CY118" s="1237"/>
      <c r="CZ118" s="1237"/>
      <c r="DA118" s="1237"/>
      <c r="DB118" s="1237"/>
      <c r="DC118" s="1237"/>
      <c r="DD118" s="1237"/>
      <c r="DE118" s="1237"/>
      <c r="DF118" s="1237"/>
      <c r="DG118" s="1237"/>
      <c r="DH118" s="1237"/>
      <c r="DI118" s="1237"/>
      <c r="DJ118" s="1237"/>
      <c r="DK118" s="1237"/>
      <c r="DL118" s="1237"/>
      <c r="DM118" s="1237"/>
      <c r="DN118" s="1237"/>
      <c r="DO118" s="1237"/>
      <c r="DP118" s="1237"/>
      <c r="DQ118" s="1237"/>
      <c r="DR118" s="1237"/>
      <c r="DS118" s="1237"/>
      <c r="DT118" s="1237"/>
      <c r="DU118" s="1237"/>
      <c r="DV118" s="1237"/>
      <c r="DW118" s="1237"/>
      <c r="DX118" s="1237"/>
      <c r="DY118" s="1237"/>
      <c r="DZ118" s="1237"/>
      <c r="EA118" s="1237"/>
      <c r="EB118" s="1237"/>
      <c r="EC118" s="1237"/>
      <c r="ED118" s="1237"/>
      <c r="EE118" s="1237"/>
      <c r="EF118" s="1237"/>
      <c r="EG118" s="1237"/>
      <c r="EH118" s="1237"/>
      <c r="EI118" s="1237"/>
      <c r="EJ118" s="1237"/>
      <c r="EK118" s="1237"/>
      <c r="EL118" s="1237"/>
      <c r="EM118" s="1237"/>
      <c r="EN118" s="1237"/>
      <c r="EO118" s="1237"/>
      <c r="EP118" s="1237"/>
      <c r="EQ118" s="1237"/>
      <c r="ER118" s="1237"/>
      <c r="ES118" s="1237"/>
      <c r="ET118" s="1237"/>
      <c r="EU118" s="1237"/>
      <c r="EV118" s="1237"/>
      <c r="EW118" s="1237"/>
      <c r="EX118" s="1237"/>
      <c r="EY118" s="1237"/>
      <c r="EZ118" s="1237"/>
      <c r="FA118" s="1237"/>
      <c r="FB118" s="1237"/>
      <c r="FC118" s="1237"/>
      <c r="FD118" s="1237"/>
      <c r="FE118" s="1237"/>
      <c r="FF118" s="1237"/>
      <c r="FG118" s="1237"/>
      <c r="FH118" s="1237"/>
      <c r="FI118" s="1237"/>
      <c r="FJ118" s="1237"/>
      <c r="FK118" s="1237"/>
      <c r="FL118" s="1237"/>
      <c r="FM118" s="1237"/>
      <c r="FN118" s="1237"/>
      <c r="FO118" s="1237"/>
      <c r="FP118" s="1237"/>
      <c r="FQ118" s="1237"/>
      <c r="FR118" s="1237"/>
      <c r="FS118" s="1237"/>
      <c r="FT118" s="1237"/>
      <c r="FU118" s="1237"/>
      <c r="FV118" s="1237"/>
      <c r="FW118" s="1237"/>
      <c r="FX118" s="1237"/>
      <c r="FY118" s="1237"/>
      <c r="FZ118" s="1237"/>
      <c r="GA118" s="1237"/>
      <c r="GB118" s="1237"/>
      <c r="GC118" s="1237"/>
      <c r="GD118" s="1237"/>
      <c r="GE118" s="1237"/>
      <c r="GF118" s="1237"/>
      <c r="GG118" s="1237"/>
      <c r="GH118" s="1237"/>
      <c r="GI118" s="1237"/>
      <c r="GJ118" s="1237"/>
      <c r="GK118" s="1237"/>
      <c r="GL118" s="1237"/>
      <c r="GM118" s="1237"/>
      <c r="GN118" s="1237"/>
      <c r="GO118" s="1237"/>
      <c r="GP118" s="1237"/>
      <c r="GQ118" s="1237"/>
    </row>
    <row r="119" spans="1:199" ht="15.75">
      <c r="A119" s="685" t="s">
        <v>1145</v>
      </c>
      <c r="B119" s="676"/>
      <c r="C119" s="676"/>
      <c r="D119" s="676"/>
      <c r="E119" s="676"/>
      <c r="F119" s="676"/>
      <c r="G119" s="676"/>
      <c r="H119" s="1026" t="s">
        <v>1092</v>
      </c>
      <c r="I119" s="1026"/>
      <c r="J119" s="1026"/>
      <c r="K119" s="679"/>
      <c r="L119" s="680">
        <f>L3</f>
        <v>6.69</v>
      </c>
      <c r="M119" s="680"/>
      <c r="O119" s="685" t="s">
        <v>1094</v>
      </c>
      <c r="P119" s="676"/>
      <c r="Q119" s="676"/>
      <c r="R119" s="676"/>
      <c r="S119" s="676"/>
      <c r="T119" s="676"/>
      <c r="U119" s="676"/>
      <c r="V119" s="1026" t="s">
        <v>1092</v>
      </c>
      <c r="W119" s="1026"/>
      <c r="X119" s="1026"/>
      <c r="Y119" s="679"/>
      <c r="Z119" s="680">
        <f>L119</f>
        <v>6.69</v>
      </c>
      <c r="AA119" s="680"/>
      <c r="AR119" s="1237"/>
      <c r="AS119" s="1237"/>
      <c r="AT119" s="1237"/>
      <c r="AU119" s="1237"/>
      <c r="AV119" s="1237"/>
      <c r="AW119" s="1237"/>
      <c r="AX119" s="1237"/>
      <c r="AY119" s="1237"/>
      <c r="AZ119" s="1237"/>
      <c r="BA119" s="1237"/>
      <c r="BB119" s="1237"/>
      <c r="BC119" s="1237"/>
      <c r="BD119" s="1237"/>
      <c r="BE119" s="1237"/>
      <c r="BF119" s="1237"/>
      <c r="BG119" s="1237"/>
      <c r="BH119" s="1237"/>
      <c r="BI119" s="1237"/>
      <c r="BJ119" s="1237"/>
      <c r="BK119" s="1237"/>
      <c r="BL119" s="1237"/>
      <c r="BM119" s="1237"/>
      <c r="BN119" s="1237"/>
      <c r="BO119" s="1237"/>
      <c r="BP119" s="1237"/>
      <c r="BQ119" s="1237"/>
      <c r="BR119" s="1237"/>
      <c r="BS119" s="1237"/>
      <c r="BT119" s="1237"/>
      <c r="BU119" s="1237"/>
      <c r="BV119" s="1237"/>
      <c r="BW119" s="1237"/>
      <c r="BX119" s="1237"/>
      <c r="BY119" s="1237"/>
      <c r="BZ119" s="1237"/>
      <c r="CA119" s="1237"/>
      <c r="CB119" s="1237"/>
      <c r="CC119" s="1237"/>
      <c r="CD119" s="1237"/>
      <c r="CE119" s="1237"/>
      <c r="CF119" s="1237"/>
      <c r="CG119" s="1237"/>
      <c r="CH119" s="1237"/>
      <c r="CI119" s="1237"/>
      <c r="CJ119" s="1237"/>
      <c r="CK119" s="1237"/>
      <c r="CL119" s="1237"/>
      <c r="CM119" s="1237"/>
      <c r="CN119" s="1237"/>
      <c r="CO119" s="1237"/>
      <c r="CP119" s="1237"/>
      <c r="CQ119" s="1237"/>
      <c r="CR119" s="1237"/>
      <c r="CS119" s="1237"/>
      <c r="CT119" s="1237"/>
      <c r="CU119" s="1237"/>
      <c r="CV119" s="1237"/>
      <c r="CW119" s="1237"/>
      <c r="CX119" s="1237"/>
      <c r="CY119" s="1237"/>
      <c r="CZ119" s="1237"/>
      <c r="DA119" s="1237"/>
      <c r="DB119" s="1237"/>
      <c r="DC119" s="1237"/>
      <c r="DD119" s="1237"/>
      <c r="DE119" s="1237"/>
      <c r="DF119" s="1237"/>
      <c r="DG119" s="1237"/>
      <c r="DH119" s="1237"/>
      <c r="DI119" s="1237"/>
      <c r="DJ119" s="1237"/>
      <c r="DK119" s="1237"/>
      <c r="DL119" s="1237"/>
      <c r="DM119" s="1237"/>
      <c r="DN119" s="1237"/>
      <c r="DO119" s="1237"/>
      <c r="DP119" s="1237"/>
      <c r="DQ119" s="1237"/>
      <c r="DR119" s="1237"/>
      <c r="DS119" s="1237"/>
      <c r="DT119" s="1237"/>
      <c r="DU119" s="1237"/>
      <c r="DV119" s="1237"/>
      <c r="DW119" s="1237"/>
      <c r="DX119" s="1237"/>
      <c r="DY119" s="1237"/>
      <c r="DZ119" s="1237"/>
      <c r="EA119" s="1237"/>
      <c r="EB119" s="1237"/>
      <c r="EC119" s="1237"/>
      <c r="ED119" s="1237"/>
      <c r="EE119" s="1237"/>
      <c r="EF119" s="1237"/>
      <c r="EG119" s="1237"/>
      <c r="EH119" s="1237"/>
      <c r="EI119" s="1237"/>
      <c r="EJ119" s="1237"/>
      <c r="EK119" s="1237"/>
      <c r="EL119" s="1237"/>
      <c r="EM119" s="1237"/>
      <c r="EN119" s="1237"/>
      <c r="EO119" s="1237"/>
      <c r="EP119" s="1237"/>
      <c r="EQ119" s="1237"/>
      <c r="ER119" s="1237"/>
      <c r="ES119" s="1237"/>
      <c r="ET119" s="1237"/>
      <c r="EU119" s="1237"/>
      <c r="EV119" s="1237"/>
      <c r="EW119" s="1237"/>
      <c r="EX119" s="1237"/>
      <c r="EY119" s="1237"/>
      <c r="EZ119" s="1237"/>
      <c r="FA119" s="1237"/>
      <c r="FB119" s="1237"/>
      <c r="FC119" s="1237"/>
      <c r="FD119" s="1237"/>
      <c r="FE119" s="1237"/>
      <c r="FF119" s="1237"/>
      <c r="FG119" s="1237"/>
      <c r="FH119" s="1237"/>
      <c r="FI119" s="1237"/>
      <c r="FJ119" s="1237"/>
      <c r="FK119" s="1237"/>
      <c r="FL119" s="1237"/>
      <c r="FM119" s="1237"/>
      <c r="FN119" s="1237"/>
      <c r="FO119" s="1237"/>
      <c r="FP119" s="1237"/>
      <c r="FQ119" s="1237"/>
      <c r="FR119" s="1237"/>
      <c r="FS119" s="1237"/>
      <c r="FT119" s="1237"/>
      <c r="FU119" s="1237"/>
      <c r="FV119" s="1237"/>
      <c r="FW119" s="1237"/>
      <c r="FX119" s="1237"/>
      <c r="FY119" s="1237"/>
      <c r="FZ119" s="1237"/>
      <c r="GA119" s="1237"/>
      <c r="GB119" s="1237"/>
      <c r="GC119" s="1237"/>
      <c r="GD119" s="1237"/>
      <c r="GE119" s="1237"/>
      <c r="GF119" s="1237"/>
      <c r="GG119" s="1237"/>
      <c r="GH119" s="1237"/>
      <c r="GI119" s="1237"/>
      <c r="GJ119" s="1237"/>
      <c r="GK119" s="1237"/>
      <c r="GL119" s="1237"/>
      <c r="GM119" s="1237"/>
      <c r="GN119" s="1237"/>
      <c r="GO119" s="1237"/>
      <c r="GP119" s="1237"/>
      <c r="GQ119" s="1237"/>
    </row>
    <row r="120" spans="1:199">
      <c r="A120" s="676"/>
      <c r="B120" s="676"/>
      <c r="C120" s="676"/>
      <c r="D120" s="676"/>
      <c r="E120" s="676"/>
      <c r="F120" s="676"/>
      <c r="G120" s="676"/>
      <c r="H120" s="1027"/>
      <c r="I120" s="1027"/>
      <c r="J120" s="1027"/>
      <c r="K120" s="679"/>
      <c r="L120" s="688"/>
      <c r="M120" s="688"/>
      <c r="O120" s="676"/>
      <c r="P120" s="676"/>
      <c r="Q120" s="676"/>
      <c r="R120" s="676"/>
      <c r="S120" s="676"/>
      <c r="T120" s="676"/>
      <c r="U120" s="676"/>
      <c r="V120" s="1027"/>
      <c r="W120" s="1027"/>
      <c r="X120" s="1027"/>
      <c r="Y120" s="679"/>
      <c r="Z120" s="688"/>
      <c r="AA120" s="688"/>
      <c r="AR120" s="1237"/>
      <c r="AS120" s="1237"/>
      <c r="AT120" s="1237"/>
      <c r="AU120" s="1237"/>
      <c r="AV120" s="1237"/>
      <c r="AW120" s="1237"/>
      <c r="AX120" s="1237"/>
      <c r="AY120" s="1237"/>
      <c r="AZ120" s="1237"/>
      <c r="BA120" s="1237"/>
      <c r="BB120" s="1237"/>
      <c r="BC120" s="1237"/>
      <c r="BD120" s="1237"/>
      <c r="BE120" s="1237"/>
      <c r="BF120" s="1237"/>
      <c r="BG120" s="1237"/>
      <c r="BH120" s="1237"/>
      <c r="BI120" s="1237"/>
      <c r="BJ120" s="1237"/>
      <c r="BK120" s="1237"/>
      <c r="BL120" s="1237"/>
      <c r="BM120" s="1237"/>
      <c r="BN120" s="1237"/>
      <c r="BO120" s="1237"/>
      <c r="BP120" s="1237"/>
      <c r="BQ120" s="1237"/>
      <c r="BR120" s="1237"/>
      <c r="BS120" s="1237"/>
      <c r="BT120" s="1237"/>
      <c r="BU120" s="1237"/>
      <c r="BV120" s="1237"/>
      <c r="BW120" s="1237"/>
      <c r="BX120" s="1237"/>
      <c r="BY120" s="1237"/>
      <c r="BZ120" s="1237"/>
      <c r="CA120" s="1237"/>
      <c r="CB120" s="1237"/>
      <c r="CC120" s="1237"/>
      <c r="CD120" s="1237"/>
      <c r="CE120" s="1237"/>
      <c r="CF120" s="1237"/>
      <c r="CG120" s="1237"/>
      <c r="CH120" s="1237"/>
      <c r="CI120" s="1237"/>
      <c r="CJ120" s="1237"/>
      <c r="CK120" s="1237"/>
      <c r="CL120" s="1237"/>
      <c r="CM120" s="1237"/>
      <c r="CN120" s="1237"/>
      <c r="CO120" s="1237"/>
      <c r="CP120" s="1237"/>
      <c r="CQ120" s="1237"/>
      <c r="CR120" s="1237"/>
      <c r="CS120" s="1237"/>
      <c r="CT120" s="1237"/>
      <c r="CU120" s="1237"/>
      <c r="CV120" s="1237"/>
      <c r="CW120" s="1237"/>
      <c r="CX120" s="1237"/>
      <c r="CY120" s="1237"/>
      <c r="CZ120" s="1237"/>
      <c r="DA120" s="1237"/>
      <c r="DB120" s="1237"/>
      <c r="DC120" s="1237"/>
      <c r="DD120" s="1237"/>
      <c r="DE120" s="1237"/>
      <c r="DF120" s="1237"/>
      <c r="DG120" s="1237"/>
      <c r="DH120" s="1237"/>
      <c r="DI120" s="1237"/>
      <c r="DJ120" s="1237"/>
      <c r="DK120" s="1237"/>
      <c r="DL120" s="1237"/>
      <c r="DM120" s="1237"/>
      <c r="DN120" s="1237"/>
      <c r="DO120" s="1237"/>
      <c r="DP120" s="1237"/>
      <c r="DQ120" s="1237"/>
      <c r="DR120" s="1237"/>
      <c r="DS120" s="1237"/>
      <c r="DT120" s="1237"/>
      <c r="DU120" s="1237"/>
      <c r="DV120" s="1237"/>
      <c r="DW120" s="1237"/>
      <c r="DX120" s="1237"/>
      <c r="DY120" s="1237"/>
      <c r="DZ120" s="1237"/>
      <c r="EA120" s="1237"/>
      <c r="EB120" s="1237"/>
      <c r="EC120" s="1237"/>
      <c r="ED120" s="1237"/>
      <c r="EE120" s="1237"/>
      <c r="EF120" s="1237"/>
      <c r="EG120" s="1237"/>
      <c r="EH120" s="1237"/>
      <c r="EI120" s="1237"/>
      <c r="EJ120" s="1237"/>
      <c r="EK120" s="1237"/>
      <c r="EL120" s="1237"/>
      <c r="EM120" s="1237"/>
      <c r="EN120" s="1237"/>
      <c r="EO120" s="1237"/>
      <c r="EP120" s="1237"/>
      <c r="EQ120" s="1237"/>
      <c r="ER120" s="1237"/>
      <c r="ES120" s="1237"/>
      <c r="ET120" s="1237"/>
      <c r="EU120" s="1237"/>
      <c r="EV120" s="1237"/>
      <c r="EW120" s="1237"/>
      <c r="EX120" s="1237"/>
      <c r="EY120" s="1237"/>
      <c r="EZ120" s="1237"/>
      <c r="FA120" s="1237"/>
      <c r="FB120" s="1237"/>
      <c r="FC120" s="1237"/>
      <c r="FD120" s="1237"/>
      <c r="FE120" s="1237"/>
      <c r="FF120" s="1237"/>
      <c r="FG120" s="1237"/>
      <c r="FH120" s="1237"/>
      <c r="FI120" s="1237"/>
      <c r="FJ120" s="1237"/>
      <c r="FK120" s="1237"/>
      <c r="FL120" s="1237"/>
      <c r="FM120" s="1237"/>
      <c r="FN120" s="1237"/>
      <c r="FO120" s="1237"/>
      <c r="FP120" s="1237"/>
      <c r="FQ120" s="1237"/>
      <c r="FR120" s="1237"/>
      <c r="FS120" s="1237"/>
      <c r="FT120" s="1237"/>
      <c r="FU120" s="1237"/>
      <c r="FV120" s="1237"/>
      <c r="FW120" s="1237"/>
      <c r="FX120" s="1237"/>
      <c r="FY120" s="1237"/>
      <c r="FZ120" s="1237"/>
      <c r="GA120" s="1237"/>
      <c r="GB120" s="1237"/>
      <c r="GC120" s="1237"/>
      <c r="GD120" s="1237"/>
      <c r="GE120" s="1237"/>
      <c r="GF120" s="1237"/>
      <c r="GG120" s="1237"/>
      <c r="GH120" s="1237"/>
      <c r="GI120" s="1237"/>
      <c r="GJ120" s="1237"/>
      <c r="GK120" s="1237"/>
      <c r="GL120" s="1237"/>
      <c r="GM120" s="1237"/>
      <c r="GN120" s="1237"/>
      <c r="GO120" s="1237"/>
      <c r="GP120" s="1237"/>
      <c r="GQ120" s="1237"/>
    </row>
    <row r="121" spans="1:199">
      <c r="AR121" s="1237"/>
      <c r="AS121" s="1237"/>
      <c r="AT121" s="1237"/>
      <c r="AU121" s="1237"/>
      <c r="AV121" s="1237"/>
      <c r="AW121" s="1237"/>
      <c r="AX121" s="1237"/>
      <c r="AY121" s="1237"/>
      <c r="AZ121" s="1237"/>
      <c r="BA121" s="1237"/>
      <c r="BB121" s="1237"/>
      <c r="BC121" s="1237"/>
      <c r="BD121" s="1237"/>
      <c r="BE121" s="1237"/>
      <c r="BF121" s="1237"/>
      <c r="BG121" s="1237"/>
      <c r="BH121" s="1237"/>
      <c r="BI121" s="1237"/>
      <c r="BJ121" s="1237"/>
      <c r="BK121" s="1237"/>
      <c r="BL121" s="1237"/>
      <c r="BM121" s="1237"/>
      <c r="BN121" s="1237"/>
      <c r="BO121" s="1237"/>
      <c r="BP121" s="1237"/>
      <c r="BQ121" s="1237"/>
      <c r="BR121" s="1237"/>
      <c r="BS121" s="1237"/>
      <c r="BT121" s="1237"/>
      <c r="BU121" s="1237"/>
      <c r="BV121" s="1237"/>
      <c r="BW121" s="1237"/>
      <c r="BX121" s="1237"/>
      <c r="BY121" s="1237"/>
      <c r="BZ121" s="1237"/>
      <c r="CA121" s="1237"/>
      <c r="CB121" s="1237"/>
      <c r="CC121" s="1237"/>
      <c r="CD121" s="1237"/>
      <c r="CE121" s="1237"/>
      <c r="CF121" s="1237"/>
      <c r="CG121" s="1237"/>
      <c r="CH121" s="1237"/>
      <c r="CI121" s="1237"/>
      <c r="CJ121" s="1237"/>
      <c r="CK121" s="1237"/>
      <c r="CL121" s="1237"/>
      <c r="CM121" s="1237"/>
      <c r="CN121" s="1237"/>
      <c r="CO121" s="1237"/>
      <c r="CP121" s="1237"/>
      <c r="CQ121" s="1237"/>
      <c r="CR121" s="1237"/>
      <c r="CS121" s="1237"/>
      <c r="CT121" s="1237"/>
      <c r="CU121" s="1237"/>
      <c r="CV121" s="1237"/>
      <c r="CW121" s="1237"/>
      <c r="CX121" s="1237"/>
      <c r="CY121" s="1237"/>
      <c r="CZ121" s="1237"/>
      <c r="DA121" s="1237"/>
      <c r="DB121" s="1237"/>
      <c r="DC121" s="1237"/>
      <c r="DD121" s="1237"/>
      <c r="DE121" s="1237"/>
      <c r="DF121" s="1237"/>
      <c r="DG121" s="1237"/>
      <c r="DH121" s="1237"/>
      <c r="DI121" s="1237"/>
      <c r="DJ121" s="1237"/>
      <c r="DK121" s="1237"/>
      <c r="DL121" s="1237"/>
      <c r="DM121" s="1237"/>
      <c r="DN121" s="1237"/>
      <c r="DO121" s="1237"/>
      <c r="DP121" s="1237"/>
      <c r="DQ121" s="1237"/>
      <c r="DR121" s="1237"/>
      <c r="DS121" s="1237"/>
      <c r="DT121" s="1237"/>
      <c r="DU121" s="1237"/>
      <c r="DV121" s="1237"/>
      <c r="DW121" s="1237"/>
      <c r="DX121" s="1237"/>
      <c r="DY121" s="1237"/>
      <c r="DZ121" s="1237"/>
      <c r="EA121" s="1237"/>
      <c r="EB121" s="1237"/>
      <c r="EC121" s="1237"/>
      <c r="ED121" s="1237"/>
      <c r="EE121" s="1237"/>
      <c r="EF121" s="1237"/>
      <c r="EG121" s="1237"/>
      <c r="EH121" s="1237"/>
      <c r="EI121" s="1237"/>
      <c r="EJ121" s="1237"/>
      <c r="EK121" s="1237"/>
      <c r="EL121" s="1237"/>
      <c r="EM121" s="1237"/>
      <c r="EN121" s="1237"/>
      <c r="EO121" s="1237"/>
      <c r="EP121" s="1237"/>
      <c r="EQ121" s="1237"/>
      <c r="ER121" s="1237"/>
      <c r="ES121" s="1237"/>
      <c r="ET121" s="1237"/>
      <c r="EU121" s="1237"/>
      <c r="EV121" s="1237"/>
      <c r="EW121" s="1237"/>
      <c r="EX121" s="1237"/>
      <c r="EY121" s="1237"/>
      <c r="EZ121" s="1237"/>
      <c r="FA121" s="1237"/>
      <c r="FB121" s="1237"/>
      <c r="FC121" s="1237"/>
      <c r="FD121" s="1237"/>
      <c r="FE121" s="1237"/>
      <c r="FF121" s="1237"/>
      <c r="FG121" s="1237"/>
      <c r="FH121" s="1237"/>
      <c r="FI121" s="1237"/>
      <c r="FJ121" s="1237"/>
      <c r="FK121" s="1237"/>
      <c r="FL121" s="1237"/>
      <c r="FM121" s="1237"/>
      <c r="FN121" s="1237"/>
      <c r="FO121" s="1237"/>
      <c r="FP121" s="1237"/>
      <c r="FQ121" s="1237"/>
      <c r="FR121" s="1237"/>
      <c r="FS121" s="1237"/>
      <c r="FT121" s="1237"/>
      <c r="FU121" s="1237"/>
      <c r="FV121" s="1237"/>
      <c r="FW121" s="1237"/>
      <c r="FX121" s="1237"/>
      <c r="FY121" s="1237"/>
      <c r="FZ121" s="1237"/>
      <c r="GA121" s="1237"/>
      <c r="GB121" s="1237"/>
      <c r="GC121" s="1237"/>
      <c r="GD121" s="1237"/>
      <c r="GE121" s="1237"/>
      <c r="GF121" s="1237"/>
      <c r="GG121" s="1237"/>
      <c r="GH121" s="1237"/>
      <c r="GI121" s="1237"/>
      <c r="GJ121" s="1237"/>
      <c r="GK121" s="1237"/>
      <c r="GL121" s="1237"/>
      <c r="GM121" s="1237"/>
      <c r="GN121" s="1237"/>
      <c r="GO121" s="1237"/>
      <c r="GP121" s="1237"/>
      <c r="GQ121" s="1237"/>
    </row>
    <row r="122" spans="1:199">
      <c r="A122" s="807" t="s">
        <v>1207</v>
      </c>
      <c r="B122" s="802"/>
      <c r="C122" s="802"/>
      <c r="D122" s="802"/>
      <c r="E122" s="802"/>
      <c r="F122" s="802"/>
      <c r="G122" s="802"/>
      <c r="H122" s="802"/>
      <c r="I122" s="802"/>
      <c r="J122" s="802"/>
      <c r="K122" s="826"/>
      <c r="L122" s="802"/>
      <c r="M122" s="802"/>
      <c r="O122" s="928" t="s">
        <v>1146</v>
      </c>
      <c r="P122" s="929">
        <f t="shared" ref="P122:X122" si="1">P65</f>
        <v>2022</v>
      </c>
      <c r="Q122" s="929">
        <f t="shared" si="1"/>
        <v>2023</v>
      </c>
      <c r="R122" s="929">
        <f t="shared" si="1"/>
        <v>2024</v>
      </c>
      <c r="S122" s="929">
        <f t="shared" si="1"/>
        <v>2025</v>
      </c>
      <c r="T122" s="929">
        <f t="shared" si="1"/>
        <v>2026</v>
      </c>
      <c r="U122" s="929">
        <f t="shared" si="1"/>
        <v>2027</v>
      </c>
      <c r="V122" s="929">
        <f t="shared" si="1"/>
        <v>2028</v>
      </c>
      <c r="W122" s="929">
        <f t="shared" si="1"/>
        <v>2029</v>
      </c>
      <c r="X122" s="929">
        <f t="shared" si="1"/>
        <v>2030</v>
      </c>
      <c r="AR122" s="1237"/>
      <c r="AS122" s="1237"/>
      <c r="AT122" s="1237"/>
      <c r="AU122" s="1237"/>
      <c r="AV122" s="1237"/>
      <c r="AW122" s="1237"/>
      <c r="AX122" s="1237"/>
      <c r="AY122" s="1237"/>
      <c r="AZ122" s="1237"/>
      <c r="BA122" s="1237"/>
      <c r="BB122" s="1237"/>
      <c r="BC122" s="1237"/>
      <c r="BD122" s="1237"/>
      <c r="BE122" s="1237"/>
      <c r="BF122" s="1237"/>
      <c r="BG122" s="1237"/>
      <c r="BH122" s="1237"/>
      <c r="BI122" s="1237"/>
      <c r="BJ122" s="1237"/>
      <c r="BK122" s="1237"/>
      <c r="BL122" s="1237"/>
      <c r="BM122" s="1237"/>
      <c r="BN122" s="1237"/>
      <c r="BO122" s="1237"/>
      <c r="BP122" s="1237"/>
      <c r="BQ122" s="1237"/>
      <c r="BR122" s="1237"/>
      <c r="BS122" s="1237"/>
      <c r="BT122" s="1237"/>
      <c r="BU122" s="1237"/>
      <c r="BV122" s="1237"/>
      <c r="BW122" s="1237"/>
      <c r="BX122" s="1237"/>
      <c r="BY122" s="1237"/>
      <c r="BZ122" s="1237"/>
      <c r="CA122" s="1237"/>
      <c r="CB122" s="1237"/>
      <c r="CC122" s="1237"/>
      <c r="CD122" s="1237"/>
      <c r="CE122" s="1237"/>
      <c r="CF122" s="1237"/>
      <c r="CG122" s="1237"/>
      <c r="CH122" s="1237"/>
      <c r="CI122" s="1237"/>
      <c r="CJ122" s="1237"/>
      <c r="CK122" s="1237"/>
      <c r="CL122" s="1237"/>
      <c r="CM122" s="1237"/>
      <c r="CN122" s="1237"/>
      <c r="CO122" s="1237"/>
      <c r="CP122" s="1237"/>
      <c r="CQ122" s="1237"/>
      <c r="CR122" s="1237"/>
      <c r="CS122" s="1237"/>
      <c r="CT122" s="1237"/>
      <c r="CU122" s="1237"/>
      <c r="CV122" s="1237"/>
      <c r="CW122" s="1237"/>
      <c r="CX122" s="1237"/>
      <c r="CY122" s="1237"/>
      <c r="CZ122" s="1237"/>
      <c r="DA122" s="1237"/>
      <c r="DB122" s="1237"/>
      <c r="DC122" s="1237"/>
      <c r="DD122" s="1237"/>
      <c r="DE122" s="1237"/>
      <c r="DF122" s="1237"/>
      <c r="DG122" s="1237"/>
      <c r="DH122" s="1237"/>
      <c r="DI122" s="1237"/>
      <c r="DJ122" s="1237"/>
      <c r="DK122" s="1237"/>
      <c r="DL122" s="1237"/>
      <c r="DM122" s="1237"/>
      <c r="DN122" s="1237"/>
      <c r="DO122" s="1237"/>
      <c r="DP122" s="1237"/>
      <c r="DQ122" s="1237"/>
      <c r="DR122" s="1237"/>
      <c r="DS122" s="1237"/>
      <c r="DT122" s="1237"/>
      <c r="DU122" s="1237"/>
      <c r="DV122" s="1237"/>
      <c r="DW122" s="1237"/>
      <c r="DX122" s="1237"/>
      <c r="DY122" s="1237"/>
      <c r="DZ122" s="1237"/>
      <c r="EA122" s="1237"/>
      <c r="EB122" s="1237"/>
      <c r="EC122" s="1237"/>
      <c r="ED122" s="1237"/>
      <c r="EE122" s="1237"/>
      <c r="EF122" s="1237"/>
      <c r="EG122" s="1237"/>
      <c r="EH122" s="1237"/>
      <c r="EI122" s="1237"/>
      <c r="EJ122" s="1237"/>
      <c r="EK122" s="1237"/>
      <c r="EL122" s="1237"/>
      <c r="EM122" s="1237"/>
      <c r="EN122" s="1237"/>
      <c r="EO122" s="1237"/>
      <c r="EP122" s="1237"/>
      <c r="EQ122" s="1237"/>
      <c r="ER122" s="1237"/>
      <c r="ES122" s="1237"/>
      <c r="ET122" s="1237"/>
      <c r="EU122" s="1237"/>
      <c r="EV122" s="1237"/>
      <c r="EW122" s="1237"/>
      <c r="EX122" s="1237"/>
      <c r="EY122" s="1237"/>
      <c r="EZ122" s="1237"/>
      <c r="FA122" s="1237"/>
      <c r="FB122" s="1237"/>
      <c r="FC122" s="1237"/>
      <c r="FD122" s="1237"/>
      <c r="FE122" s="1237"/>
      <c r="FF122" s="1237"/>
      <c r="FG122" s="1237"/>
      <c r="FH122" s="1237"/>
      <c r="FI122" s="1237"/>
      <c r="FJ122" s="1237"/>
      <c r="FK122" s="1237"/>
      <c r="FL122" s="1237"/>
      <c r="FM122" s="1237"/>
      <c r="FN122" s="1237"/>
      <c r="FO122" s="1237"/>
      <c r="FP122" s="1237"/>
      <c r="FQ122" s="1237"/>
      <c r="FR122" s="1237"/>
      <c r="FS122" s="1237"/>
      <c r="FT122" s="1237"/>
      <c r="FU122" s="1237"/>
      <c r="FV122" s="1237"/>
      <c r="FW122" s="1237"/>
      <c r="FX122" s="1237"/>
      <c r="FY122" s="1237"/>
      <c r="FZ122" s="1237"/>
      <c r="GA122" s="1237"/>
      <c r="GB122" s="1237"/>
      <c r="GC122" s="1237"/>
      <c r="GD122" s="1237"/>
      <c r="GE122" s="1237"/>
      <c r="GF122" s="1237"/>
      <c r="GG122" s="1237"/>
      <c r="GH122" s="1237"/>
      <c r="GI122" s="1237"/>
      <c r="GJ122" s="1237"/>
      <c r="GK122" s="1237"/>
      <c r="GL122" s="1237"/>
      <c r="GM122" s="1237"/>
      <c r="GN122" s="1237"/>
      <c r="GO122" s="1237"/>
      <c r="GP122" s="1237"/>
      <c r="GQ122" s="1237"/>
    </row>
    <row r="123" spans="1:199" ht="15" customHeight="1">
      <c r="A123" s="1120" t="s">
        <v>1545</v>
      </c>
      <c r="B123" s="1025"/>
      <c r="C123" s="1025"/>
      <c r="D123" s="1025"/>
      <c r="E123" s="1025"/>
      <c r="F123" s="1025"/>
      <c r="G123" s="1025"/>
      <c r="H123" s="1025"/>
      <c r="I123" s="1025"/>
      <c r="J123" s="1025"/>
      <c r="K123" s="1025"/>
      <c r="L123" s="1025"/>
      <c r="M123" s="1025"/>
      <c r="O123" s="930" t="s">
        <v>1147</v>
      </c>
      <c r="P123" s="930">
        <f>'Analysis '!D365</f>
        <v>267072</v>
      </c>
      <c r="Q123" s="930">
        <f>'Forecasts '!C290</f>
        <v>-286935</v>
      </c>
      <c r="R123" s="930">
        <f>'Forecasts '!D290</f>
        <v>-51049</v>
      </c>
      <c r="S123" s="930">
        <f>'Forecasts '!E290</f>
        <v>4962.2395979047105</v>
      </c>
      <c r="T123" s="930">
        <f>'Forecasts '!F290</f>
        <v>16745.657360550998</v>
      </c>
      <c r="U123" s="930">
        <f>'Forecasts '!G290</f>
        <v>30698.584917216165</v>
      </c>
      <c r="V123" s="930">
        <f>'Forecasts '!H290</f>
        <v>46156.033633184867</v>
      </c>
      <c r="W123" s="930">
        <f>'Forecasts '!I290</f>
        <v>60109.570488353289</v>
      </c>
      <c r="X123" s="930">
        <f>'Forecasts '!J290</f>
        <v>9719.4516288836239</v>
      </c>
      <c r="AR123" s="1237"/>
      <c r="AS123" s="1237"/>
      <c r="AT123" s="1237"/>
      <c r="AU123" s="1237"/>
      <c r="AV123" s="1237"/>
      <c r="AW123" s="1237"/>
      <c r="AX123" s="1237"/>
      <c r="AY123" s="1237"/>
      <c r="AZ123" s="1237"/>
      <c r="BA123" s="1237"/>
      <c r="BB123" s="1237"/>
      <c r="BC123" s="1237"/>
      <c r="BD123" s="1237"/>
      <c r="BE123" s="1237"/>
      <c r="BF123" s="1237"/>
      <c r="BG123" s="1237"/>
      <c r="BH123" s="1237"/>
      <c r="BI123" s="1237"/>
      <c r="BJ123" s="1237"/>
      <c r="BK123" s="1237"/>
      <c r="BL123" s="1237"/>
      <c r="BM123" s="1237"/>
      <c r="BN123" s="1237"/>
      <c r="BO123" s="1237"/>
      <c r="BP123" s="1237"/>
      <c r="BQ123" s="1237"/>
      <c r="BR123" s="1237"/>
      <c r="BS123" s="1237"/>
      <c r="BT123" s="1237"/>
      <c r="BU123" s="1237"/>
      <c r="BV123" s="1237"/>
      <c r="BW123" s="1237"/>
      <c r="BX123" s="1237"/>
      <c r="BY123" s="1237"/>
      <c r="BZ123" s="1237"/>
      <c r="CA123" s="1237"/>
      <c r="CB123" s="1237"/>
      <c r="CC123" s="1237"/>
      <c r="CD123" s="1237"/>
      <c r="CE123" s="1237"/>
      <c r="CF123" s="1237"/>
      <c r="CG123" s="1237"/>
      <c r="CH123" s="1237"/>
      <c r="CI123" s="1237"/>
      <c r="CJ123" s="1237"/>
      <c r="CK123" s="1237"/>
      <c r="CL123" s="1237"/>
      <c r="CM123" s="1237"/>
      <c r="CN123" s="1237"/>
      <c r="CO123" s="1237"/>
      <c r="CP123" s="1237"/>
      <c r="CQ123" s="1237"/>
      <c r="CR123" s="1237"/>
      <c r="CS123" s="1237"/>
      <c r="CT123" s="1237"/>
      <c r="CU123" s="1237"/>
      <c r="CV123" s="1237"/>
      <c r="CW123" s="1237"/>
      <c r="CX123" s="1237"/>
      <c r="CY123" s="1237"/>
      <c r="CZ123" s="1237"/>
      <c r="DA123" s="1237"/>
      <c r="DB123" s="1237"/>
      <c r="DC123" s="1237"/>
      <c r="DD123" s="1237"/>
      <c r="DE123" s="1237"/>
      <c r="DF123" s="1237"/>
      <c r="DG123" s="1237"/>
      <c r="DH123" s="1237"/>
      <c r="DI123" s="1237"/>
      <c r="DJ123" s="1237"/>
      <c r="DK123" s="1237"/>
      <c r="DL123" s="1237"/>
      <c r="DM123" s="1237"/>
      <c r="DN123" s="1237"/>
      <c r="DO123" s="1237"/>
      <c r="DP123" s="1237"/>
      <c r="DQ123" s="1237"/>
      <c r="DR123" s="1237"/>
      <c r="DS123" s="1237"/>
      <c r="DT123" s="1237"/>
      <c r="DU123" s="1237"/>
      <c r="DV123" s="1237"/>
      <c r="DW123" s="1237"/>
      <c r="DX123" s="1237"/>
      <c r="DY123" s="1237"/>
      <c r="DZ123" s="1237"/>
      <c r="EA123" s="1237"/>
      <c r="EB123" s="1237"/>
      <c r="EC123" s="1237"/>
      <c r="ED123" s="1237"/>
      <c r="EE123" s="1237"/>
      <c r="EF123" s="1237"/>
      <c r="EG123" s="1237"/>
      <c r="EH123" s="1237"/>
      <c r="EI123" s="1237"/>
      <c r="EJ123" s="1237"/>
      <c r="EK123" s="1237"/>
      <c r="EL123" s="1237"/>
      <c r="EM123" s="1237"/>
      <c r="EN123" s="1237"/>
      <c r="EO123" s="1237"/>
      <c r="EP123" s="1237"/>
      <c r="EQ123" s="1237"/>
      <c r="ER123" s="1237"/>
      <c r="ES123" s="1237"/>
      <c r="ET123" s="1237"/>
      <c r="EU123" s="1237"/>
      <c r="EV123" s="1237"/>
      <c r="EW123" s="1237"/>
      <c r="EX123" s="1237"/>
      <c r="EY123" s="1237"/>
      <c r="EZ123" s="1237"/>
      <c r="FA123" s="1237"/>
      <c r="FB123" s="1237"/>
      <c r="FC123" s="1237"/>
      <c r="FD123" s="1237"/>
      <c r="FE123" s="1237"/>
      <c r="FF123" s="1237"/>
      <c r="FG123" s="1237"/>
      <c r="FH123" s="1237"/>
      <c r="FI123" s="1237"/>
      <c r="FJ123" s="1237"/>
      <c r="FK123" s="1237"/>
      <c r="FL123" s="1237"/>
      <c r="FM123" s="1237"/>
      <c r="FN123" s="1237"/>
      <c r="FO123" s="1237"/>
      <c r="FP123" s="1237"/>
      <c r="FQ123" s="1237"/>
      <c r="FR123" s="1237"/>
      <c r="FS123" s="1237"/>
      <c r="FT123" s="1237"/>
      <c r="FU123" s="1237"/>
      <c r="FV123" s="1237"/>
      <c r="FW123" s="1237"/>
      <c r="FX123" s="1237"/>
      <c r="FY123" s="1237"/>
      <c r="FZ123" s="1237"/>
      <c r="GA123" s="1237"/>
      <c r="GB123" s="1237"/>
      <c r="GC123" s="1237"/>
      <c r="GD123" s="1237"/>
      <c r="GE123" s="1237"/>
      <c r="GF123" s="1237"/>
      <c r="GG123" s="1237"/>
      <c r="GH123" s="1237"/>
      <c r="GI123" s="1237"/>
      <c r="GJ123" s="1237"/>
      <c r="GK123" s="1237"/>
      <c r="GL123" s="1237"/>
      <c r="GM123" s="1237"/>
      <c r="GN123" s="1237"/>
      <c r="GO123" s="1237"/>
      <c r="GP123" s="1237"/>
      <c r="GQ123" s="1237"/>
    </row>
    <row r="124" spans="1:199" ht="12.75" customHeight="1">
      <c r="A124" s="1022"/>
      <c r="B124" s="1022"/>
      <c r="C124" s="1022"/>
      <c r="D124" s="1022"/>
      <c r="E124" s="1022"/>
      <c r="F124" s="1022"/>
      <c r="G124" s="1022"/>
      <c r="H124" s="1022"/>
      <c r="I124" s="1022"/>
      <c r="J124" s="1022"/>
      <c r="K124" s="1022"/>
      <c r="L124" s="1022"/>
      <c r="M124" s="1022"/>
      <c r="O124" s="931" t="s">
        <v>1148</v>
      </c>
      <c r="P124" s="930">
        <f>'Analysis '!D371</f>
        <v>-65862</v>
      </c>
      <c r="Q124" s="930">
        <f>'Forecasts '!C298</f>
        <v>-236860</v>
      </c>
      <c r="R124" s="930">
        <f>'Forecasts '!D298</f>
        <v>100602</v>
      </c>
      <c r="S124" s="930">
        <f>'Forecasts '!E298</f>
        <v>-53246.430000000037</v>
      </c>
      <c r="T124" s="930">
        <f>'Forecasts '!F298</f>
        <v>-53693.054699999979</v>
      </c>
      <c r="U124" s="930">
        <f>'Forecasts '!G298</f>
        <v>-54145.45536299995</v>
      </c>
      <c r="V124" s="930">
        <f>'Forecasts '!H298</f>
        <v>-54603.72931167006</v>
      </c>
      <c r="W124" s="930">
        <f>'Forecasts '!I298</f>
        <v>-55276.066016628247</v>
      </c>
      <c r="X124" s="930">
        <f>'Forecasts '!J298</f>
        <v>-39583.672061739024</v>
      </c>
      <c r="AR124" s="1237"/>
      <c r="AS124" s="1237"/>
      <c r="AT124" s="1237"/>
      <c r="AU124" s="1237"/>
      <c r="AV124" s="1237"/>
      <c r="AW124" s="1237"/>
      <c r="AX124" s="1237"/>
      <c r="AY124" s="1237"/>
      <c r="AZ124" s="1237"/>
      <c r="BA124" s="1237"/>
      <c r="BB124" s="1237"/>
      <c r="BC124" s="1237"/>
      <c r="BD124" s="1237"/>
      <c r="BE124" s="1237"/>
      <c r="BF124" s="1237"/>
      <c r="BG124" s="1237"/>
      <c r="BH124" s="1237"/>
      <c r="BI124" s="1237"/>
      <c r="BJ124" s="1237"/>
      <c r="BK124" s="1237"/>
      <c r="BL124" s="1237"/>
      <c r="BM124" s="1237"/>
      <c r="BN124" s="1237"/>
      <c r="BO124" s="1237"/>
      <c r="BP124" s="1237"/>
      <c r="BQ124" s="1237"/>
      <c r="BR124" s="1237"/>
      <c r="BS124" s="1237"/>
      <c r="BT124" s="1237"/>
      <c r="BU124" s="1237"/>
      <c r="BV124" s="1237"/>
      <c r="BW124" s="1237"/>
      <c r="BX124" s="1237"/>
      <c r="BY124" s="1237"/>
      <c r="BZ124" s="1237"/>
      <c r="CA124" s="1237"/>
      <c r="CB124" s="1237"/>
      <c r="CC124" s="1237"/>
      <c r="CD124" s="1237"/>
      <c r="CE124" s="1237"/>
      <c r="CF124" s="1237"/>
      <c r="CG124" s="1237"/>
      <c r="CH124" s="1237"/>
      <c r="CI124" s="1237"/>
      <c r="CJ124" s="1237"/>
      <c r="CK124" s="1237"/>
      <c r="CL124" s="1237"/>
      <c r="CM124" s="1237"/>
      <c r="CN124" s="1237"/>
      <c r="CO124" s="1237"/>
      <c r="CP124" s="1237"/>
      <c r="CQ124" s="1237"/>
      <c r="CR124" s="1237"/>
      <c r="CS124" s="1237"/>
      <c r="CT124" s="1237"/>
      <c r="CU124" s="1237"/>
      <c r="CV124" s="1237"/>
      <c r="CW124" s="1237"/>
      <c r="CX124" s="1237"/>
      <c r="CY124" s="1237"/>
      <c r="CZ124" s="1237"/>
      <c r="DA124" s="1237"/>
      <c r="DB124" s="1237"/>
      <c r="DC124" s="1237"/>
      <c r="DD124" s="1237"/>
      <c r="DE124" s="1237"/>
      <c r="DF124" s="1237"/>
      <c r="DG124" s="1237"/>
      <c r="DH124" s="1237"/>
      <c r="DI124" s="1237"/>
      <c r="DJ124" s="1237"/>
      <c r="DK124" s="1237"/>
      <c r="DL124" s="1237"/>
      <c r="DM124" s="1237"/>
      <c r="DN124" s="1237"/>
      <c r="DO124" s="1237"/>
      <c r="DP124" s="1237"/>
      <c r="DQ124" s="1237"/>
      <c r="DR124" s="1237"/>
      <c r="DS124" s="1237"/>
      <c r="DT124" s="1237"/>
      <c r="DU124" s="1237"/>
      <c r="DV124" s="1237"/>
      <c r="DW124" s="1237"/>
      <c r="DX124" s="1237"/>
      <c r="DY124" s="1237"/>
      <c r="DZ124" s="1237"/>
      <c r="EA124" s="1237"/>
      <c r="EB124" s="1237"/>
      <c r="EC124" s="1237"/>
      <c r="ED124" s="1237"/>
      <c r="EE124" s="1237"/>
      <c r="EF124" s="1237"/>
      <c r="EG124" s="1237"/>
      <c r="EH124" s="1237"/>
      <c r="EI124" s="1237"/>
      <c r="EJ124" s="1237"/>
      <c r="EK124" s="1237"/>
      <c r="EL124" s="1237"/>
      <c r="EM124" s="1237"/>
      <c r="EN124" s="1237"/>
      <c r="EO124" s="1237"/>
      <c r="EP124" s="1237"/>
      <c r="EQ124" s="1237"/>
      <c r="ER124" s="1237"/>
      <c r="ES124" s="1237"/>
      <c r="ET124" s="1237"/>
      <c r="EU124" s="1237"/>
      <c r="EV124" s="1237"/>
      <c r="EW124" s="1237"/>
      <c r="EX124" s="1237"/>
      <c r="EY124" s="1237"/>
      <c r="EZ124" s="1237"/>
      <c r="FA124" s="1237"/>
      <c r="FB124" s="1237"/>
      <c r="FC124" s="1237"/>
      <c r="FD124" s="1237"/>
      <c r="FE124" s="1237"/>
      <c r="FF124" s="1237"/>
      <c r="FG124" s="1237"/>
      <c r="FH124" s="1237"/>
      <c r="FI124" s="1237"/>
      <c r="FJ124" s="1237"/>
      <c r="FK124" s="1237"/>
      <c r="FL124" s="1237"/>
      <c r="FM124" s="1237"/>
      <c r="FN124" s="1237"/>
      <c r="FO124" s="1237"/>
      <c r="FP124" s="1237"/>
      <c r="FQ124" s="1237"/>
      <c r="FR124" s="1237"/>
      <c r="FS124" s="1237"/>
      <c r="FT124" s="1237"/>
      <c r="FU124" s="1237"/>
      <c r="FV124" s="1237"/>
      <c r="FW124" s="1237"/>
      <c r="FX124" s="1237"/>
      <c r="FY124" s="1237"/>
      <c r="FZ124" s="1237"/>
      <c r="GA124" s="1237"/>
      <c r="GB124" s="1237"/>
      <c r="GC124" s="1237"/>
      <c r="GD124" s="1237"/>
      <c r="GE124" s="1237"/>
      <c r="GF124" s="1237"/>
      <c r="GG124" s="1237"/>
      <c r="GH124" s="1237"/>
      <c r="GI124" s="1237"/>
      <c r="GJ124" s="1237"/>
      <c r="GK124" s="1237"/>
      <c r="GL124" s="1237"/>
      <c r="GM124" s="1237"/>
      <c r="GN124" s="1237"/>
      <c r="GO124" s="1237"/>
      <c r="GP124" s="1237"/>
      <c r="GQ124" s="1237"/>
    </row>
    <row r="125" spans="1:199" ht="12.75" customHeight="1">
      <c r="A125" s="1022"/>
      <c r="B125" s="1022"/>
      <c r="C125" s="1022"/>
      <c r="D125" s="1022"/>
      <c r="E125" s="1022"/>
      <c r="F125" s="1022"/>
      <c r="G125" s="1022"/>
      <c r="H125" s="1022"/>
      <c r="I125" s="1022"/>
      <c r="J125" s="1022"/>
      <c r="K125" s="1022"/>
      <c r="L125" s="1022"/>
      <c r="M125" s="1022"/>
      <c r="O125" s="930" t="s">
        <v>1149</v>
      </c>
      <c r="P125" s="930">
        <f>'Analysis '!D379</f>
        <v>-323278</v>
      </c>
      <c r="Q125" s="930">
        <f>'Forecasts '!C307</f>
        <v>401429</v>
      </c>
      <c r="R125" s="930">
        <f>'Forecasts '!D307</f>
        <v>-80347</v>
      </c>
      <c r="S125" s="930">
        <f>'Forecasts '!E307</f>
        <v>55430.010402095482</v>
      </c>
      <c r="T125" s="930">
        <f>'Forecasts '!F307</f>
        <v>44307.591939448976</v>
      </c>
      <c r="U125" s="930">
        <f>'Forecasts '!G307</f>
        <v>31027.870883783504</v>
      </c>
      <c r="V125" s="930">
        <f>'Forecasts '!H307</f>
        <v>16256.12612962507</v>
      </c>
      <c r="W125" s="930">
        <f>'Forecasts '!I307</f>
        <v>3209.1788929495524</v>
      </c>
      <c r="X125" s="930">
        <f>'Forecasts '!J307</f>
        <v>38148.184298469729</v>
      </c>
      <c r="Y125" s="700"/>
      <c r="Z125" s="700"/>
      <c r="AR125" s="1237"/>
      <c r="AS125" s="1237"/>
      <c r="AT125" s="1237"/>
      <c r="AU125" s="1237"/>
      <c r="AV125" s="1237"/>
      <c r="AW125" s="1237"/>
      <c r="AX125" s="1237"/>
      <c r="AY125" s="1237"/>
      <c r="AZ125" s="1237"/>
      <c r="BA125" s="1237"/>
      <c r="BB125" s="1237"/>
      <c r="BC125" s="1237"/>
      <c r="BD125" s="1237"/>
      <c r="BE125" s="1237"/>
      <c r="BF125" s="1237"/>
      <c r="BG125" s="1237"/>
      <c r="BH125" s="1237"/>
      <c r="BI125" s="1237"/>
      <c r="BJ125" s="1237"/>
      <c r="BK125" s="1237"/>
      <c r="BL125" s="1237"/>
      <c r="BM125" s="1237"/>
      <c r="BN125" s="1237"/>
      <c r="BO125" s="1237"/>
      <c r="BP125" s="1237"/>
      <c r="BQ125" s="1237"/>
      <c r="BR125" s="1237"/>
      <c r="BS125" s="1237"/>
      <c r="BT125" s="1237"/>
      <c r="BU125" s="1237"/>
      <c r="BV125" s="1237"/>
      <c r="BW125" s="1237"/>
      <c r="BX125" s="1237"/>
      <c r="BY125" s="1237"/>
      <c r="BZ125" s="1237"/>
      <c r="CA125" s="1237"/>
      <c r="CB125" s="1237"/>
      <c r="CC125" s="1237"/>
      <c r="CD125" s="1237"/>
      <c r="CE125" s="1237"/>
      <c r="CF125" s="1237"/>
      <c r="CG125" s="1237"/>
      <c r="CH125" s="1237"/>
      <c r="CI125" s="1237"/>
      <c r="CJ125" s="1237"/>
      <c r="CK125" s="1237"/>
      <c r="CL125" s="1237"/>
      <c r="CM125" s="1237"/>
      <c r="CN125" s="1237"/>
      <c r="CO125" s="1237"/>
      <c r="CP125" s="1237"/>
      <c r="CQ125" s="1237"/>
      <c r="CR125" s="1237"/>
      <c r="CS125" s="1237"/>
      <c r="CT125" s="1237"/>
      <c r="CU125" s="1237"/>
      <c r="CV125" s="1237"/>
      <c r="CW125" s="1237"/>
      <c r="CX125" s="1237"/>
      <c r="CY125" s="1237"/>
      <c r="CZ125" s="1237"/>
      <c r="DA125" s="1237"/>
      <c r="DB125" s="1237"/>
      <c r="DC125" s="1237"/>
      <c r="DD125" s="1237"/>
      <c r="DE125" s="1237"/>
      <c r="DF125" s="1237"/>
      <c r="DG125" s="1237"/>
      <c r="DH125" s="1237"/>
      <c r="DI125" s="1237"/>
      <c r="DJ125" s="1237"/>
      <c r="DK125" s="1237"/>
      <c r="DL125" s="1237"/>
      <c r="DM125" s="1237"/>
      <c r="DN125" s="1237"/>
      <c r="DO125" s="1237"/>
      <c r="DP125" s="1237"/>
      <c r="DQ125" s="1237"/>
      <c r="DR125" s="1237"/>
      <c r="DS125" s="1237"/>
      <c r="DT125" s="1237"/>
      <c r="DU125" s="1237"/>
      <c r="DV125" s="1237"/>
      <c r="DW125" s="1237"/>
      <c r="DX125" s="1237"/>
      <c r="DY125" s="1237"/>
      <c r="DZ125" s="1237"/>
      <c r="EA125" s="1237"/>
      <c r="EB125" s="1237"/>
      <c r="EC125" s="1237"/>
      <c r="ED125" s="1237"/>
      <c r="EE125" s="1237"/>
      <c r="EF125" s="1237"/>
      <c r="EG125" s="1237"/>
      <c r="EH125" s="1237"/>
      <c r="EI125" s="1237"/>
      <c r="EJ125" s="1237"/>
      <c r="EK125" s="1237"/>
      <c r="EL125" s="1237"/>
      <c r="EM125" s="1237"/>
      <c r="EN125" s="1237"/>
      <c r="EO125" s="1237"/>
      <c r="EP125" s="1237"/>
      <c r="EQ125" s="1237"/>
      <c r="ER125" s="1237"/>
      <c r="ES125" s="1237"/>
      <c r="ET125" s="1237"/>
      <c r="EU125" s="1237"/>
      <c r="EV125" s="1237"/>
      <c r="EW125" s="1237"/>
      <c r="EX125" s="1237"/>
      <c r="EY125" s="1237"/>
      <c r="EZ125" s="1237"/>
      <c r="FA125" s="1237"/>
      <c r="FB125" s="1237"/>
      <c r="FC125" s="1237"/>
      <c r="FD125" s="1237"/>
      <c r="FE125" s="1237"/>
      <c r="FF125" s="1237"/>
      <c r="FG125" s="1237"/>
      <c r="FH125" s="1237"/>
      <c r="FI125" s="1237"/>
      <c r="FJ125" s="1237"/>
      <c r="FK125" s="1237"/>
      <c r="FL125" s="1237"/>
      <c r="FM125" s="1237"/>
      <c r="FN125" s="1237"/>
      <c r="FO125" s="1237"/>
      <c r="FP125" s="1237"/>
      <c r="FQ125" s="1237"/>
      <c r="FR125" s="1237"/>
      <c r="FS125" s="1237"/>
      <c r="FT125" s="1237"/>
      <c r="FU125" s="1237"/>
      <c r="FV125" s="1237"/>
      <c r="FW125" s="1237"/>
      <c r="FX125" s="1237"/>
      <c r="FY125" s="1237"/>
      <c r="FZ125" s="1237"/>
      <c r="GA125" s="1237"/>
      <c r="GB125" s="1237"/>
      <c r="GC125" s="1237"/>
      <c r="GD125" s="1237"/>
      <c r="GE125" s="1237"/>
      <c r="GF125" s="1237"/>
      <c r="GG125" s="1237"/>
      <c r="GH125" s="1237"/>
      <c r="GI125" s="1237"/>
      <c r="GJ125" s="1237"/>
      <c r="GK125" s="1237"/>
      <c r="GL125" s="1237"/>
      <c r="GM125" s="1237"/>
      <c r="GN125" s="1237"/>
      <c r="GO125" s="1237"/>
      <c r="GP125" s="1237"/>
      <c r="GQ125" s="1237"/>
    </row>
    <row r="126" spans="1:199" ht="12">
      <c r="A126" s="1022"/>
      <c r="B126" s="1022"/>
      <c r="C126" s="1022"/>
      <c r="D126" s="1022"/>
      <c r="E126" s="1022"/>
      <c r="F126" s="1022"/>
      <c r="G126" s="1022"/>
      <c r="H126" s="1022"/>
      <c r="I126" s="1022"/>
      <c r="J126" s="1022"/>
      <c r="K126" s="1022"/>
      <c r="L126" s="1022"/>
      <c r="M126" s="1022"/>
      <c r="O126" s="932" t="s">
        <v>1150</v>
      </c>
      <c r="P126" s="932">
        <f>'Analysis '!D382</f>
        <v>-120442</v>
      </c>
      <c r="Q126" s="933">
        <f>'Forecasts '!C308</f>
        <v>-122366</v>
      </c>
      <c r="R126" s="933">
        <f>'Forecasts '!D308</f>
        <v>-30794</v>
      </c>
      <c r="S126" s="933">
        <f>'Forecasts '!E308</f>
        <v>7145.8200000001598</v>
      </c>
      <c r="T126" s="933">
        <f>'Forecasts '!F308</f>
        <v>7360.1945999999953</v>
      </c>
      <c r="U126" s="933">
        <f>'Forecasts '!G308</f>
        <v>7581.000437999719</v>
      </c>
      <c r="V126" s="933">
        <f>'Forecasts '!H308</f>
        <v>7808.4304511398768</v>
      </c>
      <c r="W126" s="933">
        <f>'Forecasts '!I308</f>
        <v>8042.6833646745945</v>
      </c>
      <c r="X126" s="933">
        <f>'Forecasts '!J308</f>
        <v>8283.9638656143288</v>
      </c>
      <c r="AR126" s="1237"/>
      <c r="AS126" s="1237"/>
      <c r="AT126" s="1237"/>
      <c r="AU126" s="1237"/>
      <c r="AV126" s="1237"/>
      <c r="AW126" s="1237"/>
      <c r="AX126" s="1237"/>
      <c r="AY126" s="1237"/>
      <c r="AZ126" s="1237"/>
      <c r="BA126" s="1237"/>
      <c r="BB126" s="1237"/>
      <c r="BC126" s="1237"/>
      <c r="BD126" s="1237"/>
      <c r="BE126" s="1237"/>
      <c r="BF126" s="1237"/>
      <c r="BG126" s="1237"/>
      <c r="BH126" s="1237"/>
      <c r="BI126" s="1237"/>
      <c r="BJ126" s="1237"/>
      <c r="BK126" s="1237"/>
      <c r="BL126" s="1237"/>
      <c r="BM126" s="1237"/>
      <c r="BN126" s="1237"/>
      <c r="BO126" s="1237"/>
      <c r="BP126" s="1237"/>
      <c r="BQ126" s="1237"/>
      <c r="BR126" s="1237"/>
      <c r="BS126" s="1237"/>
      <c r="BT126" s="1237"/>
      <c r="BU126" s="1237"/>
      <c r="BV126" s="1237"/>
      <c r="BW126" s="1237"/>
      <c r="BX126" s="1237"/>
      <c r="BY126" s="1237"/>
      <c r="BZ126" s="1237"/>
      <c r="CA126" s="1237"/>
      <c r="CB126" s="1237"/>
      <c r="CC126" s="1237"/>
      <c r="CD126" s="1237"/>
      <c r="CE126" s="1237"/>
      <c r="CF126" s="1237"/>
      <c r="CG126" s="1237"/>
      <c r="CH126" s="1237"/>
      <c r="CI126" s="1237"/>
      <c r="CJ126" s="1237"/>
      <c r="CK126" s="1237"/>
      <c r="CL126" s="1237"/>
      <c r="CM126" s="1237"/>
      <c r="CN126" s="1237"/>
      <c r="CO126" s="1237"/>
      <c r="CP126" s="1237"/>
      <c r="CQ126" s="1237"/>
      <c r="CR126" s="1237"/>
      <c r="CS126" s="1237"/>
      <c r="CT126" s="1237"/>
      <c r="CU126" s="1237"/>
      <c r="CV126" s="1237"/>
      <c r="CW126" s="1237"/>
      <c r="CX126" s="1237"/>
      <c r="CY126" s="1237"/>
      <c r="CZ126" s="1237"/>
      <c r="DA126" s="1237"/>
      <c r="DB126" s="1237"/>
      <c r="DC126" s="1237"/>
      <c r="DD126" s="1237"/>
      <c r="DE126" s="1237"/>
      <c r="DF126" s="1237"/>
      <c r="DG126" s="1237"/>
      <c r="DH126" s="1237"/>
      <c r="DI126" s="1237"/>
      <c r="DJ126" s="1237"/>
      <c r="DK126" s="1237"/>
      <c r="DL126" s="1237"/>
      <c r="DM126" s="1237"/>
      <c r="DN126" s="1237"/>
      <c r="DO126" s="1237"/>
      <c r="DP126" s="1237"/>
      <c r="DQ126" s="1237"/>
      <c r="DR126" s="1237"/>
      <c r="DS126" s="1237"/>
      <c r="DT126" s="1237"/>
      <c r="DU126" s="1237"/>
      <c r="DV126" s="1237"/>
      <c r="DW126" s="1237"/>
      <c r="DX126" s="1237"/>
      <c r="DY126" s="1237"/>
      <c r="DZ126" s="1237"/>
      <c r="EA126" s="1237"/>
      <c r="EB126" s="1237"/>
      <c r="EC126" s="1237"/>
      <c r="ED126" s="1237"/>
      <c r="EE126" s="1237"/>
      <c r="EF126" s="1237"/>
      <c r="EG126" s="1237"/>
      <c r="EH126" s="1237"/>
      <c r="EI126" s="1237"/>
      <c r="EJ126" s="1237"/>
      <c r="EK126" s="1237"/>
      <c r="EL126" s="1237"/>
      <c r="EM126" s="1237"/>
      <c r="EN126" s="1237"/>
      <c r="EO126" s="1237"/>
      <c r="EP126" s="1237"/>
      <c r="EQ126" s="1237"/>
      <c r="ER126" s="1237"/>
      <c r="ES126" s="1237"/>
      <c r="ET126" s="1237"/>
      <c r="EU126" s="1237"/>
      <c r="EV126" s="1237"/>
      <c r="EW126" s="1237"/>
      <c r="EX126" s="1237"/>
      <c r="EY126" s="1237"/>
      <c r="EZ126" s="1237"/>
      <c r="FA126" s="1237"/>
      <c r="FB126" s="1237"/>
      <c r="FC126" s="1237"/>
      <c r="FD126" s="1237"/>
      <c r="FE126" s="1237"/>
      <c r="FF126" s="1237"/>
      <c r="FG126" s="1237"/>
      <c r="FH126" s="1237"/>
      <c r="FI126" s="1237"/>
      <c r="FJ126" s="1237"/>
      <c r="FK126" s="1237"/>
      <c r="FL126" s="1237"/>
      <c r="FM126" s="1237"/>
      <c r="FN126" s="1237"/>
      <c r="FO126" s="1237"/>
      <c r="FP126" s="1237"/>
      <c r="FQ126" s="1237"/>
      <c r="FR126" s="1237"/>
      <c r="FS126" s="1237"/>
      <c r="FT126" s="1237"/>
      <c r="FU126" s="1237"/>
      <c r="FV126" s="1237"/>
      <c r="FW126" s="1237"/>
      <c r="FX126" s="1237"/>
      <c r="FY126" s="1237"/>
      <c r="FZ126" s="1237"/>
      <c r="GA126" s="1237"/>
      <c r="GB126" s="1237"/>
      <c r="GC126" s="1237"/>
      <c r="GD126" s="1237"/>
      <c r="GE126" s="1237"/>
      <c r="GF126" s="1237"/>
      <c r="GG126" s="1237"/>
      <c r="GH126" s="1237"/>
      <c r="GI126" s="1237"/>
      <c r="GJ126" s="1237"/>
      <c r="GK126" s="1237"/>
      <c r="GL126" s="1237"/>
      <c r="GM126" s="1237"/>
      <c r="GN126" s="1237"/>
      <c r="GO126" s="1237"/>
      <c r="GP126" s="1237"/>
      <c r="GQ126" s="1237"/>
    </row>
    <row r="127" spans="1:199" ht="12.75" customHeight="1">
      <c r="A127" s="1022"/>
      <c r="B127" s="1022"/>
      <c r="C127" s="1022"/>
      <c r="D127" s="1022"/>
      <c r="E127" s="1022"/>
      <c r="F127" s="1022"/>
      <c r="G127" s="1022"/>
      <c r="H127" s="1022"/>
      <c r="I127" s="1022"/>
      <c r="J127" s="1022"/>
      <c r="K127" s="1022"/>
      <c r="L127" s="1022"/>
      <c r="M127" s="1022"/>
      <c r="O127" s="930"/>
      <c r="P127" s="930"/>
      <c r="Q127" s="930"/>
      <c r="R127" s="931"/>
      <c r="S127" s="930"/>
      <c r="T127" s="930"/>
      <c r="U127" s="930"/>
      <c r="V127" s="930"/>
      <c r="W127" s="930"/>
      <c r="X127" s="930"/>
      <c r="Y127" s="700"/>
      <c r="Z127" s="700"/>
      <c r="AR127" s="1237"/>
      <c r="AS127" s="1237"/>
      <c r="AT127" s="1237"/>
      <c r="AU127" s="1237"/>
      <c r="AV127" s="1237"/>
      <c r="AW127" s="1237"/>
      <c r="AX127" s="1237"/>
      <c r="AY127" s="1237"/>
      <c r="AZ127" s="1237"/>
      <c r="BA127" s="1237"/>
      <c r="BB127" s="1237"/>
      <c r="BC127" s="1237"/>
      <c r="BD127" s="1237"/>
      <c r="BE127" s="1237"/>
      <c r="BF127" s="1237"/>
      <c r="BG127" s="1237"/>
      <c r="BH127" s="1237"/>
      <c r="BI127" s="1237"/>
      <c r="BJ127" s="1237"/>
      <c r="BK127" s="1237"/>
      <c r="BL127" s="1237"/>
      <c r="BM127" s="1237"/>
      <c r="BN127" s="1237"/>
      <c r="BO127" s="1237"/>
      <c r="BP127" s="1237"/>
      <c r="BQ127" s="1237"/>
      <c r="BR127" s="1237"/>
      <c r="BS127" s="1237"/>
      <c r="BT127" s="1237"/>
      <c r="BU127" s="1237"/>
      <c r="BV127" s="1237"/>
      <c r="BW127" s="1237"/>
      <c r="BX127" s="1237"/>
      <c r="BY127" s="1237"/>
      <c r="BZ127" s="1237"/>
      <c r="CA127" s="1237"/>
      <c r="CB127" s="1237"/>
      <c r="CC127" s="1237"/>
      <c r="CD127" s="1237"/>
      <c r="CE127" s="1237"/>
      <c r="CF127" s="1237"/>
      <c r="CG127" s="1237"/>
      <c r="CH127" s="1237"/>
      <c r="CI127" s="1237"/>
      <c r="CJ127" s="1237"/>
      <c r="CK127" s="1237"/>
      <c r="CL127" s="1237"/>
      <c r="CM127" s="1237"/>
      <c r="CN127" s="1237"/>
      <c r="CO127" s="1237"/>
      <c r="CP127" s="1237"/>
      <c r="CQ127" s="1237"/>
      <c r="CR127" s="1237"/>
      <c r="CS127" s="1237"/>
      <c r="CT127" s="1237"/>
      <c r="CU127" s="1237"/>
      <c r="CV127" s="1237"/>
      <c r="CW127" s="1237"/>
      <c r="CX127" s="1237"/>
      <c r="CY127" s="1237"/>
      <c r="CZ127" s="1237"/>
      <c r="DA127" s="1237"/>
      <c r="DB127" s="1237"/>
      <c r="DC127" s="1237"/>
      <c r="DD127" s="1237"/>
      <c r="DE127" s="1237"/>
      <c r="DF127" s="1237"/>
      <c r="DG127" s="1237"/>
      <c r="DH127" s="1237"/>
      <c r="DI127" s="1237"/>
      <c r="DJ127" s="1237"/>
      <c r="DK127" s="1237"/>
      <c r="DL127" s="1237"/>
      <c r="DM127" s="1237"/>
      <c r="DN127" s="1237"/>
      <c r="DO127" s="1237"/>
      <c r="DP127" s="1237"/>
      <c r="DQ127" s="1237"/>
      <c r="DR127" s="1237"/>
      <c r="DS127" s="1237"/>
      <c r="DT127" s="1237"/>
      <c r="DU127" s="1237"/>
      <c r="DV127" s="1237"/>
      <c r="DW127" s="1237"/>
      <c r="DX127" s="1237"/>
      <c r="DY127" s="1237"/>
      <c r="DZ127" s="1237"/>
      <c r="EA127" s="1237"/>
      <c r="EB127" s="1237"/>
      <c r="EC127" s="1237"/>
      <c r="ED127" s="1237"/>
      <c r="EE127" s="1237"/>
      <c r="EF127" s="1237"/>
      <c r="EG127" s="1237"/>
      <c r="EH127" s="1237"/>
      <c r="EI127" s="1237"/>
      <c r="EJ127" s="1237"/>
      <c r="EK127" s="1237"/>
      <c r="EL127" s="1237"/>
      <c r="EM127" s="1237"/>
      <c r="EN127" s="1237"/>
      <c r="EO127" s="1237"/>
      <c r="EP127" s="1237"/>
      <c r="EQ127" s="1237"/>
      <c r="ER127" s="1237"/>
      <c r="ES127" s="1237"/>
      <c r="ET127" s="1237"/>
      <c r="EU127" s="1237"/>
      <c r="EV127" s="1237"/>
      <c r="EW127" s="1237"/>
      <c r="EX127" s="1237"/>
      <c r="EY127" s="1237"/>
      <c r="EZ127" s="1237"/>
      <c r="FA127" s="1237"/>
      <c r="FB127" s="1237"/>
      <c r="FC127" s="1237"/>
      <c r="FD127" s="1237"/>
      <c r="FE127" s="1237"/>
      <c r="FF127" s="1237"/>
      <c r="FG127" s="1237"/>
      <c r="FH127" s="1237"/>
      <c r="FI127" s="1237"/>
      <c r="FJ127" s="1237"/>
      <c r="FK127" s="1237"/>
      <c r="FL127" s="1237"/>
      <c r="FM127" s="1237"/>
      <c r="FN127" s="1237"/>
      <c r="FO127" s="1237"/>
      <c r="FP127" s="1237"/>
      <c r="FQ127" s="1237"/>
      <c r="FR127" s="1237"/>
      <c r="FS127" s="1237"/>
      <c r="FT127" s="1237"/>
      <c r="FU127" s="1237"/>
      <c r="FV127" s="1237"/>
      <c r="FW127" s="1237"/>
      <c r="FX127" s="1237"/>
      <c r="FY127" s="1237"/>
      <c r="FZ127" s="1237"/>
      <c r="GA127" s="1237"/>
      <c r="GB127" s="1237"/>
      <c r="GC127" s="1237"/>
      <c r="GD127" s="1237"/>
      <c r="GE127" s="1237"/>
      <c r="GF127" s="1237"/>
      <c r="GG127" s="1237"/>
      <c r="GH127" s="1237"/>
      <c r="GI127" s="1237"/>
      <c r="GJ127" s="1237"/>
      <c r="GK127" s="1237"/>
      <c r="GL127" s="1237"/>
      <c r="GM127" s="1237"/>
      <c r="GN127" s="1237"/>
      <c r="GO127" s="1237"/>
      <c r="GP127" s="1237"/>
      <c r="GQ127" s="1237"/>
    </row>
    <row r="128" spans="1:199" ht="12.75" customHeight="1">
      <c r="A128" s="1022"/>
      <c r="B128" s="1022"/>
      <c r="C128" s="1022"/>
      <c r="D128" s="1022"/>
      <c r="E128" s="1022"/>
      <c r="F128" s="1022"/>
      <c r="G128" s="1022"/>
      <c r="H128" s="1022"/>
      <c r="I128" s="1022"/>
      <c r="J128" s="1022"/>
      <c r="K128" s="1022"/>
      <c r="L128" s="1022"/>
      <c r="M128" s="1022"/>
      <c r="O128" s="928" t="s">
        <v>1151</v>
      </c>
      <c r="P128" s="928">
        <f>P122</f>
        <v>2022</v>
      </c>
      <c r="Q128" s="928">
        <f t="shared" ref="Q128:X128" si="2">Q122</f>
        <v>2023</v>
      </c>
      <c r="R128" s="928">
        <f t="shared" si="2"/>
        <v>2024</v>
      </c>
      <c r="S128" s="928">
        <f t="shared" si="2"/>
        <v>2025</v>
      </c>
      <c r="T128" s="928">
        <f t="shared" si="2"/>
        <v>2026</v>
      </c>
      <c r="U128" s="928">
        <f t="shared" si="2"/>
        <v>2027</v>
      </c>
      <c r="V128" s="928">
        <f t="shared" si="2"/>
        <v>2028</v>
      </c>
      <c r="W128" s="928">
        <f t="shared" si="2"/>
        <v>2029</v>
      </c>
      <c r="X128" s="928">
        <f t="shared" si="2"/>
        <v>2030</v>
      </c>
      <c r="Y128" s="751"/>
      <c r="Z128" s="751"/>
      <c r="AA128" s="705"/>
      <c r="AR128" s="1237"/>
      <c r="AS128" s="1237"/>
      <c r="AT128" s="1237"/>
      <c r="AU128" s="1237"/>
      <c r="AV128" s="1237"/>
      <c r="AW128" s="1237"/>
      <c r="AX128" s="1237"/>
      <c r="AY128" s="1237"/>
      <c r="AZ128" s="1237"/>
      <c r="BA128" s="1237"/>
      <c r="BB128" s="1237"/>
      <c r="BC128" s="1237"/>
      <c r="BD128" s="1237"/>
      <c r="BE128" s="1237"/>
      <c r="BF128" s="1237"/>
      <c r="BG128" s="1237"/>
      <c r="BH128" s="1237"/>
      <c r="BI128" s="1237"/>
      <c r="BJ128" s="1237"/>
      <c r="BK128" s="1237"/>
      <c r="BL128" s="1237"/>
      <c r="BM128" s="1237"/>
      <c r="BN128" s="1237"/>
      <c r="BO128" s="1237"/>
      <c r="BP128" s="1237"/>
      <c r="BQ128" s="1237"/>
      <c r="BR128" s="1237"/>
      <c r="BS128" s="1237"/>
      <c r="BT128" s="1237"/>
      <c r="BU128" s="1237"/>
      <c r="BV128" s="1237"/>
      <c r="BW128" s="1237"/>
      <c r="BX128" s="1237"/>
      <c r="BY128" s="1237"/>
      <c r="BZ128" s="1237"/>
      <c r="CA128" s="1237"/>
      <c r="CB128" s="1237"/>
      <c r="CC128" s="1237"/>
      <c r="CD128" s="1237"/>
      <c r="CE128" s="1237"/>
      <c r="CF128" s="1237"/>
      <c r="CG128" s="1237"/>
      <c r="CH128" s="1237"/>
      <c r="CI128" s="1237"/>
      <c r="CJ128" s="1237"/>
      <c r="CK128" s="1237"/>
      <c r="CL128" s="1237"/>
      <c r="CM128" s="1237"/>
      <c r="CN128" s="1237"/>
      <c r="CO128" s="1237"/>
      <c r="CP128" s="1237"/>
      <c r="CQ128" s="1237"/>
      <c r="CR128" s="1237"/>
      <c r="CS128" s="1237"/>
      <c r="CT128" s="1237"/>
      <c r="CU128" s="1237"/>
      <c r="CV128" s="1237"/>
      <c r="CW128" s="1237"/>
      <c r="CX128" s="1237"/>
      <c r="CY128" s="1237"/>
      <c r="CZ128" s="1237"/>
      <c r="DA128" s="1237"/>
      <c r="DB128" s="1237"/>
      <c r="DC128" s="1237"/>
      <c r="DD128" s="1237"/>
      <c r="DE128" s="1237"/>
      <c r="DF128" s="1237"/>
      <c r="DG128" s="1237"/>
      <c r="DH128" s="1237"/>
      <c r="DI128" s="1237"/>
      <c r="DJ128" s="1237"/>
      <c r="DK128" s="1237"/>
      <c r="DL128" s="1237"/>
      <c r="DM128" s="1237"/>
      <c r="DN128" s="1237"/>
      <c r="DO128" s="1237"/>
      <c r="DP128" s="1237"/>
      <c r="DQ128" s="1237"/>
      <c r="DR128" s="1237"/>
      <c r="DS128" s="1237"/>
      <c r="DT128" s="1237"/>
      <c r="DU128" s="1237"/>
      <c r="DV128" s="1237"/>
      <c r="DW128" s="1237"/>
      <c r="DX128" s="1237"/>
      <c r="DY128" s="1237"/>
      <c r="DZ128" s="1237"/>
      <c r="EA128" s="1237"/>
      <c r="EB128" s="1237"/>
      <c r="EC128" s="1237"/>
      <c r="ED128" s="1237"/>
      <c r="EE128" s="1237"/>
      <c r="EF128" s="1237"/>
      <c r="EG128" s="1237"/>
      <c r="EH128" s="1237"/>
      <c r="EI128" s="1237"/>
      <c r="EJ128" s="1237"/>
      <c r="EK128" s="1237"/>
      <c r="EL128" s="1237"/>
      <c r="EM128" s="1237"/>
      <c r="EN128" s="1237"/>
      <c r="EO128" s="1237"/>
      <c r="EP128" s="1237"/>
      <c r="EQ128" s="1237"/>
      <c r="ER128" s="1237"/>
      <c r="ES128" s="1237"/>
      <c r="ET128" s="1237"/>
      <c r="EU128" s="1237"/>
      <c r="EV128" s="1237"/>
      <c r="EW128" s="1237"/>
      <c r="EX128" s="1237"/>
      <c r="EY128" s="1237"/>
      <c r="EZ128" s="1237"/>
      <c r="FA128" s="1237"/>
      <c r="FB128" s="1237"/>
      <c r="FC128" s="1237"/>
      <c r="FD128" s="1237"/>
      <c r="FE128" s="1237"/>
      <c r="FF128" s="1237"/>
      <c r="FG128" s="1237"/>
      <c r="FH128" s="1237"/>
      <c r="FI128" s="1237"/>
      <c r="FJ128" s="1237"/>
      <c r="FK128" s="1237"/>
      <c r="FL128" s="1237"/>
      <c r="FM128" s="1237"/>
      <c r="FN128" s="1237"/>
      <c r="FO128" s="1237"/>
      <c r="FP128" s="1237"/>
      <c r="FQ128" s="1237"/>
      <c r="FR128" s="1237"/>
      <c r="FS128" s="1237"/>
      <c r="FT128" s="1237"/>
      <c r="FU128" s="1237"/>
      <c r="FV128" s="1237"/>
      <c r="FW128" s="1237"/>
      <c r="FX128" s="1237"/>
      <c r="FY128" s="1237"/>
      <c r="FZ128" s="1237"/>
      <c r="GA128" s="1237"/>
      <c r="GB128" s="1237"/>
      <c r="GC128" s="1237"/>
      <c r="GD128" s="1237"/>
      <c r="GE128" s="1237"/>
      <c r="GF128" s="1237"/>
      <c r="GG128" s="1237"/>
      <c r="GH128" s="1237"/>
      <c r="GI128" s="1237"/>
      <c r="GJ128" s="1237"/>
      <c r="GK128" s="1237"/>
      <c r="GL128" s="1237"/>
      <c r="GM128" s="1237"/>
      <c r="GN128" s="1237"/>
      <c r="GO128" s="1237"/>
      <c r="GP128" s="1237"/>
      <c r="GQ128" s="1237"/>
    </row>
    <row r="129" spans="1:199" ht="12.75" customHeight="1">
      <c r="A129" s="1022"/>
      <c r="B129" s="1022"/>
      <c r="C129" s="1022"/>
      <c r="D129" s="1022"/>
      <c r="E129" s="1022"/>
      <c r="F129" s="1022"/>
      <c r="G129" s="1022"/>
      <c r="H129" s="1022"/>
      <c r="I129" s="1022"/>
      <c r="J129" s="1022"/>
      <c r="K129" s="1022"/>
      <c r="L129" s="1022"/>
      <c r="M129" s="1022"/>
      <c r="O129" s="931"/>
      <c r="P129" s="931"/>
      <c r="Q129" s="931"/>
      <c r="R129" s="931"/>
      <c r="S129" s="931"/>
      <c r="T129" s="931"/>
      <c r="U129" s="931"/>
      <c r="V129" s="931"/>
      <c r="W129" s="931"/>
      <c r="X129" s="931"/>
      <c r="Y129" s="705"/>
      <c r="Z129" s="705"/>
      <c r="AA129" s="705"/>
      <c r="AR129" s="1237"/>
      <c r="AS129" s="1237"/>
      <c r="AT129" s="1237"/>
      <c r="AU129" s="1237"/>
      <c r="AV129" s="1237"/>
      <c r="AW129" s="1237"/>
      <c r="AX129" s="1237"/>
      <c r="AY129" s="1237"/>
      <c r="AZ129" s="1237"/>
      <c r="BA129" s="1237"/>
      <c r="BB129" s="1237"/>
      <c r="BC129" s="1237"/>
      <c r="BD129" s="1237"/>
      <c r="BE129" s="1237"/>
      <c r="BF129" s="1237"/>
      <c r="BG129" s="1237"/>
      <c r="BH129" s="1237"/>
      <c r="BI129" s="1237"/>
      <c r="BJ129" s="1237"/>
      <c r="BK129" s="1237"/>
      <c r="BL129" s="1237"/>
      <c r="BM129" s="1237"/>
      <c r="BN129" s="1237"/>
      <c r="BO129" s="1237"/>
      <c r="BP129" s="1237"/>
      <c r="BQ129" s="1237"/>
      <c r="BR129" s="1237"/>
      <c r="BS129" s="1237"/>
      <c r="BT129" s="1237"/>
      <c r="BU129" s="1237"/>
      <c r="BV129" s="1237"/>
      <c r="BW129" s="1237"/>
      <c r="BX129" s="1237"/>
      <c r="BY129" s="1237"/>
      <c r="BZ129" s="1237"/>
      <c r="CA129" s="1237"/>
      <c r="CB129" s="1237"/>
      <c r="CC129" s="1237"/>
      <c r="CD129" s="1237"/>
      <c r="CE129" s="1237"/>
      <c r="CF129" s="1237"/>
      <c r="CG129" s="1237"/>
      <c r="CH129" s="1237"/>
      <c r="CI129" s="1237"/>
      <c r="CJ129" s="1237"/>
      <c r="CK129" s="1237"/>
      <c r="CL129" s="1237"/>
      <c r="CM129" s="1237"/>
      <c r="CN129" s="1237"/>
      <c r="CO129" s="1237"/>
      <c r="CP129" s="1237"/>
      <c r="CQ129" s="1237"/>
      <c r="CR129" s="1237"/>
      <c r="CS129" s="1237"/>
      <c r="CT129" s="1237"/>
      <c r="CU129" s="1237"/>
      <c r="CV129" s="1237"/>
      <c r="CW129" s="1237"/>
      <c r="CX129" s="1237"/>
      <c r="CY129" s="1237"/>
      <c r="CZ129" s="1237"/>
      <c r="DA129" s="1237"/>
      <c r="DB129" s="1237"/>
      <c r="DC129" s="1237"/>
      <c r="DD129" s="1237"/>
      <c r="DE129" s="1237"/>
      <c r="DF129" s="1237"/>
      <c r="DG129" s="1237"/>
      <c r="DH129" s="1237"/>
      <c r="DI129" s="1237"/>
      <c r="DJ129" s="1237"/>
      <c r="DK129" s="1237"/>
      <c r="DL129" s="1237"/>
      <c r="DM129" s="1237"/>
      <c r="DN129" s="1237"/>
      <c r="DO129" s="1237"/>
      <c r="DP129" s="1237"/>
      <c r="DQ129" s="1237"/>
      <c r="DR129" s="1237"/>
      <c r="DS129" s="1237"/>
      <c r="DT129" s="1237"/>
      <c r="DU129" s="1237"/>
      <c r="DV129" s="1237"/>
      <c r="DW129" s="1237"/>
      <c r="DX129" s="1237"/>
      <c r="DY129" s="1237"/>
      <c r="DZ129" s="1237"/>
      <c r="EA129" s="1237"/>
      <c r="EB129" s="1237"/>
      <c r="EC129" s="1237"/>
      <c r="ED129" s="1237"/>
      <c r="EE129" s="1237"/>
      <c r="EF129" s="1237"/>
      <c r="EG129" s="1237"/>
      <c r="EH129" s="1237"/>
      <c r="EI129" s="1237"/>
      <c r="EJ129" s="1237"/>
      <c r="EK129" s="1237"/>
      <c r="EL129" s="1237"/>
      <c r="EM129" s="1237"/>
      <c r="EN129" s="1237"/>
      <c r="EO129" s="1237"/>
      <c r="EP129" s="1237"/>
      <c r="EQ129" s="1237"/>
      <c r="ER129" s="1237"/>
      <c r="ES129" s="1237"/>
      <c r="ET129" s="1237"/>
      <c r="EU129" s="1237"/>
      <c r="EV129" s="1237"/>
      <c r="EW129" s="1237"/>
      <c r="EX129" s="1237"/>
      <c r="EY129" s="1237"/>
      <c r="EZ129" s="1237"/>
      <c r="FA129" s="1237"/>
      <c r="FB129" s="1237"/>
      <c r="FC129" s="1237"/>
      <c r="FD129" s="1237"/>
      <c r="FE129" s="1237"/>
      <c r="FF129" s="1237"/>
      <c r="FG129" s="1237"/>
      <c r="FH129" s="1237"/>
      <c r="FI129" s="1237"/>
      <c r="FJ129" s="1237"/>
      <c r="FK129" s="1237"/>
      <c r="FL129" s="1237"/>
      <c r="FM129" s="1237"/>
      <c r="FN129" s="1237"/>
      <c r="FO129" s="1237"/>
      <c r="FP129" s="1237"/>
      <c r="FQ129" s="1237"/>
      <c r="FR129" s="1237"/>
      <c r="FS129" s="1237"/>
      <c r="FT129" s="1237"/>
      <c r="FU129" s="1237"/>
      <c r="FV129" s="1237"/>
      <c r="FW129" s="1237"/>
      <c r="FX129" s="1237"/>
      <c r="FY129" s="1237"/>
      <c r="FZ129" s="1237"/>
      <c r="GA129" s="1237"/>
      <c r="GB129" s="1237"/>
      <c r="GC129" s="1237"/>
      <c r="GD129" s="1237"/>
      <c r="GE129" s="1237"/>
      <c r="GF129" s="1237"/>
      <c r="GG129" s="1237"/>
      <c r="GH129" s="1237"/>
      <c r="GI129" s="1237"/>
      <c r="GJ129" s="1237"/>
      <c r="GK129" s="1237"/>
      <c r="GL129" s="1237"/>
      <c r="GM129" s="1237"/>
      <c r="GN129" s="1237"/>
      <c r="GO129" s="1237"/>
      <c r="GP129" s="1237"/>
      <c r="GQ129" s="1237"/>
    </row>
    <row r="130" spans="1:199" ht="12.95" customHeight="1">
      <c r="A130" s="1022"/>
      <c r="B130" s="1022"/>
      <c r="C130" s="1022"/>
      <c r="D130" s="1022"/>
      <c r="E130" s="1022"/>
      <c r="F130" s="1022"/>
      <c r="G130" s="1022"/>
      <c r="H130" s="1022"/>
      <c r="I130" s="1022"/>
      <c r="J130" s="1022"/>
      <c r="K130" s="1022"/>
      <c r="L130" s="1022"/>
      <c r="M130" s="1022"/>
      <c r="O130" s="934" t="s">
        <v>1152</v>
      </c>
      <c r="P130" s="930"/>
      <c r="Q130" s="930"/>
      <c r="R130" s="931"/>
      <c r="S130" s="930"/>
      <c r="T130" s="930"/>
      <c r="U130" s="930"/>
      <c r="V130" s="930"/>
      <c r="W130" s="930"/>
      <c r="X130" s="930"/>
      <c r="Y130" s="705"/>
      <c r="Z130" s="705"/>
      <c r="AA130" s="705"/>
      <c r="AR130" s="1237"/>
      <c r="AS130" s="1237"/>
      <c r="AT130" s="1237"/>
      <c r="AU130" s="1237"/>
      <c r="AV130" s="1237"/>
      <c r="AW130" s="1237"/>
      <c r="AX130" s="1237"/>
      <c r="AY130" s="1237"/>
      <c r="AZ130" s="1237"/>
      <c r="BA130" s="1237"/>
      <c r="BB130" s="1237"/>
      <c r="BC130" s="1237"/>
      <c r="BD130" s="1237"/>
      <c r="BE130" s="1237"/>
      <c r="BF130" s="1237"/>
      <c r="BG130" s="1237"/>
      <c r="BH130" s="1237"/>
      <c r="BI130" s="1237"/>
      <c r="BJ130" s="1237"/>
      <c r="BK130" s="1237"/>
      <c r="BL130" s="1237"/>
      <c r="BM130" s="1237"/>
      <c r="BN130" s="1237"/>
      <c r="BO130" s="1237"/>
      <c r="BP130" s="1237"/>
      <c r="BQ130" s="1237"/>
      <c r="BR130" s="1237"/>
      <c r="BS130" s="1237"/>
      <c r="BT130" s="1237"/>
      <c r="BU130" s="1237"/>
      <c r="BV130" s="1237"/>
      <c r="BW130" s="1237"/>
      <c r="BX130" s="1237"/>
      <c r="BY130" s="1237"/>
      <c r="BZ130" s="1237"/>
      <c r="CA130" s="1237"/>
      <c r="CB130" s="1237"/>
      <c r="CC130" s="1237"/>
      <c r="CD130" s="1237"/>
      <c r="CE130" s="1237"/>
      <c r="CF130" s="1237"/>
      <c r="CG130" s="1237"/>
      <c r="CH130" s="1237"/>
      <c r="CI130" s="1237"/>
      <c r="CJ130" s="1237"/>
      <c r="CK130" s="1237"/>
      <c r="CL130" s="1237"/>
      <c r="CM130" s="1237"/>
      <c r="CN130" s="1237"/>
      <c r="CO130" s="1237"/>
      <c r="CP130" s="1237"/>
      <c r="CQ130" s="1237"/>
      <c r="CR130" s="1237"/>
      <c r="CS130" s="1237"/>
      <c r="CT130" s="1237"/>
      <c r="CU130" s="1237"/>
      <c r="CV130" s="1237"/>
      <c r="CW130" s="1237"/>
      <c r="CX130" s="1237"/>
      <c r="CY130" s="1237"/>
      <c r="CZ130" s="1237"/>
      <c r="DA130" s="1237"/>
      <c r="DB130" s="1237"/>
      <c r="DC130" s="1237"/>
      <c r="DD130" s="1237"/>
      <c r="DE130" s="1237"/>
      <c r="DF130" s="1237"/>
      <c r="DG130" s="1237"/>
      <c r="DH130" s="1237"/>
      <c r="DI130" s="1237"/>
      <c r="DJ130" s="1237"/>
      <c r="DK130" s="1237"/>
      <c r="DL130" s="1237"/>
      <c r="DM130" s="1237"/>
      <c r="DN130" s="1237"/>
      <c r="DO130" s="1237"/>
      <c r="DP130" s="1237"/>
      <c r="DQ130" s="1237"/>
      <c r="DR130" s="1237"/>
      <c r="DS130" s="1237"/>
      <c r="DT130" s="1237"/>
      <c r="DU130" s="1237"/>
      <c r="DV130" s="1237"/>
      <c r="DW130" s="1237"/>
      <c r="DX130" s="1237"/>
      <c r="DY130" s="1237"/>
      <c r="DZ130" s="1237"/>
      <c r="EA130" s="1237"/>
      <c r="EB130" s="1237"/>
      <c r="EC130" s="1237"/>
      <c r="ED130" s="1237"/>
      <c r="EE130" s="1237"/>
      <c r="EF130" s="1237"/>
      <c r="EG130" s="1237"/>
      <c r="EH130" s="1237"/>
      <c r="EI130" s="1237"/>
      <c r="EJ130" s="1237"/>
      <c r="EK130" s="1237"/>
      <c r="EL130" s="1237"/>
      <c r="EM130" s="1237"/>
      <c r="EN130" s="1237"/>
      <c r="EO130" s="1237"/>
      <c r="EP130" s="1237"/>
      <c r="EQ130" s="1237"/>
      <c r="ER130" s="1237"/>
      <c r="ES130" s="1237"/>
      <c r="ET130" s="1237"/>
      <c r="EU130" s="1237"/>
      <c r="EV130" s="1237"/>
      <c r="EW130" s="1237"/>
      <c r="EX130" s="1237"/>
      <c r="EY130" s="1237"/>
      <c r="EZ130" s="1237"/>
      <c r="FA130" s="1237"/>
      <c r="FB130" s="1237"/>
      <c r="FC130" s="1237"/>
      <c r="FD130" s="1237"/>
      <c r="FE130" s="1237"/>
      <c r="FF130" s="1237"/>
      <c r="FG130" s="1237"/>
      <c r="FH130" s="1237"/>
      <c r="FI130" s="1237"/>
      <c r="FJ130" s="1237"/>
      <c r="FK130" s="1237"/>
      <c r="FL130" s="1237"/>
      <c r="FM130" s="1237"/>
      <c r="FN130" s="1237"/>
      <c r="FO130" s="1237"/>
      <c r="FP130" s="1237"/>
      <c r="FQ130" s="1237"/>
      <c r="FR130" s="1237"/>
      <c r="FS130" s="1237"/>
      <c r="FT130" s="1237"/>
      <c r="FU130" s="1237"/>
      <c r="FV130" s="1237"/>
      <c r="FW130" s="1237"/>
      <c r="FX130" s="1237"/>
      <c r="FY130" s="1237"/>
      <c r="FZ130" s="1237"/>
      <c r="GA130" s="1237"/>
      <c r="GB130" s="1237"/>
      <c r="GC130" s="1237"/>
      <c r="GD130" s="1237"/>
      <c r="GE130" s="1237"/>
      <c r="GF130" s="1237"/>
      <c r="GG130" s="1237"/>
      <c r="GH130" s="1237"/>
      <c r="GI130" s="1237"/>
      <c r="GJ130" s="1237"/>
      <c r="GK130" s="1237"/>
      <c r="GL130" s="1237"/>
      <c r="GM130" s="1237"/>
      <c r="GN130" s="1237"/>
      <c r="GO130" s="1237"/>
      <c r="GP130" s="1237"/>
      <c r="GQ130" s="1237"/>
    </row>
    <row r="131" spans="1:199" ht="12.95" customHeight="1">
      <c r="A131" s="1022"/>
      <c r="B131" s="1022"/>
      <c r="C131" s="1022"/>
      <c r="D131" s="1022"/>
      <c r="E131" s="1022"/>
      <c r="F131" s="1022"/>
      <c r="G131" s="1022"/>
      <c r="H131" s="1022"/>
      <c r="I131" s="1022"/>
      <c r="J131" s="1022"/>
      <c r="K131" s="1022"/>
      <c r="L131" s="1022"/>
      <c r="M131" s="1022"/>
      <c r="O131" s="930" t="str">
        <f>'Forecasts '!A321</f>
        <v>Revenue Growth Rates:</v>
      </c>
      <c r="P131" s="935">
        <f>'Forecasts '!B321</f>
        <v>0.10240946878962953</v>
      </c>
      <c r="Q131" s="935">
        <f>'Forecasts '!C321</f>
        <v>-7.6319211891919481E-2</v>
      </c>
      <c r="R131" s="935">
        <f>'Forecasts '!D321</f>
        <v>-0.10478944814840119</v>
      </c>
      <c r="S131" s="935">
        <f>'Forecasts '!E321</f>
        <v>1.0769370479931428E-2</v>
      </c>
      <c r="T131" s="935">
        <f>'Forecasts '!F321</f>
        <v>3.5590248668620816E-2</v>
      </c>
      <c r="U131" s="935">
        <f>'Forecasts '!G321</f>
        <v>4.4576239695074182E-2</v>
      </c>
      <c r="V131" s="935">
        <f>'Forecasts '!H321</f>
        <v>4.6261271846559371E-2</v>
      </c>
      <c r="W131" s="935">
        <f>'Forecasts '!I321</f>
        <v>4.1340155187071348E-2</v>
      </c>
      <c r="X131" s="935">
        <f>'Forecasts '!J321</f>
        <v>3.0000000000000027E-2</v>
      </c>
      <c r="Y131" s="705"/>
      <c r="Z131" s="705"/>
      <c r="AA131" s="705"/>
      <c r="AR131" s="1237"/>
      <c r="AS131" s="1237"/>
      <c r="AT131" s="1237"/>
      <c r="AU131" s="1237"/>
      <c r="AV131" s="1237"/>
      <c r="AW131" s="1237"/>
      <c r="AX131" s="1237"/>
      <c r="AY131" s="1237"/>
      <c r="AZ131" s="1237"/>
      <c r="BA131" s="1237"/>
      <c r="BB131" s="1237"/>
      <c r="BC131" s="1237"/>
      <c r="BD131" s="1237"/>
      <c r="BE131" s="1237"/>
      <c r="BF131" s="1237"/>
      <c r="BG131" s="1237"/>
      <c r="BH131" s="1237"/>
      <c r="BI131" s="1237"/>
      <c r="BJ131" s="1237"/>
      <c r="BK131" s="1237"/>
      <c r="BL131" s="1237"/>
      <c r="BM131" s="1237"/>
      <c r="BN131" s="1237"/>
      <c r="BO131" s="1237"/>
      <c r="BP131" s="1237"/>
      <c r="BQ131" s="1237"/>
      <c r="BR131" s="1237"/>
      <c r="BS131" s="1237"/>
      <c r="BT131" s="1237"/>
      <c r="BU131" s="1237"/>
      <c r="BV131" s="1237"/>
      <c r="BW131" s="1237"/>
      <c r="BX131" s="1237"/>
      <c r="BY131" s="1237"/>
      <c r="BZ131" s="1237"/>
      <c r="CA131" s="1237"/>
      <c r="CB131" s="1237"/>
      <c r="CC131" s="1237"/>
      <c r="CD131" s="1237"/>
      <c r="CE131" s="1237"/>
      <c r="CF131" s="1237"/>
      <c r="CG131" s="1237"/>
      <c r="CH131" s="1237"/>
      <c r="CI131" s="1237"/>
      <c r="CJ131" s="1237"/>
      <c r="CK131" s="1237"/>
      <c r="CL131" s="1237"/>
      <c r="CM131" s="1237"/>
      <c r="CN131" s="1237"/>
      <c r="CO131" s="1237"/>
      <c r="CP131" s="1237"/>
      <c r="CQ131" s="1237"/>
      <c r="CR131" s="1237"/>
      <c r="CS131" s="1237"/>
      <c r="CT131" s="1237"/>
      <c r="CU131" s="1237"/>
      <c r="CV131" s="1237"/>
      <c r="CW131" s="1237"/>
      <c r="CX131" s="1237"/>
      <c r="CY131" s="1237"/>
      <c r="CZ131" s="1237"/>
      <c r="DA131" s="1237"/>
      <c r="DB131" s="1237"/>
      <c r="DC131" s="1237"/>
      <c r="DD131" s="1237"/>
      <c r="DE131" s="1237"/>
      <c r="DF131" s="1237"/>
      <c r="DG131" s="1237"/>
      <c r="DH131" s="1237"/>
      <c r="DI131" s="1237"/>
      <c r="DJ131" s="1237"/>
      <c r="DK131" s="1237"/>
      <c r="DL131" s="1237"/>
      <c r="DM131" s="1237"/>
      <c r="DN131" s="1237"/>
      <c r="DO131" s="1237"/>
      <c r="DP131" s="1237"/>
      <c r="DQ131" s="1237"/>
      <c r="DR131" s="1237"/>
      <c r="DS131" s="1237"/>
      <c r="DT131" s="1237"/>
      <c r="DU131" s="1237"/>
      <c r="DV131" s="1237"/>
      <c r="DW131" s="1237"/>
      <c r="DX131" s="1237"/>
      <c r="DY131" s="1237"/>
      <c r="DZ131" s="1237"/>
      <c r="EA131" s="1237"/>
      <c r="EB131" s="1237"/>
      <c r="EC131" s="1237"/>
      <c r="ED131" s="1237"/>
      <c r="EE131" s="1237"/>
      <c r="EF131" s="1237"/>
      <c r="EG131" s="1237"/>
      <c r="EH131" s="1237"/>
      <c r="EI131" s="1237"/>
      <c r="EJ131" s="1237"/>
      <c r="EK131" s="1237"/>
      <c r="EL131" s="1237"/>
      <c r="EM131" s="1237"/>
      <c r="EN131" s="1237"/>
      <c r="EO131" s="1237"/>
      <c r="EP131" s="1237"/>
      <c r="EQ131" s="1237"/>
      <c r="ER131" s="1237"/>
      <c r="ES131" s="1237"/>
      <c r="ET131" s="1237"/>
      <c r="EU131" s="1237"/>
      <c r="EV131" s="1237"/>
      <c r="EW131" s="1237"/>
      <c r="EX131" s="1237"/>
      <c r="EY131" s="1237"/>
      <c r="EZ131" s="1237"/>
      <c r="FA131" s="1237"/>
      <c r="FB131" s="1237"/>
      <c r="FC131" s="1237"/>
      <c r="FD131" s="1237"/>
      <c r="FE131" s="1237"/>
      <c r="FF131" s="1237"/>
      <c r="FG131" s="1237"/>
      <c r="FH131" s="1237"/>
      <c r="FI131" s="1237"/>
      <c r="FJ131" s="1237"/>
      <c r="FK131" s="1237"/>
      <c r="FL131" s="1237"/>
      <c r="FM131" s="1237"/>
      <c r="FN131" s="1237"/>
      <c r="FO131" s="1237"/>
      <c r="FP131" s="1237"/>
      <c r="FQ131" s="1237"/>
      <c r="FR131" s="1237"/>
      <c r="FS131" s="1237"/>
      <c r="FT131" s="1237"/>
      <c r="FU131" s="1237"/>
      <c r="FV131" s="1237"/>
      <c r="FW131" s="1237"/>
      <c r="FX131" s="1237"/>
      <c r="FY131" s="1237"/>
      <c r="FZ131" s="1237"/>
      <c r="GA131" s="1237"/>
      <c r="GB131" s="1237"/>
      <c r="GC131" s="1237"/>
      <c r="GD131" s="1237"/>
      <c r="GE131" s="1237"/>
      <c r="GF131" s="1237"/>
      <c r="GG131" s="1237"/>
      <c r="GH131" s="1237"/>
      <c r="GI131" s="1237"/>
      <c r="GJ131" s="1237"/>
      <c r="GK131" s="1237"/>
      <c r="GL131" s="1237"/>
      <c r="GM131" s="1237"/>
      <c r="GN131" s="1237"/>
      <c r="GO131" s="1237"/>
      <c r="GP131" s="1237"/>
      <c r="GQ131" s="1237"/>
    </row>
    <row r="132" spans="1:199" ht="12.95" customHeight="1">
      <c r="A132" s="1022"/>
      <c r="B132" s="1022"/>
      <c r="C132" s="1022"/>
      <c r="D132" s="1022"/>
      <c r="E132" s="1022"/>
      <c r="F132" s="1022"/>
      <c r="G132" s="1022"/>
      <c r="H132" s="1022"/>
      <c r="I132" s="1022"/>
      <c r="J132" s="1022"/>
      <c r="K132" s="1022"/>
      <c r="L132" s="1022"/>
      <c r="M132" s="1022"/>
      <c r="O132" s="930" t="str">
        <f>'Forecasts '!A322</f>
        <v>Net Income Growth Rates:</v>
      </c>
      <c r="P132" s="935">
        <f>'Forecasts '!B322</f>
        <v>-0.19454749374514713</v>
      </c>
      <c r="Q132" s="935">
        <f>'Forecasts '!C322</f>
        <v>-0.59855857510099153</v>
      </c>
      <c r="R132" s="935">
        <f>'Forecasts '!D322</f>
        <v>-3.5945873832666284</v>
      </c>
      <c r="S132" s="935">
        <f>'Forecasts '!E322</f>
        <v>-0.42768022497098557</v>
      </c>
      <c r="T132" s="935">
        <f>'Forecasts '!F322</f>
        <v>-0.19850827315921049</v>
      </c>
      <c r="U132" s="935">
        <f>'Forecasts '!G322</f>
        <v>-0.31580743100168351</v>
      </c>
      <c r="V132" s="935">
        <f>'Forecasts '!H322</f>
        <v>-0.49531785759633451</v>
      </c>
      <c r="W132" s="935">
        <f>'Forecasts '!I322</f>
        <v>-0.90763638986780493</v>
      </c>
      <c r="X132" s="935">
        <f>'Forecasts '!J322</f>
        <v>2.9999999999979599E-2</v>
      </c>
      <c r="AR132" s="1237"/>
      <c r="AS132" s="1237"/>
      <c r="AT132" s="1237"/>
      <c r="AU132" s="1237"/>
      <c r="AV132" s="1237"/>
      <c r="AW132" s="1237"/>
      <c r="AX132" s="1237"/>
      <c r="AY132" s="1237"/>
      <c r="AZ132" s="1237"/>
      <c r="BA132" s="1237"/>
      <c r="BB132" s="1237"/>
      <c r="BC132" s="1237"/>
      <c r="BD132" s="1237"/>
      <c r="BE132" s="1237"/>
      <c r="BF132" s="1237"/>
      <c r="BG132" s="1237"/>
      <c r="BH132" s="1237"/>
      <c r="BI132" s="1237"/>
      <c r="BJ132" s="1237"/>
      <c r="BK132" s="1237"/>
      <c r="BL132" s="1237"/>
      <c r="BM132" s="1237"/>
      <c r="BN132" s="1237"/>
      <c r="BO132" s="1237"/>
      <c r="BP132" s="1237"/>
      <c r="BQ132" s="1237"/>
      <c r="BR132" s="1237"/>
      <c r="BS132" s="1237"/>
      <c r="BT132" s="1237"/>
      <c r="BU132" s="1237"/>
      <c r="BV132" s="1237"/>
      <c r="BW132" s="1237"/>
      <c r="BX132" s="1237"/>
      <c r="BY132" s="1237"/>
      <c r="BZ132" s="1237"/>
      <c r="CA132" s="1237"/>
      <c r="CB132" s="1237"/>
      <c r="CC132" s="1237"/>
      <c r="CD132" s="1237"/>
      <c r="CE132" s="1237"/>
      <c r="CF132" s="1237"/>
      <c r="CG132" s="1237"/>
      <c r="CH132" s="1237"/>
      <c r="CI132" s="1237"/>
      <c r="CJ132" s="1237"/>
      <c r="CK132" s="1237"/>
      <c r="CL132" s="1237"/>
      <c r="CM132" s="1237"/>
      <c r="CN132" s="1237"/>
      <c r="CO132" s="1237"/>
      <c r="CP132" s="1237"/>
      <c r="CQ132" s="1237"/>
      <c r="CR132" s="1237"/>
      <c r="CS132" s="1237"/>
      <c r="CT132" s="1237"/>
      <c r="CU132" s="1237"/>
      <c r="CV132" s="1237"/>
      <c r="CW132" s="1237"/>
      <c r="CX132" s="1237"/>
      <c r="CY132" s="1237"/>
      <c r="CZ132" s="1237"/>
      <c r="DA132" s="1237"/>
      <c r="DB132" s="1237"/>
      <c r="DC132" s="1237"/>
      <c r="DD132" s="1237"/>
      <c r="DE132" s="1237"/>
      <c r="DF132" s="1237"/>
      <c r="DG132" s="1237"/>
      <c r="DH132" s="1237"/>
      <c r="DI132" s="1237"/>
      <c r="DJ132" s="1237"/>
      <c r="DK132" s="1237"/>
      <c r="DL132" s="1237"/>
      <c r="DM132" s="1237"/>
      <c r="DN132" s="1237"/>
      <c r="DO132" s="1237"/>
      <c r="DP132" s="1237"/>
      <c r="DQ132" s="1237"/>
      <c r="DR132" s="1237"/>
      <c r="DS132" s="1237"/>
      <c r="DT132" s="1237"/>
      <c r="DU132" s="1237"/>
      <c r="DV132" s="1237"/>
      <c r="DW132" s="1237"/>
      <c r="DX132" s="1237"/>
      <c r="DY132" s="1237"/>
      <c r="DZ132" s="1237"/>
      <c r="EA132" s="1237"/>
      <c r="EB132" s="1237"/>
      <c r="EC132" s="1237"/>
      <c r="ED132" s="1237"/>
      <c r="EE132" s="1237"/>
      <c r="EF132" s="1237"/>
      <c r="EG132" s="1237"/>
      <c r="EH132" s="1237"/>
      <c r="EI132" s="1237"/>
      <c r="EJ132" s="1237"/>
      <c r="EK132" s="1237"/>
      <c r="EL132" s="1237"/>
      <c r="EM132" s="1237"/>
      <c r="EN132" s="1237"/>
      <c r="EO132" s="1237"/>
      <c r="EP132" s="1237"/>
      <c r="EQ132" s="1237"/>
      <c r="ER132" s="1237"/>
      <c r="ES132" s="1237"/>
      <c r="ET132" s="1237"/>
      <c r="EU132" s="1237"/>
      <c r="EV132" s="1237"/>
      <c r="EW132" s="1237"/>
      <c r="EX132" s="1237"/>
      <c r="EY132" s="1237"/>
      <c r="EZ132" s="1237"/>
      <c r="FA132" s="1237"/>
      <c r="FB132" s="1237"/>
      <c r="FC132" s="1237"/>
      <c r="FD132" s="1237"/>
      <c r="FE132" s="1237"/>
      <c r="FF132" s="1237"/>
      <c r="FG132" s="1237"/>
      <c r="FH132" s="1237"/>
      <c r="FI132" s="1237"/>
      <c r="FJ132" s="1237"/>
      <c r="FK132" s="1237"/>
      <c r="FL132" s="1237"/>
      <c r="FM132" s="1237"/>
      <c r="FN132" s="1237"/>
      <c r="FO132" s="1237"/>
      <c r="FP132" s="1237"/>
      <c r="FQ132" s="1237"/>
      <c r="FR132" s="1237"/>
      <c r="FS132" s="1237"/>
      <c r="FT132" s="1237"/>
      <c r="FU132" s="1237"/>
      <c r="FV132" s="1237"/>
      <c r="FW132" s="1237"/>
      <c r="FX132" s="1237"/>
      <c r="FY132" s="1237"/>
      <c r="FZ132" s="1237"/>
      <c r="GA132" s="1237"/>
      <c r="GB132" s="1237"/>
      <c r="GC132" s="1237"/>
      <c r="GD132" s="1237"/>
      <c r="GE132" s="1237"/>
      <c r="GF132" s="1237"/>
      <c r="GG132" s="1237"/>
      <c r="GH132" s="1237"/>
      <c r="GI132" s="1237"/>
      <c r="GJ132" s="1237"/>
      <c r="GK132" s="1237"/>
      <c r="GL132" s="1237"/>
      <c r="GM132" s="1237"/>
      <c r="GN132" s="1237"/>
      <c r="GO132" s="1237"/>
      <c r="GP132" s="1237"/>
      <c r="GQ132" s="1237"/>
    </row>
    <row r="133" spans="1:199" ht="12.95" customHeight="1">
      <c r="A133" s="1022"/>
      <c r="B133" s="1022"/>
      <c r="C133" s="1022"/>
      <c r="D133" s="1022"/>
      <c r="E133" s="1022"/>
      <c r="F133" s="1022"/>
      <c r="G133" s="1022"/>
      <c r="H133" s="1022"/>
      <c r="I133" s="1022"/>
      <c r="J133" s="1022"/>
      <c r="K133" s="1022"/>
      <c r="L133" s="1022"/>
      <c r="M133" s="1022"/>
      <c r="O133" s="936" t="str">
        <f>'Forecasts '!A323</f>
        <v>Total Asset Growth Rates</v>
      </c>
      <c r="P133" s="936">
        <f>'Forecasts '!B323</f>
        <v>-6.9638274686258606E-2</v>
      </c>
      <c r="Q133" s="936">
        <f>'Forecasts '!C323</f>
        <v>9.4935156281789723E-2</v>
      </c>
      <c r="R133" s="936">
        <f>'Forecasts '!D323</f>
        <v>-7.3669865141648527E-2</v>
      </c>
      <c r="S133" s="936">
        <f>'Forecasts '!E323</f>
        <v>1.5794823502912614E-2</v>
      </c>
      <c r="T133" s="936">
        <f>'Forecasts '!F323</f>
        <v>1.3762185682127281E-2</v>
      </c>
      <c r="U133" s="936">
        <f>'Forecasts '!G323</f>
        <v>1.1798407863146343E-2</v>
      </c>
      <c r="V133" s="936">
        <f>'Forecasts '!H323</f>
        <v>9.4828772850532594E-3</v>
      </c>
      <c r="W133" s="936">
        <f>'Forecasts '!I323</f>
        <v>7.7450330905586284E-3</v>
      </c>
      <c r="X133" s="936">
        <f>'Forecasts '!J323</f>
        <v>3.0000000000000027E-2</v>
      </c>
      <c r="AR133" s="1237"/>
      <c r="AS133" s="1237"/>
      <c r="AT133" s="1237"/>
      <c r="AU133" s="1237"/>
      <c r="AV133" s="1237"/>
      <c r="AW133" s="1237"/>
      <c r="AX133" s="1237"/>
      <c r="AY133" s="1237"/>
      <c r="AZ133" s="1237"/>
      <c r="BA133" s="1237"/>
      <c r="BB133" s="1237"/>
      <c r="BC133" s="1237"/>
      <c r="BD133" s="1237"/>
      <c r="BE133" s="1237"/>
      <c r="BF133" s="1237"/>
      <c r="BG133" s="1237"/>
      <c r="BH133" s="1237"/>
      <c r="BI133" s="1237"/>
      <c r="BJ133" s="1237"/>
      <c r="BK133" s="1237"/>
      <c r="BL133" s="1237"/>
      <c r="BM133" s="1237"/>
      <c r="BN133" s="1237"/>
      <c r="BO133" s="1237"/>
      <c r="BP133" s="1237"/>
      <c r="BQ133" s="1237"/>
      <c r="BR133" s="1237"/>
      <c r="BS133" s="1237"/>
      <c r="BT133" s="1237"/>
      <c r="BU133" s="1237"/>
      <c r="BV133" s="1237"/>
      <c r="BW133" s="1237"/>
      <c r="BX133" s="1237"/>
      <c r="BY133" s="1237"/>
      <c r="BZ133" s="1237"/>
      <c r="CA133" s="1237"/>
      <c r="CB133" s="1237"/>
      <c r="CC133" s="1237"/>
      <c r="CD133" s="1237"/>
      <c r="CE133" s="1237"/>
      <c r="CF133" s="1237"/>
      <c r="CG133" s="1237"/>
      <c r="CH133" s="1237"/>
      <c r="CI133" s="1237"/>
      <c r="CJ133" s="1237"/>
      <c r="CK133" s="1237"/>
      <c r="CL133" s="1237"/>
      <c r="CM133" s="1237"/>
      <c r="CN133" s="1237"/>
      <c r="CO133" s="1237"/>
      <c r="CP133" s="1237"/>
      <c r="CQ133" s="1237"/>
      <c r="CR133" s="1237"/>
      <c r="CS133" s="1237"/>
      <c r="CT133" s="1237"/>
      <c r="CU133" s="1237"/>
      <c r="CV133" s="1237"/>
      <c r="CW133" s="1237"/>
      <c r="CX133" s="1237"/>
      <c r="CY133" s="1237"/>
      <c r="CZ133" s="1237"/>
      <c r="DA133" s="1237"/>
      <c r="DB133" s="1237"/>
      <c r="DC133" s="1237"/>
      <c r="DD133" s="1237"/>
      <c r="DE133" s="1237"/>
      <c r="DF133" s="1237"/>
      <c r="DG133" s="1237"/>
      <c r="DH133" s="1237"/>
      <c r="DI133" s="1237"/>
      <c r="DJ133" s="1237"/>
      <c r="DK133" s="1237"/>
      <c r="DL133" s="1237"/>
      <c r="DM133" s="1237"/>
      <c r="DN133" s="1237"/>
      <c r="DO133" s="1237"/>
      <c r="DP133" s="1237"/>
      <c r="DQ133" s="1237"/>
      <c r="DR133" s="1237"/>
      <c r="DS133" s="1237"/>
      <c r="DT133" s="1237"/>
      <c r="DU133" s="1237"/>
      <c r="DV133" s="1237"/>
      <c r="DW133" s="1237"/>
      <c r="DX133" s="1237"/>
      <c r="DY133" s="1237"/>
      <c r="DZ133" s="1237"/>
      <c r="EA133" s="1237"/>
      <c r="EB133" s="1237"/>
      <c r="EC133" s="1237"/>
      <c r="ED133" s="1237"/>
      <c r="EE133" s="1237"/>
      <c r="EF133" s="1237"/>
      <c r="EG133" s="1237"/>
      <c r="EH133" s="1237"/>
      <c r="EI133" s="1237"/>
      <c r="EJ133" s="1237"/>
      <c r="EK133" s="1237"/>
      <c r="EL133" s="1237"/>
      <c r="EM133" s="1237"/>
      <c r="EN133" s="1237"/>
      <c r="EO133" s="1237"/>
      <c r="EP133" s="1237"/>
      <c r="EQ133" s="1237"/>
      <c r="ER133" s="1237"/>
      <c r="ES133" s="1237"/>
      <c r="ET133" s="1237"/>
      <c r="EU133" s="1237"/>
      <c r="EV133" s="1237"/>
      <c r="EW133" s="1237"/>
      <c r="EX133" s="1237"/>
      <c r="EY133" s="1237"/>
      <c r="EZ133" s="1237"/>
      <c r="FA133" s="1237"/>
      <c r="FB133" s="1237"/>
      <c r="FC133" s="1237"/>
      <c r="FD133" s="1237"/>
      <c r="FE133" s="1237"/>
      <c r="FF133" s="1237"/>
      <c r="FG133" s="1237"/>
      <c r="FH133" s="1237"/>
      <c r="FI133" s="1237"/>
      <c r="FJ133" s="1237"/>
      <c r="FK133" s="1237"/>
      <c r="FL133" s="1237"/>
      <c r="FM133" s="1237"/>
      <c r="FN133" s="1237"/>
      <c r="FO133" s="1237"/>
      <c r="FP133" s="1237"/>
      <c r="FQ133" s="1237"/>
      <c r="FR133" s="1237"/>
      <c r="FS133" s="1237"/>
      <c r="FT133" s="1237"/>
      <c r="FU133" s="1237"/>
      <c r="FV133" s="1237"/>
      <c r="FW133" s="1237"/>
      <c r="FX133" s="1237"/>
      <c r="FY133" s="1237"/>
      <c r="FZ133" s="1237"/>
      <c r="GA133" s="1237"/>
      <c r="GB133" s="1237"/>
      <c r="GC133" s="1237"/>
      <c r="GD133" s="1237"/>
      <c r="GE133" s="1237"/>
      <c r="GF133" s="1237"/>
      <c r="GG133" s="1237"/>
      <c r="GH133" s="1237"/>
      <c r="GI133" s="1237"/>
      <c r="GJ133" s="1237"/>
      <c r="GK133" s="1237"/>
      <c r="GL133" s="1237"/>
      <c r="GM133" s="1237"/>
      <c r="GN133" s="1237"/>
      <c r="GO133" s="1237"/>
      <c r="GP133" s="1237"/>
      <c r="GQ133" s="1237"/>
    </row>
    <row r="134" spans="1:199" ht="12.95" customHeight="1">
      <c r="K134" s="675"/>
      <c r="O134" s="937"/>
      <c r="P134" s="937"/>
      <c r="Q134" s="937"/>
      <c r="R134" s="931"/>
      <c r="S134" s="937"/>
      <c r="T134" s="937"/>
      <c r="U134" s="937"/>
      <c r="V134" s="937"/>
      <c r="W134" s="937"/>
      <c r="X134" s="937"/>
      <c r="AR134" s="1237"/>
      <c r="AS134" s="1237"/>
      <c r="AT134" s="1237"/>
      <c r="AU134" s="1237"/>
      <c r="AV134" s="1237"/>
      <c r="AW134" s="1237"/>
      <c r="AX134" s="1237"/>
      <c r="AY134" s="1237"/>
      <c r="AZ134" s="1237"/>
      <c r="BA134" s="1237"/>
      <c r="BB134" s="1237"/>
      <c r="BC134" s="1237"/>
      <c r="BD134" s="1237"/>
      <c r="BE134" s="1237"/>
      <c r="BF134" s="1237"/>
      <c r="BG134" s="1237"/>
      <c r="BH134" s="1237"/>
      <c r="BI134" s="1237"/>
      <c r="BJ134" s="1237"/>
      <c r="BK134" s="1237"/>
      <c r="BL134" s="1237"/>
      <c r="BM134" s="1237"/>
      <c r="BN134" s="1237"/>
      <c r="BO134" s="1237"/>
      <c r="BP134" s="1237"/>
      <c r="BQ134" s="1237"/>
      <c r="BR134" s="1237"/>
      <c r="BS134" s="1237"/>
      <c r="BT134" s="1237"/>
      <c r="BU134" s="1237"/>
      <c r="BV134" s="1237"/>
      <c r="BW134" s="1237"/>
      <c r="BX134" s="1237"/>
      <c r="BY134" s="1237"/>
      <c r="BZ134" s="1237"/>
      <c r="CA134" s="1237"/>
      <c r="CB134" s="1237"/>
      <c r="CC134" s="1237"/>
      <c r="CD134" s="1237"/>
      <c r="CE134" s="1237"/>
      <c r="CF134" s="1237"/>
      <c r="CG134" s="1237"/>
      <c r="CH134" s="1237"/>
      <c r="CI134" s="1237"/>
      <c r="CJ134" s="1237"/>
      <c r="CK134" s="1237"/>
      <c r="CL134" s="1237"/>
      <c r="CM134" s="1237"/>
      <c r="CN134" s="1237"/>
      <c r="CO134" s="1237"/>
      <c r="CP134" s="1237"/>
      <c r="CQ134" s="1237"/>
      <c r="CR134" s="1237"/>
      <c r="CS134" s="1237"/>
      <c r="CT134" s="1237"/>
      <c r="CU134" s="1237"/>
      <c r="CV134" s="1237"/>
      <c r="CW134" s="1237"/>
      <c r="CX134" s="1237"/>
      <c r="CY134" s="1237"/>
      <c r="CZ134" s="1237"/>
      <c r="DA134" s="1237"/>
      <c r="DB134" s="1237"/>
      <c r="DC134" s="1237"/>
      <c r="DD134" s="1237"/>
      <c r="DE134" s="1237"/>
      <c r="DF134" s="1237"/>
      <c r="DG134" s="1237"/>
      <c r="DH134" s="1237"/>
      <c r="DI134" s="1237"/>
      <c r="DJ134" s="1237"/>
      <c r="DK134" s="1237"/>
      <c r="DL134" s="1237"/>
      <c r="DM134" s="1237"/>
      <c r="DN134" s="1237"/>
      <c r="DO134" s="1237"/>
      <c r="DP134" s="1237"/>
      <c r="DQ134" s="1237"/>
      <c r="DR134" s="1237"/>
      <c r="DS134" s="1237"/>
      <c r="DT134" s="1237"/>
      <c r="DU134" s="1237"/>
      <c r="DV134" s="1237"/>
      <c r="DW134" s="1237"/>
      <c r="DX134" s="1237"/>
      <c r="DY134" s="1237"/>
      <c r="DZ134" s="1237"/>
      <c r="EA134" s="1237"/>
      <c r="EB134" s="1237"/>
      <c r="EC134" s="1237"/>
      <c r="ED134" s="1237"/>
      <c r="EE134" s="1237"/>
      <c r="EF134" s="1237"/>
      <c r="EG134" s="1237"/>
      <c r="EH134" s="1237"/>
      <c r="EI134" s="1237"/>
      <c r="EJ134" s="1237"/>
      <c r="EK134" s="1237"/>
      <c r="EL134" s="1237"/>
      <c r="EM134" s="1237"/>
      <c r="EN134" s="1237"/>
      <c r="EO134" s="1237"/>
      <c r="EP134" s="1237"/>
      <c r="EQ134" s="1237"/>
      <c r="ER134" s="1237"/>
      <c r="ES134" s="1237"/>
      <c r="ET134" s="1237"/>
      <c r="EU134" s="1237"/>
      <c r="EV134" s="1237"/>
      <c r="EW134" s="1237"/>
      <c r="EX134" s="1237"/>
      <c r="EY134" s="1237"/>
      <c r="EZ134" s="1237"/>
      <c r="FA134" s="1237"/>
      <c r="FB134" s="1237"/>
      <c r="FC134" s="1237"/>
      <c r="FD134" s="1237"/>
      <c r="FE134" s="1237"/>
      <c r="FF134" s="1237"/>
      <c r="FG134" s="1237"/>
      <c r="FH134" s="1237"/>
      <c r="FI134" s="1237"/>
      <c r="FJ134" s="1237"/>
      <c r="FK134" s="1237"/>
      <c r="FL134" s="1237"/>
      <c r="FM134" s="1237"/>
      <c r="FN134" s="1237"/>
      <c r="FO134" s="1237"/>
      <c r="FP134" s="1237"/>
      <c r="FQ134" s="1237"/>
      <c r="FR134" s="1237"/>
      <c r="FS134" s="1237"/>
      <c r="FT134" s="1237"/>
      <c r="FU134" s="1237"/>
      <c r="FV134" s="1237"/>
      <c r="FW134" s="1237"/>
      <c r="FX134" s="1237"/>
      <c r="FY134" s="1237"/>
      <c r="FZ134" s="1237"/>
      <c r="GA134" s="1237"/>
      <c r="GB134" s="1237"/>
      <c r="GC134" s="1237"/>
      <c r="GD134" s="1237"/>
      <c r="GE134" s="1237"/>
      <c r="GF134" s="1237"/>
      <c r="GG134" s="1237"/>
      <c r="GH134" s="1237"/>
      <c r="GI134" s="1237"/>
      <c r="GJ134" s="1237"/>
      <c r="GK134" s="1237"/>
      <c r="GL134" s="1237"/>
      <c r="GM134" s="1237"/>
      <c r="GN134" s="1237"/>
      <c r="GO134" s="1237"/>
      <c r="GP134" s="1237"/>
      <c r="GQ134" s="1237"/>
    </row>
    <row r="135" spans="1:199" ht="12.95" customHeight="1">
      <c r="K135" s="675"/>
      <c r="O135" s="934" t="s">
        <v>1153</v>
      </c>
      <c r="P135" s="938"/>
      <c r="Q135" s="930"/>
      <c r="R135" s="931"/>
      <c r="S135" s="930"/>
      <c r="T135" s="930"/>
      <c r="U135" s="930"/>
      <c r="V135" s="930"/>
      <c r="W135" s="930"/>
      <c r="X135" s="930"/>
      <c r="AR135" s="1237"/>
      <c r="AS135" s="1237"/>
      <c r="AT135" s="1237"/>
      <c r="AU135" s="1237"/>
      <c r="AV135" s="1237"/>
      <c r="AW135" s="1237"/>
      <c r="AX135" s="1237"/>
      <c r="AY135" s="1237"/>
      <c r="AZ135" s="1237"/>
      <c r="BA135" s="1237"/>
      <c r="BB135" s="1237"/>
      <c r="BC135" s="1237"/>
      <c r="BD135" s="1237"/>
      <c r="BE135" s="1237"/>
      <c r="BF135" s="1237"/>
      <c r="BG135" s="1237"/>
      <c r="BH135" s="1237"/>
      <c r="BI135" s="1237"/>
      <c r="BJ135" s="1237"/>
      <c r="BK135" s="1237"/>
      <c r="BL135" s="1237"/>
      <c r="BM135" s="1237"/>
      <c r="BN135" s="1237"/>
      <c r="BO135" s="1237"/>
      <c r="BP135" s="1237"/>
      <c r="BQ135" s="1237"/>
      <c r="BR135" s="1237"/>
      <c r="BS135" s="1237"/>
      <c r="BT135" s="1237"/>
      <c r="BU135" s="1237"/>
      <c r="BV135" s="1237"/>
      <c r="BW135" s="1237"/>
      <c r="BX135" s="1237"/>
      <c r="BY135" s="1237"/>
      <c r="BZ135" s="1237"/>
      <c r="CA135" s="1237"/>
      <c r="CB135" s="1237"/>
      <c r="CC135" s="1237"/>
      <c r="CD135" s="1237"/>
      <c r="CE135" s="1237"/>
      <c r="CF135" s="1237"/>
      <c r="CG135" s="1237"/>
      <c r="CH135" s="1237"/>
      <c r="CI135" s="1237"/>
      <c r="CJ135" s="1237"/>
      <c r="CK135" s="1237"/>
      <c r="CL135" s="1237"/>
      <c r="CM135" s="1237"/>
      <c r="CN135" s="1237"/>
      <c r="CO135" s="1237"/>
      <c r="CP135" s="1237"/>
      <c r="CQ135" s="1237"/>
      <c r="CR135" s="1237"/>
      <c r="CS135" s="1237"/>
      <c r="CT135" s="1237"/>
      <c r="CU135" s="1237"/>
      <c r="CV135" s="1237"/>
      <c r="CW135" s="1237"/>
      <c r="CX135" s="1237"/>
      <c r="CY135" s="1237"/>
      <c r="CZ135" s="1237"/>
      <c r="DA135" s="1237"/>
      <c r="DB135" s="1237"/>
      <c r="DC135" s="1237"/>
      <c r="DD135" s="1237"/>
      <c r="DE135" s="1237"/>
      <c r="DF135" s="1237"/>
      <c r="DG135" s="1237"/>
      <c r="DH135" s="1237"/>
      <c r="DI135" s="1237"/>
      <c r="DJ135" s="1237"/>
      <c r="DK135" s="1237"/>
      <c r="DL135" s="1237"/>
      <c r="DM135" s="1237"/>
      <c r="DN135" s="1237"/>
      <c r="DO135" s="1237"/>
      <c r="DP135" s="1237"/>
      <c r="DQ135" s="1237"/>
      <c r="DR135" s="1237"/>
      <c r="DS135" s="1237"/>
      <c r="DT135" s="1237"/>
      <c r="DU135" s="1237"/>
      <c r="DV135" s="1237"/>
      <c r="DW135" s="1237"/>
      <c r="DX135" s="1237"/>
      <c r="DY135" s="1237"/>
      <c r="DZ135" s="1237"/>
      <c r="EA135" s="1237"/>
      <c r="EB135" s="1237"/>
      <c r="EC135" s="1237"/>
      <c r="ED135" s="1237"/>
      <c r="EE135" s="1237"/>
      <c r="EF135" s="1237"/>
      <c r="EG135" s="1237"/>
      <c r="EH135" s="1237"/>
      <c r="EI135" s="1237"/>
      <c r="EJ135" s="1237"/>
      <c r="EK135" s="1237"/>
      <c r="EL135" s="1237"/>
      <c r="EM135" s="1237"/>
      <c r="EN135" s="1237"/>
      <c r="EO135" s="1237"/>
      <c r="EP135" s="1237"/>
      <c r="EQ135" s="1237"/>
      <c r="ER135" s="1237"/>
      <c r="ES135" s="1237"/>
      <c r="ET135" s="1237"/>
      <c r="EU135" s="1237"/>
      <c r="EV135" s="1237"/>
      <c r="EW135" s="1237"/>
      <c r="EX135" s="1237"/>
      <c r="EY135" s="1237"/>
      <c r="EZ135" s="1237"/>
      <c r="FA135" s="1237"/>
      <c r="FB135" s="1237"/>
      <c r="FC135" s="1237"/>
      <c r="FD135" s="1237"/>
      <c r="FE135" s="1237"/>
      <c r="FF135" s="1237"/>
      <c r="FG135" s="1237"/>
      <c r="FH135" s="1237"/>
      <c r="FI135" s="1237"/>
      <c r="FJ135" s="1237"/>
      <c r="FK135" s="1237"/>
      <c r="FL135" s="1237"/>
      <c r="FM135" s="1237"/>
      <c r="FN135" s="1237"/>
      <c r="FO135" s="1237"/>
      <c r="FP135" s="1237"/>
      <c r="FQ135" s="1237"/>
      <c r="FR135" s="1237"/>
      <c r="FS135" s="1237"/>
      <c r="FT135" s="1237"/>
      <c r="FU135" s="1237"/>
      <c r="FV135" s="1237"/>
      <c r="FW135" s="1237"/>
      <c r="FX135" s="1237"/>
      <c r="FY135" s="1237"/>
      <c r="FZ135" s="1237"/>
      <c r="GA135" s="1237"/>
      <c r="GB135" s="1237"/>
      <c r="GC135" s="1237"/>
      <c r="GD135" s="1237"/>
      <c r="GE135" s="1237"/>
      <c r="GF135" s="1237"/>
      <c r="GG135" s="1237"/>
      <c r="GH135" s="1237"/>
      <c r="GI135" s="1237"/>
      <c r="GJ135" s="1237"/>
      <c r="GK135" s="1237"/>
      <c r="GL135" s="1237"/>
      <c r="GM135" s="1237"/>
      <c r="GN135" s="1237"/>
      <c r="GO135" s="1237"/>
      <c r="GP135" s="1237"/>
      <c r="GQ135" s="1237"/>
    </row>
    <row r="136" spans="1:199" ht="12.95" customHeight="1">
      <c r="K136" s="675"/>
      <c r="O136" s="930" t="str">
        <f>'Forecasts '!A326</f>
        <v xml:space="preserve">  Profit Margin for ROA</v>
      </c>
      <c r="P136" s="935">
        <f>'Forecasts '!B326</f>
        <v>0.10187454465860579</v>
      </c>
      <c r="Q136" s="935">
        <f>'Forecasts '!C326</f>
        <v>7.0096655541823677E-2</v>
      </c>
      <c r="R136" s="935">
        <f>'Forecasts '!D326</f>
        <v>-1.6348113140103523E-2</v>
      </c>
      <c r="S136" s="935">
        <f>'Forecasts '!E326</f>
        <v>-9.4809101869715133E-3</v>
      </c>
      <c r="T136" s="935">
        <f>'Forecasts '!F326</f>
        <v>-1.4816433070964582E-3</v>
      </c>
      <c r="U136" s="935">
        <f>'Forecasts '!G326</f>
        <v>7.8175131212119969E-3</v>
      </c>
      <c r="V136" s="935">
        <f>'Forecasts '!H326</f>
        <v>1.6918137207934093E-2</v>
      </c>
      <c r="W136" s="935">
        <f>'Forecasts '!I326</f>
        <v>2.4682230219295723E-2</v>
      </c>
      <c r="X136" s="935">
        <f>'Forecasts '!J326</f>
        <v>2.4682230219295661E-2</v>
      </c>
      <c r="AR136" s="1237"/>
      <c r="AS136" s="1237"/>
      <c r="AT136" s="1237"/>
      <c r="AU136" s="1237"/>
      <c r="AV136" s="1237"/>
      <c r="AW136" s="1237"/>
      <c r="AX136" s="1237"/>
      <c r="AY136" s="1237"/>
      <c r="AZ136" s="1237"/>
      <c r="BA136" s="1237"/>
      <c r="BB136" s="1237"/>
      <c r="BC136" s="1237"/>
      <c r="BD136" s="1237"/>
      <c r="BE136" s="1237"/>
      <c r="BF136" s="1237"/>
      <c r="BG136" s="1237"/>
      <c r="BH136" s="1237"/>
      <c r="BI136" s="1237"/>
      <c r="BJ136" s="1237"/>
      <c r="BK136" s="1237"/>
      <c r="BL136" s="1237"/>
      <c r="BM136" s="1237"/>
      <c r="BN136" s="1237"/>
      <c r="BO136" s="1237"/>
      <c r="BP136" s="1237"/>
      <c r="BQ136" s="1237"/>
      <c r="BR136" s="1237"/>
      <c r="BS136" s="1237"/>
      <c r="BT136" s="1237"/>
      <c r="BU136" s="1237"/>
      <c r="BV136" s="1237"/>
      <c r="BW136" s="1237"/>
      <c r="BX136" s="1237"/>
      <c r="BY136" s="1237"/>
      <c r="BZ136" s="1237"/>
      <c r="CA136" s="1237"/>
      <c r="CB136" s="1237"/>
      <c r="CC136" s="1237"/>
      <c r="CD136" s="1237"/>
      <c r="CE136" s="1237"/>
      <c r="CF136" s="1237"/>
      <c r="CG136" s="1237"/>
      <c r="CH136" s="1237"/>
      <c r="CI136" s="1237"/>
      <c r="CJ136" s="1237"/>
      <c r="CK136" s="1237"/>
      <c r="CL136" s="1237"/>
      <c r="CM136" s="1237"/>
      <c r="CN136" s="1237"/>
      <c r="CO136" s="1237"/>
      <c r="CP136" s="1237"/>
      <c r="CQ136" s="1237"/>
      <c r="CR136" s="1237"/>
      <c r="CS136" s="1237"/>
      <c r="CT136" s="1237"/>
      <c r="CU136" s="1237"/>
      <c r="CV136" s="1237"/>
      <c r="CW136" s="1237"/>
      <c r="CX136" s="1237"/>
      <c r="CY136" s="1237"/>
      <c r="CZ136" s="1237"/>
      <c r="DA136" s="1237"/>
      <c r="DB136" s="1237"/>
      <c r="DC136" s="1237"/>
      <c r="DD136" s="1237"/>
      <c r="DE136" s="1237"/>
      <c r="DF136" s="1237"/>
      <c r="DG136" s="1237"/>
      <c r="DH136" s="1237"/>
      <c r="DI136" s="1237"/>
      <c r="DJ136" s="1237"/>
      <c r="DK136" s="1237"/>
      <c r="DL136" s="1237"/>
      <c r="DM136" s="1237"/>
      <c r="DN136" s="1237"/>
      <c r="DO136" s="1237"/>
      <c r="DP136" s="1237"/>
      <c r="DQ136" s="1237"/>
      <c r="DR136" s="1237"/>
      <c r="DS136" s="1237"/>
      <c r="DT136" s="1237"/>
      <c r="DU136" s="1237"/>
      <c r="DV136" s="1237"/>
      <c r="DW136" s="1237"/>
      <c r="DX136" s="1237"/>
      <c r="DY136" s="1237"/>
      <c r="DZ136" s="1237"/>
      <c r="EA136" s="1237"/>
      <c r="EB136" s="1237"/>
      <c r="EC136" s="1237"/>
      <c r="ED136" s="1237"/>
      <c r="EE136" s="1237"/>
      <c r="EF136" s="1237"/>
      <c r="EG136" s="1237"/>
      <c r="EH136" s="1237"/>
      <c r="EI136" s="1237"/>
      <c r="EJ136" s="1237"/>
      <c r="EK136" s="1237"/>
      <c r="EL136" s="1237"/>
      <c r="EM136" s="1237"/>
      <c r="EN136" s="1237"/>
      <c r="EO136" s="1237"/>
      <c r="EP136" s="1237"/>
      <c r="EQ136" s="1237"/>
      <c r="ER136" s="1237"/>
      <c r="ES136" s="1237"/>
      <c r="ET136" s="1237"/>
      <c r="EU136" s="1237"/>
      <c r="EV136" s="1237"/>
      <c r="EW136" s="1237"/>
      <c r="EX136" s="1237"/>
      <c r="EY136" s="1237"/>
      <c r="EZ136" s="1237"/>
      <c r="FA136" s="1237"/>
      <c r="FB136" s="1237"/>
      <c r="FC136" s="1237"/>
      <c r="FD136" s="1237"/>
      <c r="FE136" s="1237"/>
      <c r="FF136" s="1237"/>
      <c r="FG136" s="1237"/>
      <c r="FH136" s="1237"/>
      <c r="FI136" s="1237"/>
      <c r="FJ136" s="1237"/>
      <c r="FK136" s="1237"/>
      <c r="FL136" s="1237"/>
      <c r="FM136" s="1237"/>
      <c r="FN136" s="1237"/>
      <c r="FO136" s="1237"/>
      <c r="FP136" s="1237"/>
      <c r="FQ136" s="1237"/>
      <c r="FR136" s="1237"/>
      <c r="FS136" s="1237"/>
      <c r="FT136" s="1237"/>
      <c r="FU136" s="1237"/>
      <c r="FV136" s="1237"/>
      <c r="FW136" s="1237"/>
      <c r="FX136" s="1237"/>
      <c r="FY136" s="1237"/>
      <c r="FZ136" s="1237"/>
      <c r="GA136" s="1237"/>
      <c r="GB136" s="1237"/>
      <c r="GC136" s="1237"/>
      <c r="GD136" s="1237"/>
      <c r="GE136" s="1237"/>
      <c r="GF136" s="1237"/>
      <c r="GG136" s="1237"/>
      <c r="GH136" s="1237"/>
      <c r="GI136" s="1237"/>
      <c r="GJ136" s="1237"/>
      <c r="GK136" s="1237"/>
      <c r="GL136" s="1237"/>
      <c r="GM136" s="1237"/>
      <c r="GN136" s="1237"/>
      <c r="GO136" s="1237"/>
      <c r="GP136" s="1237"/>
      <c r="GQ136" s="1237"/>
    </row>
    <row r="137" spans="1:199" ht="12.95" customHeight="1">
      <c r="K137" s="675"/>
      <c r="O137" s="930" t="str">
        <f>'Forecasts '!A327</f>
        <v>x Asset Turnover</v>
      </c>
      <c r="P137" s="939">
        <f>'Forecasts '!B327</f>
        <v>0.70142168941360394</v>
      </c>
      <c r="Q137" s="939">
        <f>'Forecasts '!C327</f>
        <v>0.64167833921955575</v>
      </c>
      <c r="R137" s="939">
        <f>'Forecasts '!D327</f>
        <v>0.5705504310797429</v>
      </c>
      <c r="S137" s="939">
        <f>'Forecasts '!E327</f>
        <v>0.59492841375652339</v>
      </c>
      <c r="T137" s="939">
        <f>'Forecasts '!F327</f>
        <v>0.60713436085493544</v>
      </c>
      <c r="U137" s="939">
        <f>'Forecasts '!G327</f>
        <v>0.62619931652933669</v>
      </c>
      <c r="V137" s="939">
        <f>'Forecasts '!H327</f>
        <v>0.64827443843115906</v>
      </c>
      <c r="W137" s="939">
        <f>'Forecasts '!I327</f>
        <v>0.66931152931050553</v>
      </c>
      <c r="X137" s="939">
        <f>'Forecasts '!J327</f>
        <v>0.67659282310279378</v>
      </c>
      <c r="AR137" s="1237"/>
      <c r="AS137" s="1237"/>
      <c r="AT137" s="1237"/>
      <c r="AU137" s="1237"/>
      <c r="AV137" s="1237"/>
      <c r="AW137" s="1237"/>
      <c r="AX137" s="1237"/>
      <c r="AY137" s="1237"/>
      <c r="AZ137" s="1237"/>
      <c r="BA137" s="1237"/>
      <c r="BB137" s="1237"/>
      <c r="BC137" s="1237"/>
      <c r="BD137" s="1237"/>
      <c r="BE137" s="1237"/>
      <c r="BF137" s="1237"/>
      <c r="BG137" s="1237"/>
      <c r="BH137" s="1237"/>
      <c r="BI137" s="1237"/>
      <c r="BJ137" s="1237"/>
      <c r="BK137" s="1237"/>
      <c r="BL137" s="1237"/>
      <c r="BM137" s="1237"/>
      <c r="BN137" s="1237"/>
      <c r="BO137" s="1237"/>
      <c r="BP137" s="1237"/>
      <c r="BQ137" s="1237"/>
      <c r="BR137" s="1237"/>
      <c r="BS137" s="1237"/>
      <c r="BT137" s="1237"/>
      <c r="BU137" s="1237"/>
      <c r="BV137" s="1237"/>
      <c r="BW137" s="1237"/>
      <c r="BX137" s="1237"/>
      <c r="BY137" s="1237"/>
      <c r="BZ137" s="1237"/>
      <c r="CA137" s="1237"/>
      <c r="CB137" s="1237"/>
      <c r="CC137" s="1237"/>
      <c r="CD137" s="1237"/>
      <c r="CE137" s="1237"/>
      <c r="CF137" s="1237"/>
      <c r="CG137" s="1237"/>
      <c r="CH137" s="1237"/>
      <c r="CI137" s="1237"/>
      <c r="CJ137" s="1237"/>
      <c r="CK137" s="1237"/>
      <c r="CL137" s="1237"/>
      <c r="CM137" s="1237"/>
      <c r="CN137" s="1237"/>
      <c r="CO137" s="1237"/>
      <c r="CP137" s="1237"/>
      <c r="CQ137" s="1237"/>
      <c r="CR137" s="1237"/>
      <c r="CS137" s="1237"/>
      <c r="CT137" s="1237"/>
      <c r="CU137" s="1237"/>
      <c r="CV137" s="1237"/>
      <c r="CW137" s="1237"/>
      <c r="CX137" s="1237"/>
      <c r="CY137" s="1237"/>
      <c r="CZ137" s="1237"/>
      <c r="DA137" s="1237"/>
      <c r="DB137" s="1237"/>
      <c r="DC137" s="1237"/>
      <c r="DD137" s="1237"/>
      <c r="DE137" s="1237"/>
      <c r="DF137" s="1237"/>
      <c r="DG137" s="1237"/>
      <c r="DH137" s="1237"/>
      <c r="DI137" s="1237"/>
      <c r="DJ137" s="1237"/>
      <c r="DK137" s="1237"/>
      <c r="DL137" s="1237"/>
      <c r="DM137" s="1237"/>
      <c r="DN137" s="1237"/>
      <c r="DO137" s="1237"/>
      <c r="DP137" s="1237"/>
      <c r="DQ137" s="1237"/>
      <c r="DR137" s="1237"/>
      <c r="DS137" s="1237"/>
      <c r="DT137" s="1237"/>
      <c r="DU137" s="1237"/>
      <c r="DV137" s="1237"/>
      <c r="DW137" s="1237"/>
      <c r="DX137" s="1237"/>
      <c r="DY137" s="1237"/>
      <c r="DZ137" s="1237"/>
      <c r="EA137" s="1237"/>
      <c r="EB137" s="1237"/>
      <c r="EC137" s="1237"/>
      <c r="ED137" s="1237"/>
      <c r="EE137" s="1237"/>
      <c r="EF137" s="1237"/>
      <c r="EG137" s="1237"/>
      <c r="EH137" s="1237"/>
      <c r="EI137" s="1237"/>
      <c r="EJ137" s="1237"/>
      <c r="EK137" s="1237"/>
      <c r="EL137" s="1237"/>
      <c r="EM137" s="1237"/>
      <c r="EN137" s="1237"/>
      <c r="EO137" s="1237"/>
      <c r="EP137" s="1237"/>
      <c r="EQ137" s="1237"/>
      <c r="ER137" s="1237"/>
      <c r="ES137" s="1237"/>
      <c r="ET137" s="1237"/>
      <c r="EU137" s="1237"/>
      <c r="EV137" s="1237"/>
      <c r="EW137" s="1237"/>
      <c r="EX137" s="1237"/>
      <c r="EY137" s="1237"/>
      <c r="EZ137" s="1237"/>
      <c r="FA137" s="1237"/>
      <c r="FB137" s="1237"/>
      <c r="FC137" s="1237"/>
      <c r="FD137" s="1237"/>
      <c r="FE137" s="1237"/>
      <c r="FF137" s="1237"/>
      <c r="FG137" s="1237"/>
      <c r="FH137" s="1237"/>
      <c r="FI137" s="1237"/>
      <c r="FJ137" s="1237"/>
      <c r="FK137" s="1237"/>
      <c r="FL137" s="1237"/>
      <c r="FM137" s="1237"/>
      <c r="FN137" s="1237"/>
      <c r="FO137" s="1237"/>
      <c r="FP137" s="1237"/>
      <c r="FQ137" s="1237"/>
      <c r="FR137" s="1237"/>
      <c r="FS137" s="1237"/>
      <c r="FT137" s="1237"/>
      <c r="FU137" s="1237"/>
      <c r="FV137" s="1237"/>
      <c r="FW137" s="1237"/>
      <c r="FX137" s="1237"/>
      <c r="FY137" s="1237"/>
      <c r="FZ137" s="1237"/>
      <c r="GA137" s="1237"/>
      <c r="GB137" s="1237"/>
      <c r="GC137" s="1237"/>
      <c r="GD137" s="1237"/>
      <c r="GE137" s="1237"/>
      <c r="GF137" s="1237"/>
      <c r="GG137" s="1237"/>
      <c r="GH137" s="1237"/>
      <c r="GI137" s="1237"/>
      <c r="GJ137" s="1237"/>
      <c r="GK137" s="1237"/>
      <c r="GL137" s="1237"/>
      <c r="GM137" s="1237"/>
      <c r="GN137" s="1237"/>
      <c r="GO137" s="1237"/>
      <c r="GP137" s="1237"/>
      <c r="GQ137" s="1237"/>
    </row>
    <row r="138" spans="1:199" ht="12.95" customHeight="1">
      <c r="K138" s="675"/>
      <c r="O138" s="936" t="str">
        <f>'Forecasts '!A328</f>
        <v>= Return on Assets</v>
      </c>
      <c r="P138" s="936">
        <f>'Forecasts '!B328</f>
        <v>7.1457015222680914E-2</v>
      </c>
      <c r="Q138" s="936">
        <f>'Forecasts '!C328</f>
        <v>4.4979505512922686E-2</v>
      </c>
      <c r="R138" s="936">
        <f>'Forecasts '!D328</f>
        <v>-9.3274229994264757E-3</v>
      </c>
      <c r="S138" s="936">
        <f>'Forecasts '!E328</f>
        <v>-5.6404628585030262E-3</v>
      </c>
      <c r="T138" s="936">
        <f>'Forecasts '!F328</f>
        <v>-8.9955656226900092E-4</v>
      </c>
      <c r="U138" s="936">
        <f>'Forecasts '!G328</f>
        <v>4.895321373462074E-3</v>
      </c>
      <c r="V138" s="936">
        <f>'Forecasts '!H328</f>
        <v>1.096759589777477E-2</v>
      </c>
      <c r="W138" s="936">
        <f>'Forecasts '!I328</f>
        <v>1.6520101254870793E-2</v>
      </c>
      <c r="X138" s="936">
        <f>'Forecasts '!J328</f>
        <v>1.6699819824546342E-2</v>
      </c>
      <c r="AR138" s="1237"/>
      <c r="AS138" s="1237"/>
      <c r="AT138" s="1237"/>
      <c r="AU138" s="1237"/>
      <c r="AV138" s="1237"/>
      <c r="AW138" s="1237"/>
      <c r="AX138" s="1237"/>
      <c r="AY138" s="1237"/>
      <c r="AZ138" s="1237"/>
      <c r="BA138" s="1237"/>
      <c r="BB138" s="1237"/>
      <c r="BC138" s="1237"/>
      <c r="BD138" s="1237"/>
      <c r="BE138" s="1237"/>
      <c r="BF138" s="1237"/>
      <c r="BG138" s="1237"/>
      <c r="BH138" s="1237"/>
      <c r="BI138" s="1237"/>
      <c r="BJ138" s="1237"/>
      <c r="BK138" s="1237"/>
      <c r="BL138" s="1237"/>
      <c r="BM138" s="1237"/>
      <c r="BN138" s="1237"/>
      <c r="BO138" s="1237"/>
      <c r="BP138" s="1237"/>
      <c r="BQ138" s="1237"/>
      <c r="BR138" s="1237"/>
      <c r="BS138" s="1237"/>
      <c r="BT138" s="1237"/>
      <c r="BU138" s="1237"/>
      <c r="BV138" s="1237"/>
      <c r="BW138" s="1237"/>
      <c r="BX138" s="1237"/>
      <c r="BY138" s="1237"/>
      <c r="BZ138" s="1237"/>
      <c r="CA138" s="1237"/>
      <c r="CB138" s="1237"/>
      <c r="CC138" s="1237"/>
      <c r="CD138" s="1237"/>
      <c r="CE138" s="1237"/>
      <c r="CF138" s="1237"/>
      <c r="CG138" s="1237"/>
      <c r="CH138" s="1237"/>
      <c r="CI138" s="1237"/>
      <c r="CJ138" s="1237"/>
      <c r="CK138" s="1237"/>
      <c r="CL138" s="1237"/>
      <c r="CM138" s="1237"/>
      <c r="CN138" s="1237"/>
      <c r="CO138" s="1237"/>
      <c r="CP138" s="1237"/>
      <c r="CQ138" s="1237"/>
      <c r="CR138" s="1237"/>
      <c r="CS138" s="1237"/>
      <c r="CT138" s="1237"/>
      <c r="CU138" s="1237"/>
      <c r="CV138" s="1237"/>
      <c r="CW138" s="1237"/>
      <c r="CX138" s="1237"/>
      <c r="CY138" s="1237"/>
      <c r="CZ138" s="1237"/>
      <c r="DA138" s="1237"/>
      <c r="DB138" s="1237"/>
      <c r="DC138" s="1237"/>
      <c r="DD138" s="1237"/>
      <c r="DE138" s="1237"/>
      <c r="DF138" s="1237"/>
      <c r="DG138" s="1237"/>
      <c r="DH138" s="1237"/>
      <c r="DI138" s="1237"/>
      <c r="DJ138" s="1237"/>
      <c r="DK138" s="1237"/>
      <c r="DL138" s="1237"/>
      <c r="DM138" s="1237"/>
      <c r="DN138" s="1237"/>
      <c r="DO138" s="1237"/>
      <c r="DP138" s="1237"/>
      <c r="DQ138" s="1237"/>
      <c r="DR138" s="1237"/>
      <c r="DS138" s="1237"/>
      <c r="DT138" s="1237"/>
      <c r="DU138" s="1237"/>
      <c r="DV138" s="1237"/>
      <c r="DW138" s="1237"/>
      <c r="DX138" s="1237"/>
      <c r="DY138" s="1237"/>
      <c r="DZ138" s="1237"/>
      <c r="EA138" s="1237"/>
      <c r="EB138" s="1237"/>
      <c r="EC138" s="1237"/>
      <c r="ED138" s="1237"/>
      <c r="EE138" s="1237"/>
      <c r="EF138" s="1237"/>
      <c r="EG138" s="1237"/>
      <c r="EH138" s="1237"/>
      <c r="EI138" s="1237"/>
      <c r="EJ138" s="1237"/>
      <c r="EK138" s="1237"/>
      <c r="EL138" s="1237"/>
      <c r="EM138" s="1237"/>
      <c r="EN138" s="1237"/>
      <c r="EO138" s="1237"/>
      <c r="EP138" s="1237"/>
      <c r="EQ138" s="1237"/>
      <c r="ER138" s="1237"/>
      <c r="ES138" s="1237"/>
      <c r="ET138" s="1237"/>
      <c r="EU138" s="1237"/>
      <c r="EV138" s="1237"/>
      <c r="EW138" s="1237"/>
      <c r="EX138" s="1237"/>
      <c r="EY138" s="1237"/>
      <c r="EZ138" s="1237"/>
      <c r="FA138" s="1237"/>
      <c r="FB138" s="1237"/>
      <c r="FC138" s="1237"/>
      <c r="FD138" s="1237"/>
      <c r="FE138" s="1237"/>
      <c r="FF138" s="1237"/>
      <c r="FG138" s="1237"/>
      <c r="FH138" s="1237"/>
      <c r="FI138" s="1237"/>
      <c r="FJ138" s="1237"/>
      <c r="FK138" s="1237"/>
      <c r="FL138" s="1237"/>
      <c r="FM138" s="1237"/>
      <c r="FN138" s="1237"/>
      <c r="FO138" s="1237"/>
      <c r="FP138" s="1237"/>
      <c r="FQ138" s="1237"/>
      <c r="FR138" s="1237"/>
      <c r="FS138" s="1237"/>
      <c r="FT138" s="1237"/>
      <c r="FU138" s="1237"/>
      <c r="FV138" s="1237"/>
      <c r="FW138" s="1237"/>
      <c r="FX138" s="1237"/>
      <c r="FY138" s="1237"/>
      <c r="FZ138" s="1237"/>
      <c r="GA138" s="1237"/>
      <c r="GB138" s="1237"/>
      <c r="GC138" s="1237"/>
      <c r="GD138" s="1237"/>
      <c r="GE138" s="1237"/>
      <c r="GF138" s="1237"/>
      <c r="GG138" s="1237"/>
      <c r="GH138" s="1237"/>
      <c r="GI138" s="1237"/>
      <c r="GJ138" s="1237"/>
      <c r="GK138" s="1237"/>
      <c r="GL138" s="1237"/>
      <c r="GM138" s="1237"/>
      <c r="GN138" s="1237"/>
      <c r="GO138" s="1237"/>
      <c r="GP138" s="1237"/>
      <c r="GQ138" s="1237"/>
    </row>
    <row r="139" spans="1:199" ht="12.95" customHeight="1">
      <c r="K139" s="675"/>
      <c r="O139" s="930"/>
      <c r="P139" s="930"/>
      <c r="Q139" s="930"/>
      <c r="R139" s="931"/>
      <c r="S139" s="930"/>
      <c r="T139" s="930"/>
      <c r="U139" s="930"/>
      <c r="V139" s="930"/>
      <c r="W139" s="930"/>
      <c r="X139" s="930"/>
      <c r="AR139" s="1237"/>
      <c r="AS139" s="1237"/>
      <c r="AT139" s="1237"/>
      <c r="AU139" s="1237"/>
      <c r="AV139" s="1237"/>
      <c r="AW139" s="1237"/>
      <c r="AX139" s="1237"/>
      <c r="AY139" s="1237"/>
      <c r="AZ139" s="1237"/>
      <c r="BA139" s="1237"/>
      <c r="BB139" s="1237"/>
      <c r="BC139" s="1237"/>
      <c r="BD139" s="1237"/>
      <c r="BE139" s="1237"/>
      <c r="BF139" s="1237"/>
      <c r="BG139" s="1237"/>
      <c r="BH139" s="1237"/>
      <c r="BI139" s="1237"/>
      <c r="BJ139" s="1237"/>
      <c r="BK139" s="1237"/>
      <c r="BL139" s="1237"/>
      <c r="BM139" s="1237"/>
      <c r="BN139" s="1237"/>
      <c r="BO139" s="1237"/>
      <c r="BP139" s="1237"/>
      <c r="BQ139" s="1237"/>
      <c r="BR139" s="1237"/>
      <c r="BS139" s="1237"/>
      <c r="BT139" s="1237"/>
      <c r="BU139" s="1237"/>
      <c r="BV139" s="1237"/>
      <c r="BW139" s="1237"/>
      <c r="BX139" s="1237"/>
      <c r="BY139" s="1237"/>
      <c r="BZ139" s="1237"/>
      <c r="CA139" s="1237"/>
      <c r="CB139" s="1237"/>
      <c r="CC139" s="1237"/>
      <c r="CD139" s="1237"/>
      <c r="CE139" s="1237"/>
      <c r="CF139" s="1237"/>
      <c r="CG139" s="1237"/>
      <c r="CH139" s="1237"/>
      <c r="CI139" s="1237"/>
      <c r="CJ139" s="1237"/>
      <c r="CK139" s="1237"/>
      <c r="CL139" s="1237"/>
      <c r="CM139" s="1237"/>
      <c r="CN139" s="1237"/>
      <c r="CO139" s="1237"/>
      <c r="CP139" s="1237"/>
      <c r="CQ139" s="1237"/>
      <c r="CR139" s="1237"/>
      <c r="CS139" s="1237"/>
      <c r="CT139" s="1237"/>
      <c r="CU139" s="1237"/>
      <c r="CV139" s="1237"/>
      <c r="CW139" s="1237"/>
      <c r="CX139" s="1237"/>
      <c r="CY139" s="1237"/>
      <c r="CZ139" s="1237"/>
      <c r="DA139" s="1237"/>
      <c r="DB139" s="1237"/>
      <c r="DC139" s="1237"/>
      <c r="DD139" s="1237"/>
      <c r="DE139" s="1237"/>
      <c r="DF139" s="1237"/>
      <c r="DG139" s="1237"/>
      <c r="DH139" s="1237"/>
      <c r="DI139" s="1237"/>
      <c r="DJ139" s="1237"/>
      <c r="DK139" s="1237"/>
      <c r="DL139" s="1237"/>
      <c r="DM139" s="1237"/>
      <c r="DN139" s="1237"/>
      <c r="DO139" s="1237"/>
      <c r="DP139" s="1237"/>
      <c r="DQ139" s="1237"/>
      <c r="DR139" s="1237"/>
      <c r="DS139" s="1237"/>
      <c r="DT139" s="1237"/>
      <c r="DU139" s="1237"/>
      <c r="DV139" s="1237"/>
      <c r="DW139" s="1237"/>
      <c r="DX139" s="1237"/>
      <c r="DY139" s="1237"/>
      <c r="DZ139" s="1237"/>
      <c r="EA139" s="1237"/>
      <c r="EB139" s="1237"/>
      <c r="EC139" s="1237"/>
      <c r="ED139" s="1237"/>
      <c r="EE139" s="1237"/>
      <c r="EF139" s="1237"/>
      <c r="EG139" s="1237"/>
      <c r="EH139" s="1237"/>
      <c r="EI139" s="1237"/>
      <c r="EJ139" s="1237"/>
      <c r="EK139" s="1237"/>
      <c r="EL139" s="1237"/>
      <c r="EM139" s="1237"/>
      <c r="EN139" s="1237"/>
      <c r="EO139" s="1237"/>
      <c r="EP139" s="1237"/>
      <c r="EQ139" s="1237"/>
      <c r="ER139" s="1237"/>
      <c r="ES139" s="1237"/>
      <c r="ET139" s="1237"/>
      <c r="EU139" s="1237"/>
      <c r="EV139" s="1237"/>
      <c r="EW139" s="1237"/>
      <c r="EX139" s="1237"/>
      <c r="EY139" s="1237"/>
      <c r="EZ139" s="1237"/>
      <c r="FA139" s="1237"/>
      <c r="FB139" s="1237"/>
      <c r="FC139" s="1237"/>
      <c r="FD139" s="1237"/>
      <c r="FE139" s="1237"/>
      <c r="FF139" s="1237"/>
      <c r="FG139" s="1237"/>
      <c r="FH139" s="1237"/>
      <c r="FI139" s="1237"/>
      <c r="FJ139" s="1237"/>
      <c r="FK139" s="1237"/>
      <c r="FL139" s="1237"/>
      <c r="FM139" s="1237"/>
      <c r="FN139" s="1237"/>
      <c r="FO139" s="1237"/>
      <c r="FP139" s="1237"/>
      <c r="FQ139" s="1237"/>
      <c r="FR139" s="1237"/>
      <c r="FS139" s="1237"/>
      <c r="FT139" s="1237"/>
      <c r="FU139" s="1237"/>
      <c r="FV139" s="1237"/>
      <c r="FW139" s="1237"/>
      <c r="FX139" s="1237"/>
      <c r="FY139" s="1237"/>
      <c r="FZ139" s="1237"/>
      <c r="GA139" s="1237"/>
      <c r="GB139" s="1237"/>
      <c r="GC139" s="1237"/>
      <c r="GD139" s="1237"/>
      <c r="GE139" s="1237"/>
      <c r="GF139" s="1237"/>
      <c r="GG139" s="1237"/>
      <c r="GH139" s="1237"/>
      <c r="GI139" s="1237"/>
      <c r="GJ139" s="1237"/>
      <c r="GK139" s="1237"/>
      <c r="GL139" s="1237"/>
      <c r="GM139" s="1237"/>
      <c r="GN139" s="1237"/>
      <c r="GO139" s="1237"/>
      <c r="GP139" s="1237"/>
      <c r="GQ139" s="1237"/>
    </row>
    <row r="140" spans="1:199" ht="12.95" customHeight="1">
      <c r="K140" s="675"/>
      <c r="O140" s="934" t="s">
        <v>1154</v>
      </c>
      <c r="P140" s="938"/>
      <c r="Q140" s="930"/>
      <c r="R140" s="931"/>
      <c r="S140" s="930"/>
      <c r="T140" s="930"/>
      <c r="U140" s="930"/>
      <c r="V140" s="930"/>
      <c r="W140" s="930"/>
      <c r="X140" s="930"/>
      <c r="AR140" s="1237"/>
      <c r="AS140" s="1237"/>
      <c r="AT140" s="1237"/>
      <c r="AU140" s="1237"/>
      <c r="AV140" s="1237"/>
      <c r="AW140" s="1237"/>
      <c r="AX140" s="1237"/>
      <c r="AY140" s="1237"/>
      <c r="AZ140" s="1237"/>
      <c r="BA140" s="1237"/>
      <c r="BB140" s="1237"/>
      <c r="BC140" s="1237"/>
      <c r="BD140" s="1237"/>
      <c r="BE140" s="1237"/>
      <c r="BF140" s="1237"/>
      <c r="BG140" s="1237"/>
      <c r="BH140" s="1237"/>
      <c r="BI140" s="1237"/>
      <c r="BJ140" s="1237"/>
      <c r="BK140" s="1237"/>
      <c r="BL140" s="1237"/>
      <c r="BM140" s="1237"/>
      <c r="BN140" s="1237"/>
      <c r="BO140" s="1237"/>
      <c r="BP140" s="1237"/>
      <c r="BQ140" s="1237"/>
      <c r="BR140" s="1237"/>
      <c r="BS140" s="1237"/>
      <c r="BT140" s="1237"/>
      <c r="BU140" s="1237"/>
      <c r="BV140" s="1237"/>
      <c r="BW140" s="1237"/>
      <c r="BX140" s="1237"/>
      <c r="BY140" s="1237"/>
      <c r="BZ140" s="1237"/>
      <c r="CA140" s="1237"/>
      <c r="CB140" s="1237"/>
      <c r="CC140" s="1237"/>
      <c r="CD140" s="1237"/>
      <c r="CE140" s="1237"/>
      <c r="CF140" s="1237"/>
      <c r="CG140" s="1237"/>
      <c r="CH140" s="1237"/>
      <c r="CI140" s="1237"/>
      <c r="CJ140" s="1237"/>
      <c r="CK140" s="1237"/>
      <c r="CL140" s="1237"/>
      <c r="CM140" s="1237"/>
      <c r="CN140" s="1237"/>
      <c r="CO140" s="1237"/>
      <c r="CP140" s="1237"/>
      <c r="CQ140" s="1237"/>
      <c r="CR140" s="1237"/>
      <c r="CS140" s="1237"/>
      <c r="CT140" s="1237"/>
      <c r="CU140" s="1237"/>
      <c r="CV140" s="1237"/>
      <c r="CW140" s="1237"/>
      <c r="CX140" s="1237"/>
      <c r="CY140" s="1237"/>
      <c r="CZ140" s="1237"/>
      <c r="DA140" s="1237"/>
      <c r="DB140" s="1237"/>
      <c r="DC140" s="1237"/>
      <c r="DD140" s="1237"/>
      <c r="DE140" s="1237"/>
      <c r="DF140" s="1237"/>
      <c r="DG140" s="1237"/>
      <c r="DH140" s="1237"/>
      <c r="DI140" s="1237"/>
      <c r="DJ140" s="1237"/>
      <c r="DK140" s="1237"/>
      <c r="DL140" s="1237"/>
      <c r="DM140" s="1237"/>
      <c r="DN140" s="1237"/>
      <c r="DO140" s="1237"/>
      <c r="DP140" s="1237"/>
      <c r="DQ140" s="1237"/>
      <c r="DR140" s="1237"/>
      <c r="DS140" s="1237"/>
      <c r="DT140" s="1237"/>
      <c r="DU140" s="1237"/>
      <c r="DV140" s="1237"/>
      <c r="DW140" s="1237"/>
      <c r="DX140" s="1237"/>
      <c r="DY140" s="1237"/>
      <c r="DZ140" s="1237"/>
      <c r="EA140" s="1237"/>
      <c r="EB140" s="1237"/>
      <c r="EC140" s="1237"/>
      <c r="ED140" s="1237"/>
      <c r="EE140" s="1237"/>
      <c r="EF140" s="1237"/>
      <c r="EG140" s="1237"/>
      <c r="EH140" s="1237"/>
      <c r="EI140" s="1237"/>
      <c r="EJ140" s="1237"/>
      <c r="EK140" s="1237"/>
      <c r="EL140" s="1237"/>
      <c r="EM140" s="1237"/>
      <c r="EN140" s="1237"/>
      <c r="EO140" s="1237"/>
      <c r="EP140" s="1237"/>
      <c r="EQ140" s="1237"/>
      <c r="ER140" s="1237"/>
      <c r="ES140" s="1237"/>
      <c r="ET140" s="1237"/>
      <c r="EU140" s="1237"/>
      <c r="EV140" s="1237"/>
      <c r="EW140" s="1237"/>
      <c r="EX140" s="1237"/>
      <c r="EY140" s="1237"/>
      <c r="EZ140" s="1237"/>
      <c r="FA140" s="1237"/>
      <c r="FB140" s="1237"/>
      <c r="FC140" s="1237"/>
      <c r="FD140" s="1237"/>
      <c r="FE140" s="1237"/>
      <c r="FF140" s="1237"/>
      <c r="FG140" s="1237"/>
      <c r="FH140" s="1237"/>
      <c r="FI140" s="1237"/>
      <c r="FJ140" s="1237"/>
      <c r="FK140" s="1237"/>
      <c r="FL140" s="1237"/>
      <c r="FM140" s="1237"/>
      <c r="FN140" s="1237"/>
      <c r="FO140" s="1237"/>
      <c r="FP140" s="1237"/>
      <c r="FQ140" s="1237"/>
      <c r="FR140" s="1237"/>
      <c r="FS140" s="1237"/>
      <c r="FT140" s="1237"/>
      <c r="FU140" s="1237"/>
      <c r="FV140" s="1237"/>
      <c r="FW140" s="1237"/>
      <c r="FX140" s="1237"/>
      <c r="FY140" s="1237"/>
      <c r="FZ140" s="1237"/>
      <c r="GA140" s="1237"/>
      <c r="GB140" s="1237"/>
      <c r="GC140" s="1237"/>
      <c r="GD140" s="1237"/>
      <c r="GE140" s="1237"/>
      <c r="GF140" s="1237"/>
      <c r="GG140" s="1237"/>
      <c r="GH140" s="1237"/>
      <c r="GI140" s="1237"/>
      <c r="GJ140" s="1237"/>
      <c r="GK140" s="1237"/>
      <c r="GL140" s="1237"/>
      <c r="GM140" s="1237"/>
      <c r="GN140" s="1237"/>
      <c r="GO140" s="1237"/>
      <c r="GP140" s="1237"/>
      <c r="GQ140" s="1237"/>
    </row>
    <row r="141" spans="1:199" ht="12" customHeight="1">
      <c r="K141" s="675"/>
      <c r="O141" s="930" t="str">
        <f>'Forecasts '!A336</f>
        <v xml:space="preserve">  Profit Margin for ROCE</v>
      </c>
      <c r="P141" s="935">
        <f>'Forecasts '!B336</f>
        <v>5.5606770367340679E-2</v>
      </c>
      <c r="Q141" s="935">
        <f>'Forecasts '!C336</f>
        <v>2.2537969040129866E-2</v>
      </c>
      <c r="R141" s="935">
        <f>'Forecasts '!D336</f>
        <v>-6.5777804398776549E-2</v>
      </c>
      <c r="S141" s="935">
        <f>'Forecasts '!E336</f>
        <v>-3.723498846173446E-2</v>
      </c>
      <c r="T141" s="935">
        <f>'Forecasts '!F336</f>
        <v>-2.881789900924615E-2</v>
      </c>
      <c r="U141" s="935">
        <f>'Forecasts '!G336</f>
        <v>-1.8875589552013759E-2</v>
      </c>
      <c r="V141" s="935">
        <f>'Forecasts '!H336</f>
        <v>-9.1049656816883703E-3</v>
      </c>
      <c r="W141" s="935">
        <f>'Forecasts '!I336</f>
        <v>-8.0758193785334732E-4</v>
      </c>
      <c r="X141" s="935">
        <f>'Forecasts '!J336</f>
        <v>-8.0758193785333149E-4</v>
      </c>
      <c r="Y141" s="705"/>
      <c r="Z141" s="705"/>
      <c r="AA141" s="705"/>
    </row>
    <row r="142" spans="1:199" ht="12" customHeight="1">
      <c r="K142" s="675"/>
      <c r="O142" s="930" t="str">
        <f>'Forecasts '!A337</f>
        <v>x Asset Turnover</v>
      </c>
      <c r="P142" s="940">
        <f>'Forecasts '!B337</f>
        <v>0.70142168941360394</v>
      </c>
      <c r="Q142" s="940">
        <f>'Forecasts '!C337</f>
        <v>0.64167833921955575</v>
      </c>
      <c r="R142" s="940">
        <f>'Forecasts '!D337</f>
        <v>0.5705504310797429</v>
      </c>
      <c r="S142" s="940">
        <f>'Forecasts '!E337</f>
        <v>0.59492841375652339</v>
      </c>
      <c r="T142" s="940">
        <f>'Forecasts '!F337</f>
        <v>0.60713436085493544</v>
      </c>
      <c r="U142" s="940">
        <f>'Forecasts '!G337</f>
        <v>0.62619931652933669</v>
      </c>
      <c r="V142" s="940">
        <f>'Forecasts '!H337</f>
        <v>0.64827443843115906</v>
      </c>
      <c r="W142" s="940">
        <f>'Forecasts '!I337</f>
        <v>0.66931152931050553</v>
      </c>
      <c r="X142" s="940">
        <f>'Forecasts '!J337</f>
        <v>0.67659282310279378</v>
      </c>
      <c r="Y142" s="705"/>
      <c r="Z142" s="705"/>
      <c r="AA142" s="705"/>
    </row>
    <row r="143" spans="1:199" ht="12.95" customHeight="1">
      <c r="K143" s="675"/>
      <c r="O143" s="930" t="str">
        <f>'Forecasts '!A338</f>
        <v>x Capital Structure Leverage</v>
      </c>
      <c r="P143" s="940">
        <f>'Forecasts '!B338</f>
        <v>2.3542581967294209</v>
      </c>
      <c r="Q143" s="940">
        <f>'Forecasts '!C338</f>
        <v>2.4401595222457697</v>
      </c>
      <c r="R143" s="940">
        <f>'Forecasts '!D338</f>
        <v>2.6926351253575946</v>
      </c>
      <c r="S143" s="940">
        <f>'Forecasts '!E338</f>
        <v>2.8137471526842388</v>
      </c>
      <c r="T143" s="940">
        <f>'Forecasts '!F338</f>
        <v>2.8402094859470193</v>
      </c>
      <c r="U143" s="940">
        <f>'Forecasts '!G338</f>
        <v>2.8779119742322581</v>
      </c>
      <c r="V143" s="940">
        <f>'Forecasts '!H338</f>
        <v>2.9287965073807771</v>
      </c>
      <c r="W143" s="940">
        <f>'Forecasts '!I338</f>
        <v>2.9939189632590724</v>
      </c>
      <c r="X143" s="940">
        <f>'Forecasts '!J338</f>
        <v>3.0301764022325424</v>
      </c>
      <c r="Y143" s="705"/>
      <c r="Z143" s="705"/>
      <c r="AA143" s="705"/>
    </row>
    <row r="144" spans="1:199" ht="12.95" customHeight="1">
      <c r="A144" s="807" t="s">
        <v>1566</v>
      </c>
      <c r="B144" s="807"/>
      <c r="C144" s="807"/>
      <c r="D144" s="832"/>
      <c r="E144" s="832"/>
      <c r="F144" s="832"/>
      <c r="G144" s="832"/>
      <c r="K144" s="675"/>
      <c r="O144" s="936" t="str">
        <f>'Forecasts '!A339</f>
        <v>= Return on Common Equity</v>
      </c>
      <c r="P144" s="936">
        <f>'Forecasts '!B339</f>
        <v>9.1825003644163433E-2</v>
      </c>
      <c r="Q144" s="936">
        <f>'Forecasts '!C339</f>
        <v>3.5289895795952361E-2</v>
      </c>
      <c r="R144" s="936">
        <f>'Forecasts '!D339</f>
        <v>-0.10105339710362177</v>
      </c>
      <c r="S144" s="936">
        <f>'Forecasts '!E339</f>
        <v>-6.2330556365366177E-2</v>
      </c>
      <c r="T144" s="936">
        <f>'Forecasts '!F339</f>
        <v>-4.9693261453758665E-2</v>
      </c>
      <c r="U144" s="936">
        <f>'Forecasts '!G339</f>
        <v>-3.4016577859813692E-2</v>
      </c>
      <c r="V144" s="936">
        <f>'Forecasts '!H339</f>
        <v>-1.7287269751638586E-2</v>
      </c>
      <c r="W144" s="936">
        <f>'Forecasts '!I339</f>
        <v>-1.6182847598978868E-3</v>
      </c>
      <c r="X144" s="936">
        <f>'Forecasts '!J339</f>
        <v>-1.6557009408643361E-3</v>
      </c>
      <c r="Y144" s="705"/>
      <c r="Z144" s="705"/>
      <c r="AA144" s="705"/>
    </row>
    <row r="145" spans="1:27" ht="12.95" customHeight="1">
      <c r="A145" s="808" t="s">
        <v>1123</v>
      </c>
      <c r="B145" s="833" t="s">
        <v>1523</v>
      </c>
      <c r="C145" s="834" t="s">
        <v>1524</v>
      </c>
      <c r="D145" s="834" t="s">
        <v>1525</v>
      </c>
      <c r="E145" s="834" t="s">
        <v>1526</v>
      </c>
      <c r="F145" s="834" t="s">
        <v>1527</v>
      </c>
      <c r="G145" s="834" t="s">
        <v>1528</v>
      </c>
      <c r="H145" s="705"/>
      <c r="I145" s="705"/>
      <c r="J145" s="705"/>
      <c r="K145" s="705"/>
      <c r="L145" s="705"/>
      <c r="M145" s="705"/>
      <c r="O145" s="931"/>
      <c r="P145" s="931"/>
      <c r="Q145" s="931"/>
      <c r="R145" s="931"/>
      <c r="S145" s="931"/>
      <c r="T145" s="931"/>
      <c r="U145" s="931"/>
      <c r="V145" s="931"/>
      <c r="W145" s="931"/>
      <c r="X145" s="931"/>
    </row>
    <row r="146" spans="1:27" ht="12.95" customHeight="1">
      <c r="A146" s="835" t="s">
        <v>1124</v>
      </c>
      <c r="B146" s="1115">
        <v>977</v>
      </c>
      <c r="C146" s="811">
        <v>1046</v>
      </c>
      <c r="D146" s="811">
        <v>1083</v>
      </c>
      <c r="E146" s="811">
        <v>1132</v>
      </c>
      <c r="F146" s="811">
        <v>1184</v>
      </c>
      <c r="G146" s="811">
        <v>1233</v>
      </c>
      <c r="H146" s="741"/>
      <c r="I146" s="741"/>
      <c r="J146" s="741"/>
      <c r="K146" s="741"/>
      <c r="L146" s="741"/>
      <c r="M146" s="741"/>
      <c r="O146" s="941" t="s">
        <v>1155</v>
      </c>
      <c r="P146" s="942"/>
      <c r="Q146" s="931"/>
      <c r="R146" s="931"/>
      <c r="S146" s="931"/>
      <c r="T146" s="931"/>
      <c r="U146" s="931"/>
      <c r="V146" s="931"/>
      <c r="W146" s="931"/>
      <c r="X146" s="931"/>
    </row>
    <row r="147" spans="1:27" ht="12.95" customHeight="1">
      <c r="A147" s="835" t="s">
        <v>1125</v>
      </c>
      <c r="B147" s="1115">
        <v>278</v>
      </c>
      <c r="C147" s="811">
        <v>298</v>
      </c>
      <c r="D147" s="811">
        <v>309</v>
      </c>
      <c r="E147" s="811">
        <v>322</v>
      </c>
      <c r="F147" s="811">
        <v>337</v>
      </c>
      <c r="G147" s="811">
        <v>351</v>
      </c>
      <c r="H147" s="741"/>
      <c r="I147" s="741"/>
      <c r="J147" s="741"/>
      <c r="K147" s="741"/>
      <c r="L147" s="741"/>
      <c r="M147" s="741"/>
      <c r="O147" s="943" t="str">
        <f>'Forecasts '!A348</f>
        <v>Gross Profit / Revenues</v>
      </c>
      <c r="P147" s="944">
        <f>'Forecasts '!B348</f>
        <v>0.71985080779161026</v>
      </c>
      <c r="Q147" s="944">
        <f>'Forecasts '!C348</f>
        <v>0.72598205783938197</v>
      </c>
      <c r="R147" s="944">
        <f>'Forecasts '!D348</f>
        <v>0.71491035700691519</v>
      </c>
      <c r="S147" s="944">
        <f>'Forecasts '!E348</f>
        <v>0.71499999999999997</v>
      </c>
      <c r="T147" s="944">
        <f>'Forecasts '!F348</f>
        <v>0.71499999999999997</v>
      </c>
      <c r="U147" s="944">
        <f>'Forecasts '!G348</f>
        <v>0.71499999999999997</v>
      </c>
      <c r="V147" s="944">
        <f>'Forecasts '!H348</f>
        <v>0.71500000000000008</v>
      </c>
      <c r="W147" s="944">
        <f>'Forecasts '!I348</f>
        <v>0.71500000000000008</v>
      </c>
      <c r="X147" s="944">
        <f>'Forecasts '!J348</f>
        <v>0.71499999999999997</v>
      </c>
    </row>
    <row r="148" spans="1:27" ht="12.95" customHeight="1">
      <c r="A148" s="835" t="s">
        <v>1156</v>
      </c>
      <c r="B148" s="1115">
        <v>699</v>
      </c>
      <c r="C148" s="811">
        <v>748</v>
      </c>
      <c r="D148" s="811">
        <v>774</v>
      </c>
      <c r="E148" s="811">
        <v>809</v>
      </c>
      <c r="F148" s="811">
        <v>847</v>
      </c>
      <c r="G148" s="811">
        <v>882</v>
      </c>
      <c r="H148" s="741"/>
      <c r="I148" s="741"/>
      <c r="J148" s="741"/>
      <c r="K148" s="741"/>
      <c r="L148" s="741"/>
      <c r="M148" s="741"/>
      <c r="O148" s="943" t="str">
        <f>'Forecasts '!A349</f>
        <v>Operating Profit Before Taxes / Revenues</v>
      </c>
      <c r="P148" s="944">
        <f>'Forecasts '!B349</f>
        <v>0.10220257419668193</v>
      </c>
      <c r="Q148" s="944">
        <f>'Forecasts '!C349</f>
        <v>6.2288166009525449E-2</v>
      </c>
      <c r="R148" s="944">
        <f>'Forecasts '!D349</f>
        <v>-4.7339113095663632E-2</v>
      </c>
      <c r="S148" s="944">
        <f>'Forecasts '!E349</f>
        <v>-2.1975066127381128E-2</v>
      </c>
      <c r="T148" s="944">
        <f>'Forecasts '!F349</f>
        <v>-1.2438052865078261E-2</v>
      </c>
      <c r="U148" s="944">
        <f>'Forecasts '!G349</f>
        <v>-1.2719613337748134E-3</v>
      </c>
      <c r="V148" s="944">
        <f>'Forecasts '!H349</f>
        <v>9.6733403177390095E-3</v>
      </c>
      <c r="W148" s="944">
        <f>'Forecasts '!I349</f>
        <v>1.8985839422243404E-2</v>
      </c>
      <c r="X148" s="944">
        <f>'Forecasts '!J349</f>
        <v>1.8985839422243415E-2</v>
      </c>
    </row>
    <row r="149" spans="1:27" ht="12.95" customHeight="1">
      <c r="A149" s="835" t="s">
        <v>1126</v>
      </c>
      <c r="B149" s="1115">
        <v>-50</v>
      </c>
      <c r="C149" s="811">
        <v>-13</v>
      </c>
      <c r="D149" s="811">
        <v>-1</v>
      </c>
      <c r="E149" s="811">
        <v>11</v>
      </c>
      <c r="F149" s="811">
        <v>23</v>
      </c>
      <c r="G149" s="811">
        <v>24</v>
      </c>
      <c r="H149" s="699"/>
      <c r="I149" s="699"/>
      <c r="J149" s="741"/>
      <c r="K149" s="741"/>
      <c r="L149" s="741"/>
      <c r="M149" s="741"/>
      <c r="O149" s="931"/>
      <c r="P149" s="931"/>
      <c r="Q149" s="931"/>
      <c r="R149" s="931"/>
      <c r="S149" s="931"/>
      <c r="T149" s="931"/>
      <c r="U149" s="931"/>
      <c r="V149" s="931"/>
      <c r="W149" s="931"/>
      <c r="X149" s="931"/>
    </row>
    <row r="150" spans="1:27" ht="12.95" customHeight="1">
      <c r="A150" s="835" t="s">
        <v>53</v>
      </c>
      <c r="B150" s="1115">
        <v>-75</v>
      </c>
      <c r="C150" s="811">
        <v>-31</v>
      </c>
      <c r="D150" s="811">
        <v>-21</v>
      </c>
      <c r="E150" s="811">
        <v>-11</v>
      </c>
      <c r="F150" s="811">
        <v>-1</v>
      </c>
      <c r="G150" s="811">
        <v>1</v>
      </c>
      <c r="J150" s="699"/>
      <c r="K150" s="699"/>
      <c r="L150" s="699"/>
      <c r="M150" s="699"/>
      <c r="O150" s="941" t="s">
        <v>662</v>
      </c>
      <c r="P150" s="931"/>
      <c r="Q150" s="931"/>
      <c r="R150" s="931"/>
      <c r="S150" s="931"/>
      <c r="T150" s="931"/>
      <c r="U150" s="931"/>
      <c r="V150" s="931"/>
      <c r="W150" s="931"/>
      <c r="X150" s="931"/>
    </row>
    <row r="151" spans="1:27" ht="12.95" customHeight="1">
      <c r="J151" s="699"/>
      <c r="K151" s="699"/>
      <c r="L151" s="699"/>
      <c r="M151" s="699"/>
      <c r="O151" s="943" t="str">
        <f>'Forecasts '!A352</f>
        <v>Revenues / Avg. Accounts Receivable</v>
      </c>
      <c r="P151" s="945">
        <f>'Forecasts '!B352</f>
        <v>12.085421896118941</v>
      </c>
      <c r="Q151" s="945">
        <f>'Forecasts '!C352</f>
        <v>11.487410027271237</v>
      </c>
      <c r="R151" s="945">
        <f>'Forecasts '!D352</f>
        <v>10.816098139508153</v>
      </c>
      <c r="S151" s="945">
        <f>'Forecasts '!E352</f>
        <v>12.247511173439404</v>
      </c>
      <c r="T151" s="945">
        <f>'Forecasts '!F352</f>
        <v>12.434708962425319</v>
      </c>
      <c r="U151" s="945">
        <f>'Forecasts '!G352</f>
        <v>12.734315225169489</v>
      </c>
      <c r="V151" s="945">
        <f>'Forecasts '!H352</f>
        <v>13.062177297628265</v>
      </c>
      <c r="W151" s="945">
        <f>'Forecasts '!I352</f>
        <v>13.335460523718883</v>
      </c>
      <c r="X151" s="945">
        <f>'Forecasts '!J352</f>
        <v>13.399864370544529</v>
      </c>
      <c r="Y151" s="705"/>
      <c r="Z151" s="705"/>
      <c r="AA151" s="705"/>
    </row>
    <row r="152" spans="1:27" ht="15" customHeight="1">
      <c r="A152" s="1028" t="s">
        <v>1529</v>
      </c>
      <c r="B152" s="1022"/>
      <c r="C152" s="1022"/>
      <c r="D152" s="1022"/>
      <c r="E152" s="1022"/>
      <c r="F152" s="1022"/>
      <c r="G152" s="1022"/>
      <c r="H152" s="1022"/>
      <c r="I152" s="1022"/>
      <c r="J152" s="1022"/>
      <c r="K152" s="1022"/>
      <c r="L152" s="1022"/>
      <c r="M152" s="1022"/>
      <c r="O152" s="943" t="str">
        <f>'Forecasts '!A353</f>
        <v>COGS / Average Inventory</v>
      </c>
      <c r="P152" s="945">
        <f>'Forecasts '!B353</f>
        <v>1.2755046927652671</v>
      </c>
      <c r="Q152" s="945">
        <f>'Forecasts '!C353</f>
        <v>1.1046075430388309</v>
      </c>
      <c r="R152" s="945">
        <f>'Forecasts '!D353</f>
        <v>0.97354647470527012</v>
      </c>
      <c r="S152" s="945">
        <f>'Forecasts '!E353</f>
        <v>0.95888742363816992</v>
      </c>
      <c r="T152" s="945">
        <f>'Forecasts '!F353</f>
        <v>0.97354359361829979</v>
      </c>
      <c r="U152" s="945">
        <f>'Forecasts '!G353</f>
        <v>0.99700049627552234</v>
      </c>
      <c r="V152" s="945">
        <f>'Forecasts '!H353</f>
        <v>1.0226696149655674</v>
      </c>
      <c r="W152" s="945">
        <f>'Forecasts '!I353</f>
        <v>1.0440656230915162</v>
      </c>
      <c r="X152" s="945">
        <f>'Forecasts '!J353</f>
        <v>1.0491079568261414</v>
      </c>
      <c r="Y152" s="705"/>
      <c r="Z152" s="705"/>
      <c r="AA152" s="705"/>
    </row>
    <row r="153" spans="1:27" ht="12.75" customHeight="1">
      <c r="A153" s="1113"/>
      <c r="B153" s="1022"/>
      <c r="C153" s="1022"/>
      <c r="D153" s="1022"/>
      <c r="E153" s="1022"/>
      <c r="F153" s="1022"/>
      <c r="G153" s="1022"/>
      <c r="H153" s="1022"/>
      <c r="I153" s="1022"/>
      <c r="J153" s="1022"/>
      <c r="K153" s="1022"/>
      <c r="L153" s="1022"/>
      <c r="M153" s="1022"/>
      <c r="O153" s="943" t="str">
        <f>'Forecasts '!A354</f>
        <v>Revenues / Average Fixed Assets</v>
      </c>
      <c r="P153" s="945">
        <f>'Forecasts '!B354</f>
        <v>6.6160066381620322</v>
      </c>
      <c r="Q153" s="945">
        <f>'Forecasts '!C354</f>
        <v>5.5734916296714045</v>
      </c>
      <c r="R153" s="945">
        <f>'Forecasts '!D354</f>
        <v>4.7552382658709922</v>
      </c>
      <c r="S153" s="945">
        <f>'Forecasts '!E354</f>
        <v>2.2587574599335256</v>
      </c>
      <c r="T153" s="945">
        <f>'Forecasts '!F354</f>
        <v>2.1466967353095372</v>
      </c>
      <c r="U153" s="945">
        <f>'Forecasts '!G354</f>
        <v>2.0711157101503397</v>
      </c>
      <c r="V153" s="945">
        <f>'Forecasts '!H354</f>
        <v>2.0124308199326455</v>
      </c>
      <c r="W153" s="945">
        <f>'Forecasts '!I354</f>
        <v>1.9551648326343229</v>
      </c>
      <c r="X153" s="945">
        <f>'Forecasts '!J354</f>
        <v>1.9194116203060332</v>
      </c>
      <c r="Y153" s="705"/>
      <c r="Z153" s="705"/>
      <c r="AA153" s="705"/>
    </row>
    <row r="154" spans="1:27" ht="12.95" customHeight="1">
      <c r="A154" s="1022"/>
      <c r="B154" s="1022"/>
      <c r="C154" s="1022"/>
      <c r="D154" s="1022"/>
      <c r="E154" s="1022"/>
      <c r="F154" s="1022"/>
      <c r="G154" s="1022"/>
      <c r="H154" s="1022"/>
      <c r="I154" s="1022"/>
      <c r="J154" s="1022"/>
      <c r="K154" s="1022"/>
      <c r="L154" s="1022"/>
      <c r="M154" s="1022"/>
      <c r="O154" s="946"/>
      <c r="P154" s="946"/>
      <c r="Q154" s="946"/>
      <c r="R154" s="946"/>
      <c r="S154" s="946"/>
      <c r="T154" s="946"/>
      <c r="U154" s="946"/>
      <c r="V154" s="946"/>
      <c r="W154" s="946"/>
      <c r="X154" s="946"/>
      <c r="Y154" s="705"/>
      <c r="Z154" s="705"/>
      <c r="AA154" s="705"/>
    </row>
    <row r="155" spans="1:27" ht="12.95" customHeight="1">
      <c r="A155" s="1022"/>
      <c r="B155" s="1022"/>
      <c r="C155" s="1022"/>
      <c r="D155" s="1022"/>
      <c r="E155" s="1022"/>
      <c r="F155" s="1022"/>
      <c r="G155" s="1022"/>
      <c r="H155" s="1022"/>
      <c r="I155" s="1022"/>
      <c r="J155" s="1022"/>
      <c r="K155" s="1022"/>
      <c r="L155" s="1022"/>
      <c r="M155" s="1022"/>
      <c r="O155" s="929" t="s">
        <v>1157</v>
      </c>
      <c r="P155" s="946"/>
      <c r="Q155" s="946"/>
      <c r="R155" s="946"/>
      <c r="S155" s="946"/>
      <c r="T155" s="946"/>
      <c r="U155" s="946"/>
      <c r="V155" s="946"/>
      <c r="W155" s="946"/>
      <c r="X155" s="946"/>
      <c r="Y155" s="705"/>
      <c r="Z155" s="705"/>
      <c r="AA155" s="705"/>
    </row>
    <row r="156" spans="1:27" ht="12.95" customHeight="1">
      <c r="A156" s="1022"/>
      <c r="B156" s="1022"/>
      <c r="C156" s="1022"/>
      <c r="D156" s="1022"/>
      <c r="E156" s="1022"/>
      <c r="F156" s="1022"/>
      <c r="G156" s="1022"/>
      <c r="H156" s="1022"/>
      <c r="I156" s="1022"/>
      <c r="J156" s="1022"/>
      <c r="K156" s="1022"/>
      <c r="L156" s="1022"/>
      <c r="M156" s="1022"/>
      <c r="O156" s="943" t="str">
        <f>'Forecasts '!A357</f>
        <v>Current Ratio</v>
      </c>
      <c r="P156" s="945">
        <f>'Forecasts '!B357</f>
        <v>2.0021857382348571</v>
      </c>
      <c r="Q156" s="945">
        <f>'Forecasts '!C357</f>
        <v>0.71454258712227237</v>
      </c>
      <c r="R156" s="945">
        <f>'Forecasts '!D357</f>
        <v>0.7061887602573953</v>
      </c>
      <c r="S156" s="945">
        <f>'Forecasts '!E357</f>
        <v>0.70830714794250349</v>
      </c>
      <c r="T156" s="945">
        <f>'Forecasts '!F357</f>
        <v>0.71046904647005737</v>
      </c>
      <c r="U156" s="945">
        <f>'Forecasts '!G357</f>
        <v>0.71265365000529124</v>
      </c>
      <c r="V156" s="945">
        <f>'Forecasts '!H357</f>
        <v>0.71420453898640235</v>
      </c>
      <c r="W156" s="945">
        <f>'Forecasts '!I357</f>
        <v>0.71579123500807273</v>
      </c>
      <c r="X156" s="945">
        <f>'Forecasts '!J357</f>
        <v>0.71579123500807273</v>
      </c>
    </row>
    <row r="157" spans="1:27" ht="12.95" customHeight="1">
      <c r="A157" s="699"/>
      <c r="B157" s="699"/>
      <c r="C157" s="699"/>
      <c r="D157" s="699"/>
      <c r="E157" s="699"/>
      <c r="F157" s="699"/>
      <c r="G157" s="699"/>
      <c r="H157" s="1149"/>
      <c r="I157" s="1150"/>
      <c r="J157" s="973"/>
      <c r="K157" s="973"/>
      <c r="L157" s="973"/>
      <c r="M157" s="973"/>
      <c r="N157" s="973"/>
      <c r="O157" s="943" t="s">
        <v>307</v>
      </c>
      <c r="P157" s="945">
        <f>'Forecasts '!B358</f>
        <v>1.1455531898338414</v>
      </c>
      <c r="Q157" s="945">
        <f>'Forecasts '!C358</f>
        <v>0.34042612938963002</v>
      </c>
      <c r="R157" s="945">
        <f>'Forecasts '!D358</f>
        <v>0.30023309936581344</v>
      </c>
      <c r="S157" s="945">
        <f>'Forecasts '!E358</f>
        <v>0.30240525365984389</v>
      </c>
      <c r="T157" s="945">
        <f>'Forecasts '!F358</f>
        <v>0.30459870358420799</v>
      </c>
      <c r="U157" s="945">
        <f>'Forecasts '!G358</f>
        <v>0.3068136579195952</v>
      </c>
      <c r="V157" s="945">
        <f>'Forecasts '!H358</f>
        <v>0.3090503274935647</v>
      </c>
      <c r="W157" s="945">
        <f>'Forecasts '!I358</f>
        <v>0.31130892520061232</v>
      </c>
      <c r="X157" s="945">
        <f>'Forecasts '!J358</f>
        <v>0.31130892520061232</v>
      </c>
    </row>
    <row r="158" spans="1:27" ht="12.95" customHeight="1">
      <c r="A158" s="807" t="s">
        <v>1208</v>
      </c>
      <c r="B158" s="807"/>
      <c r="C158" s="807"/>
      <c r="D158" s="807"/>
      <c r="E158" s="807"/>
      <c r="F158" s="807"/>
      <c r="G158" s="699"/>
      <c r="H158" s="1151"/>
      <c r="I158" s="1152"/>
      <c r="J158" s="1152"/>
      <c r="K158" s="1153"/>
      <c r="L158" s="1152"/>
      <c r="M158" s="1152"/>
      <c r="N158" s="1152"/>
      <c r="O158" s="1152"/>
      <c r="P158" s="931"/>
      <c r="Q158" s="931"/>
      <c r="R158" s="931"/>
      <c r="S158" s="931"/>
      <c r="T158" s="931"/>
      <c r="U158" s="931"/>
      <c r="V158" s="931"/>
      <c r="W158" s="931"/>
      <c r="X158" s="931"/>
    </row>
    <row r="159" spans="1:27" ht="12.95" customHeight="1">
      <c r="A159" s="809"/>
      <c r="B159" s="809"/>
      <c r="C159" s="809"/>
      <c r="D159" s="1135" t="s">
        <v>682</v>
      </c>
      <c r="E159" s="1136" t="s">
        <v>1553</v>
      </c>
      <c r="F159" s="1135" t="s">
        <v>680</v>
      </c>
      <c r="G159" s="699"/>
      <c r="H159" s="742"/>
      <c r="I159" s="1154"/>
      <c r="J159" s="1155"/>
      <c r="K159" s="1156"/>
      <c r="L159" s="1155"/>
      <c r="M159" s="1155"/>
      <c r="N159" s="1155"/>
      <c r="O159" s="929" t="s">
        <v>1158</v>
      </c>
      <c r="P159" s="931"/>
      <c r="Q159" s="931"/>
      <c r="R159" s="931"/>
      <c r="S159" s="931"/>
      <c r="T159" s="931"/>
      <c r="U159" s="931"/>
      <c r="V159" s="931"/>
      <c r="W159" s="931"/>
      <c r="X159" s="931"/>
    </row>
    <row r="160" spans="1:27" ht="12.95" customHeight="1">
      <c r="A160" s="809" t="s">
        <v>674</v>
      </c>
      <c r="B160" s="809"/>
      <c r="C160" s="809"/>
      <c r="D160" s="836">
        <v>-9.2999999999999999E-2</v>
      </c>
      <c r="E160" s="836">
        <v>5.0000000000000001E-3</v>
      </c>
      <c r="F160" s="836">
        <v>1.4999999999999999E-2</v>
      </c>
      <c r="G160" s="705"/>
      <c r="H160" s="742"/>
      <c r="I160" s="1157"/>
      <c r="J160" s="1155"/>
      <c r="K160" s="1155"/>
      <c r="L160" s="1155"/>
      <c r="M160" s="1155"/>
      <c r="N160" s="1155"/>
      <c r="O160" s="943" t="s">
        <v>290</v>
      </c>
      <c r="P160" s="944">
        <f>'Forecasts '!B361</f>
        <v>0.54925681135157445</v>
      </c>
      <c r="Q160" s="944">
        <f>'Forecasts '!C361</f>
        <v>0.6145175795787442</v>
      </c>
      <c r="R160" s="944">
        <f>'Forecasts '!D361</f>
        <v>0.64269523698720976</v>
      </c>
      <c r="S160" s="944">
        <f>'Forecasts '!E361</f>
        <v>0.6453558598244562</v>
      </c>
      <c r="T160" s="944">
        <f>'Forecasts '!F361</f>
        <v>0.649326820745461</v>
      </c>
      <c r="U160" s="944">
        <f>'Forecasts '!G361</f>
        <v>0.6545902345894512</v>
      </c>
      <c r="V160" s="944">
        <f>'Forecasts '!H361</f>
        <v>0.66140996970343169</v>
      </c>
      <c r="W160" s="944">
        <f>'Forecasts '!I361</f>
        <v>0.66945323166566828</v>
      </c>
      <c r="X160" s="944">
        <f>'Forecasts '!J361</f>
        <v>0.66945323166566828</v>
      </c>
    </row>
    <row r="161" spans="1:24" ht="12.95" customHeight="1">
      <c r="A161" s="809" t="s">
        <v>673</v>
      </c>
      <c r="B161" s="809"/>
      <c r="C161" s="809"/>
      <c r="D161" s="836">
        <v>-0.152</v>
      </c>
      <c r="E161" s="836">
        <v>-0.05</v>
      </c>
      <c r="F161" s="836">
        <v>-1.4999999999999999E-2</v>
      </c>
      <c r="G161" s="705"/>
      <c r="H161" s="742"/>
      <c r="I161" s="1158"/>
      <c r="J161" s="1155"/>
      <c r="K161" s="1155"/>
      <c r="L161" s="1155"/>
      <c r="M161" s="1155"/>
      <c r="N161" s="1155"/>
      <c r="O161" s="943" t="s">
        <v>289</v>
      </c>
      <c r="P161" s="944">
        <f>'Forecasts '!B362</f>
        <v>1.2185582060564166</v>
      </c>
      <c r="Q161" s="944">
        <f>'Forecasts '!C362</f>
        <v>1.5941520210109668</v>
      </c>
      <c r="R161" s="944">
        <f>'Forecasts '!D362</f>
        <v>1.7987312331579624</v>
      </c>
      <c r="S161" s="944">
        <f>'Forecasts '!E362</f>
        <v>1.8226159692314639</v>
      </c>
      <c r="T161" s="944">
        <f>'Forecasts '!F362</f>
        <v>1.8545926003891477</v>
      </c>
      <c r="U161" s="944">
        <f>'Forecasts '!G362</f>
        <v>1.8981287718331501</v>
      </c>
      <c r="V161" s="944">
        <f>'Forecasts '!H362</f>
        <v>1.9565697312626822</v>
      </c>
      <c r="W161" s="944">
        <f>'Forecasts '!I362</f>
        <v>2.0286088185838791</v>
      </c>
      <c r="X161" s="944">
        <f>'Forecasts '!J362</f>
        <v>2.0285153350825031</v>
      </c>
    </row>
    <row r="162" spans="1:24" ht="12.95" customHeight="1">
      <c r="A162" s="809" t="s">
        <v>672</v>
      </c>
      <c r="B162" s="809"/>
      <c r="C162" s="809"/>
      <c r="D162" s="836">
        <v>-5.1999999999999998E-2</v>
      </c>
      <c r="E162" s="836">
        <v>-1.2999999999999999E-2</v>
      </c>
      <c r="F162" s="836">
        <v>8.0000000000000002E-3</v>
      </c>
      <c r="H162" s="742"/>
      <c r="I162" s="1159"/>
      <c r="J162" s="1155"/>
      <c r="K162" s="1155"/>
      <c r="L162" s="1155"/>
      <c r="M162" s="1155"/>
      <c r="N162" s="1155"/>
      <c r="O162" s="943" t="s">
        <v>348</v>
      </c>
      <c r="P162" s="947">
        <f>'Forecasts '!B363</f>
        <v>2.2853639632542597</v>
      </c>
      <c r="Q162" s="947">
        <f>'Forecasts '!C363</f>
        <v>1.6569530315476964</v>
      </c>
      <c r="R162" s="947">
        <f>'Forecasts '!D363</f>
        <v>-0.1673385539749471</v>
      </c>
      <c r="S162" s="947">
        <f>'Forecasts '!E363</f>
        <v>-0.34160421733740626</v>
      </c>
      <c r="T162" s="947">
        <f>'Forecasts '!F363</f>
        <v>-5.4200667539846856E-2</v>
      </c>
      <c r="U162" s="947">
        <f>'Forecasts '!G363</f>
        <v>0.29286640885899234</v>
      </c>
      <c r="V162" s="947">
        <f>'Forecasts '!H363</f>
        <v>0.6501199061346653</v>
      </c>
      <c r="W162" s="947">
        <f>'Forecasts '!I363</f>
        <v>0.96831746217373171</v>
      </c>
      <c r="X162" s="947">
        <f>'Forecasts '!J363</f>
        <v>0.96831746217373227</v>
      </c>
    </row>
    <row r="163" spans="1:24" ht="12.95" customHeight="1">
      <c r="A163" s="809" t="s">
        <v>1164</v>
      </c>
      <c r="B163" s="809"/>
      <c r="C163" s="809"/>
      <c r="D163" s="836">
        <v>0</v>
      </c>
      <c r="E163" s="1137">
        <v>-7.4999999999999997E-2</v>
      </c>
      <c r="F163" s="836">
        <v>-5.3999999999999999E-2</v>
      </c>
      <c r="H163" s="742"/>
      <c r="I163" s="1160"/>
      <c r="J163" s="1155"/>
      <c r="K163" s="1155"/>
      <c r="L163" s="1155"/>
      <c r="M163" s="1155"/>
      <c r="N163" s="1155"/>
      <c r="O163" s="1155"/>
      <c r="P163" s="931"/>
      <c r="Q163" s="931"/>
      <c r="R163" s="931"/>
      <c r="S163" s="931"/>
      <c r="T163" s="931"/>
      <c r="U163" s="931"/>
      <c r="V163" s="931"/>
      <c r="W163" s="931"/>
      <c r="X163" s="931"/>
    </row>
    <row r="164" spans="1:24" ht="12.95" customHeight="1">
      <c r="A164" s="809" t="s">
        <v>670</v>
      </c>
      <c r="B164" s="809"/>
      <c r="C164" s="809"/>
      <c r="D164" s="836">
        <v>-4.7E-2</v>
      </c>
      <c r="E164" s="1137">
        <v>-5.0999999999999997E-2</v>
      </c>
      <c r="F164" s="836">
        <v>2.3E-2</v>
      </c>
      <c r="H164" s="742"/>
      <c r="I164" s="1161"/>
      <c r="J164" s="1155"/>
      <c r="K164" s="1155"/>
      <c r="L164" s="1155"/>
      <c r="M164" s="1155"/>
      <c r="N164" s="1155"/>
      <c r="O164" s="929" t="s">
        <v>1564</v>
      </c>
      <c r="P164" s="948" t="s">
        <v>1159</v>
      </c>
      <c r="Q164" s="948" t="s">
        <v>1160</v>
      </c>
      <c r="R164" s="948" t="s">
        <v>1161</v>
      </c>
      <c r="S164" s="948" t="s">
        <v>1162</v>
      </c>
      <c r="T164" s="948" t="s">
        <v>1163</v>
      </c>
      <c r="U164" s="931"/>
      <c r="V164" s="931"/>
      <c r="W164" s="931"/>
      <c r="X164" s="931"/>
    </row>
    <row r="165" spans="1:24" ht="12.95" customHeight="1">
      <c r="A165" s="785" t="s">
        <v>669</v>
      </c>
      <c r="B165" s="785"/>
      <c r="C165" s="785"/>
      <c r="D165" s="798">
        <v>3.5000000000000003E-2</v>
      </c>
      <c r="E165" s="1137">
        <v>-3.5000000000000003E-2</v>
      </c>
      <c r="F165" s="798">
        <v>4.4999999999999998E-2</v>
      </c>
      <c r="H165" s="742"/>
      <c r="I165" s="1162"/>
      <c r="J165" s="973"/>
      <c r="K165" s="973"/>
      <c r="L165" s="973"/>
      <c r="M165" s="973"/>
      <c r="N165" s="973"/>
      <c r="O165" s="943" t="s">
        <v>1565</v>
      </c>
      <c r="P165" s="944">
        <v>0.40279999999999999</v>
      </c>
      <c r="Q165" s="944">
        <v>-0.43680000000000002</v>
      </c>
      <c r="R165" s="944">
        <v>-0.42749999999999999</v>
      </c>
      <c r="S165" s="944">
        <v>-0.48330000000000001</v>
      </c>
      <c r="T165" s="944">
        <v>-0.48330000000000001</v>
      </c>
      <c r="U165" s="931"/>
      <c r="V165" s="931"/>
      <c r="W165" s="931"/>
      <c r="X165" s="931"/>
    </row>
    <row r="166" spans="1:24" ht="12.95" customHeight="1">
      <c r="H166" s="681"/>
      <c r="I166" s="973"/>
      <c r="J166" s="973"/>
      <c r="K166" s="973"/>
      <c r="L166" s="973"/>
      <c r="M166" s="973"/>
      <c r="N166" s="973"/>
      <c r="O166" s="943" t="s">
        <v>1203</v>
      </c>
      <c r="P166" s="944">
        <v>0.28710000000000002</v>
      </c>
      <c r="Q166" s="944">
        <v>0.15359999999999999</v>
      </c>
      <c r="R166" s="944">
        <v>0.23330000000000001</v>
      </c>
      <c r="S166" s="944">
        <v>0.31909999999999999</v>
      </c>
      <c r="T166" s="944">
        <v>0.31909999999999999</v>
      </c>
      <c r="U166" s="931"/>
      <c r="V166" s="931"/>
      <c r="W166" s="931"/>
      <c r="X166" s="931"/>
    </row>
    <row r="167" spans="1:24" ht="12.95" customHeight="1">
      <c r="A167" s="1022" t="s">
        <v>1217</v>
      </c>
      <c r="B167" s="1022"/>
      <c r="C167" s="1022"/>
      <c r="D167" s="1022"/>
      <c r="E167" s="1022"/>
      <c r="F167" s="1022"/>
      <c r="G167" s="1022"/>
      <c r="H167" s="1022"/>
      <c r="I167" s="1022"/>
      <c r="J167" s="1022"/>
      <c r="K167" s="1022"/>
      <c r="L167" s="1022"/>
      <c r="M167" s="1022"/>
    </row>
    <row r="168" spans="1:24" ht="12.95" customHeight="1">
      <c r="A168" s="1022"/>
      <c r="B168" s="1022"/>
      <c r="C168" s="1022"/>
      <c r="D168" s="1022"/>
      <c r="E168" s="1022"/>
      <c r="F168" s="1022"/>
      <c r="G168" s="1022"/>
      <c r="H168" s="1022"/>
      <c r="I168" s="1022"/>
      <c r="J168" s="1022"/>
      <c r="K168" s="1022"/>
      <c r="L168" s="1022"/>
      <c r="M168" s="1022"/>
    </row>
    <row r="169" spans="1:24" ht="12.95" customHeight="1">
      <c r="A169" s="1022"/>
      <c r="B169" s="1022"/>
      <c r="C169" s="1022"/>
      <c r="D169" s="1022"/>
      <c r="E169" s="1022"/>
      <c r="F169" s="1022"/>
      <c r="G169" s="1022"/>
      <c r="H169" s="1022"/>
      <c r="I169" s="1022"/>
      <c r="J169" s="1022"/>
      <c r="K169" s="1022"/>
      <c r="L169" s="1022"/>
      <c r="M169" s="1022"/>
    </row>
    <row r="170" spans="1:24" ht="12.95" customHeight="1">
      <c r="A170" s="1022"/>
      <c r="B170" s="1022"/>
      <c r="C170" s="1022"/>
      <c r="D170" s="1022"/>
      <c r="E170" s="1022"/>
      <c r="F170" s="1022"/>
      <c r="G170" s="1022"/>
      <c r="H170" s="1022"/>
      <c r="I170" s="1022"/>
      <c r="J170" s="1022"/>
      <c r="K170" s="1022"/>
      <c r="L170" s="1022"/>
      <c r="M170" s="1022"/>
    </row>
    <row r="171" spans="1:24" ht="12.95" customHeight="1">
      <c r="A171" s="1022"/>
      <c r="B171" s="1022"/>
      <c r="C171" s="1022"/>
      <c r="D171" s="1022"/>
      <c r="E171" s="1022"/>
      <c r="F171" s="1022"/>
      <c r="G171" s="1022"/>
      <c r="H171" s="1022"/>
      <c r="I171" s="1022"/>
      <c r="J171" s="1022"/>
      <c r="K171" s="1022"/>
      <c r="L171" s="1022"/>
      <c r="M171" s="1022"/>
    </row>
  </sheetData>
  <mergeCells count="69">
    <mergeCell ref="H1:M1"/>
    <mergeCell ref="V1:AA1"/>
    <mergeCell ref="V3:X3"/>
    <mergeCell ref="H4:J4"/>
    <mergeCell ref="V4:X4"/>
    <mergeCell ref="H2:J2"/>
    <mergeCell ref="V2:X2"/>
    <mergeCell ref="H3:J3"/>
    <mergeCell ref="V61:X61"/>
    <mergeCell ref="H62:J62"/>
    <mergeCell ref="V62:X62"/>
    <mergeCell ref="A52:M59"/>
    <mergeCell ref="A35:F38"/>
    <mergeCell ref="O35:Z37"/>
    <mergeCell ref="O50:S54"/>
    <mergeCell ref="L45:M45"/>
    <mergeCell ref="L46:M46"/>
    <mergeCell ref="L47:M47"/>
    <mergeCell ref="L48:M48"/>
    <mergeCell ref="L49:M49"/>
    <mergeCell ref="AK106:AO113"/>
    <mergeCell ref="V63:X63"/>
    <mergeCell ref="H60:M60"/>
    <mergeCell ref="H63:J63"/>
    <mergeCell ref="V60:AA60"/>
    <mergeCell ref="A76:M78"/>
    <mergeCell ref="AH62:AI62"/>
    <mergeCell ref="AL68:AO73"/>
    <mergeCell ref="A73:G75"/>
    <mergeCell ref="AL75:AO81"/>
    <mergeCell ref="AD99:AO101"/>
    <mergeCell ref="AD102:AO105"/>
    <mergeCell ref="AC60:AC117"/>
    <mergeCell ref="AK60:AP60"/>
    <mergeCell ref="A80:M82"/>
    <mergeCell ref="H61:J61"/>
    <mergeCell ref="A167:M171"/>
    <mergeCell ref="A100:F111"/>
    <mergeCell ref="A123:M133"/>
    <mergeCell ref="V117:AA117"/>
    <mergeCell ref="H118:J118"/>
    <mergeCell ref="V118:X118"/>
    <mergeCell ref="H119:J119"/>
    <mergeCell ref="V119:X119"/>
    <mergeCell ref="H120:J120"/>
    <mergeCell ref="V120:X120"/>
    <mergeCell ref="A152:M156"/>
    <mergeCell ref="H117:M117"/>
    <mergeCell ref="A39:F42"/>
    <mergeCell ref="A14:F25"/>
    <mergeCell ref="O40:R47"/>
    <mergeCell ref="A45:F49"/>
    <mergeCell ref="AC1:AC58"/>
    <mergeCell ref="A28:F32"/>
    <mergeCell ref="A7:F12"/>
    <mergeCell ref="O18:Z20"/>
    <mergeCell ref="O7:AA10"/>
    <mergeCell ref="L8:M8"/>
    <mergeCell ref="L9:M9"/>
    <mergeCell ref="L7:M7"/>
    <mergeCell ref="L10:M10"/>
    <mergeCell ref="L11:M11"/>
    <mergeCell ref="L12:M12"/>
    <mergeCell ref="L13:M13"/>
    <mergeCell ref="AK1:AP1"/>
    <mergeCell ref="O55:S59"/>
    <mergeCell ref="AD7:AP57"/>
    <mergeCell ref="O23:Z25"/>
    <mergeCell ref="U27:Z33"/>
  </mergeCells>
  <pageMargins left="3.472222222222222E-3" right="3.472222222222222E-3" top="6.9444444444444441E-3" bottom="6.9444444444444441E-3" header="4.1666666666666666E-3" footer="4.1666666666666666E-3"/>
  <pageSetup paperSize="9" scale="90" orientation="portrait" horizontalDpi="300" verticalDpi="300" r:id="rId1"/>
  <headerFooter>
    <oddHeader xml:space="preserve">&amp;L
</oddHeader>
    <oddFooter xml:space="preserve">&amp;L&amp;8Investment Recommendation&amp;C&amp;8FERRAGAMO S.P.A  - Aryan S kothari&amp;R&amp;8
</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43B77-1952-44F7-A633-67B203700291}">
  <dimension ref="A2:K22"/>
  <sheetViews>
    <sheetView zoomScale="90" zoomScaleNormal="90" workbookViewId="0">
      <selection activeCell="D11" sqref="D11"/>
    </sheetView>
  </sheetViews>
  <sheetFormatPr defaultColWidth="9.140625" defaultRowHeight="12.75"/>
  <cols>
    <col min="1" max="1" width="11.7109375" style="583" customWidth="1"/>
    <col min="2" max="2" width="5.85546875" style="581" customWidth="1"/>
    <col min="3" max="3" width="16.42578125" style="584" customWidth="1"/>
    <col min="4" max="4" width="31.7109375" style="584" customWidth="1"/>
    <col min="5" max="5" width="29.42578125" style="581" customWidth="1"/>
    <col min="6" max="6" width="21.28515625" style="584" customWidth="1"/>
    <col min="7" max="7" width="64.42578125" style="581" customWidth="1"/>
    <col min="8" max="11" width="9.140625" style="583"/>
    <col min="12" max="16384" width="9.140625" style="581"/>
  </cols>
  <sheetData>
    <row r="2" spans="2:7" s="609" customFormat="1" ht="13.5" thickBot="1">
      <c r="C2" s="621" t="s">
        <v>716</v>
      </c>
      <c r="D2" s="620" t="s">
        <v>721</v>
      </c>
      <c r="E2" s="620" t="s">
        <v>720</v>
      </c>
      <c r="F2" s="620" t="s">
        <v>719</v>
      </c>
      <c r="G2" s="619" t="s">
        <v>718</v>
      </c>
    </row>
    <row r="3" spans="2:7" s="609" customFormat="1" ht="67.5" customHeight="1">
      <c r="B3" s="618">
        <v>1</v>
      </c>
      <c r="C3" s="660" t="s">
        <v>1075</v>
      </c>
      <c r="D3" s="617"/>
      <c r="E3" t="s">
        <v>1081</v>
      </c>
      <c r="F3" s="615" t="s">
        <v>1082</v>
      </c>
      <c r="G3" s="614" t="s">
        <v>1085</v>
      </c>
    </row>
    <row r="4" spans="2:7" s="609" customFormat="1" ht="89.25">
      <c r="B4" s="618">
        <v>2</v>
      </c>
      <c r="C4" s="660" t="s">
        <v>1076</v>
      </c>
      <c r="D4" s="617"/>
      <c r="E4" s="616" t="s">
        <v>1086</v>
      </c>
      <c r="F4" s="615" t="s">
        <v>1080</v>
      </c>
      <c r="G4" s="614" t="s">
        <v>1083</v>
      </c>
    </row>
    <row r="5" spans="2:7" s="609" customFormat="1" ht="60.75" customHeight="1" thickBot="1">
      <c r="B5" s="613">
        <v>3</v>
      </c>
      <c r="C5" s="660" t="s">
        <v>1077</v>
      </c>
      <c r="D5" s="612"/>
      <c r="E5" s="611" t="s">
        <v>1078</v>
      </c>
      <c r="F5" s="661" t="s">
        <v>1079</v>
      </c>
      <c r="G5" s="610" t="s">
        <v>1084</v>
      </c>
    </row>
    <row r="6" spans="2:7" ht="13.5" thickBot="1">
      <c r="B6" s="583"/>
      <c r="C6" s="606"/>
      <c r="D6" s="606"/>
      <c r="E6" s="608" t="s">
        <v>717</v>
      </c>
      <c r="F6" s="607" t="s">
        <v>1087</v>
      </c>
      <c r="G6" s="583"/>
    </row>
    <row r="22" spans="7:7" ht="15">
      <c r="G22"/>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6C25C-84D2-4624-A038-A1F8249E962B}">
  <dimension ref="A1:L43"/>
  <sheetViews>
    <sheetView zoomScale="98" zoomScaleNormal="98" workbookViewId="0">
      <pane ySplit="4" topLeftCell="A23" activePane="bottomLeft" state="frozen"/>
      <selection pane="bottomLeft" activeCell="B16" sqref="A16:XFD16"/>
    </sheetView>
  </sheetViews>
  <sheetFormatPr defaultColWidth="8.7109375" defaultRowHeight="12.75"/>
  <cols>
    <col min="1" max="1" width="51.140625" style="605" customWidth="1"/>
    <col min="2" max="2" width="64.7109375" style="605" bestFit="1" customWidth="1"/>
    <col min="3" max="3" width="17.140625" style="605" customWidth="1"/>
    <col min="4" max="4" width="48" style="605" bestFit="1" customWidth="1"/>
    <col min="5" max="5" width="70.140625" style="605" bestFit="1" customWidth="1"/>
    <col min="6" max="6" width="16.42578125" style="605" customWidth="1"/>
    <col min="7" max="7" width="13.5703125" style="605" customWidth="1"/>
    <col min="8" max="16384" width="8.7109375" style="605"/>
  </cols>
  <sheetData>
    <row r="1" spans="1:12" ht="27.95" customHeight="1">
      <c r="A1" s="1233" t="s">
        <v>1567</v>
      </c>
      <c r="B1" s="1233"/>
      <c r="C1" s="1233"/>
      <c r="D1" s="1233"/>
      <c r="E1" s="1233"/>
      <c r="F1"/>
      <c r="G1"/>
      <c r="H1"/>
    </row>
    <row r="2" spans="1:12" ht="15.95" customHeight="1">
      <c r="A2" s="1232" t="s">
        <v>1568</v>
      </c>
      <c r="B2" s="1232"/>
      <c r="C2" s="1232"/>
      <c r="D2" s="1232"/>
      <c r="E2" s="1232"/>
      <c r="F2"/>
      <c r="G2"/>
      <c r="H2"/>
    </row>
    <row r="3" spans="1:12" ht="6" customHeight="1">
      <c r="A3"/>
      <c r="B3"/>
      <c r="C3"/>
      <c r="D3"/>
      <c r="E3"/>
      <c r="F3"/>
      <c r="G3"/>
      <c r="H3"/>
    </row>
    <row r="4" spans="1:12" ht="18" customHeight="1">
      <c r="A4" s="1163" t="s">
        <v>1569</v>
      </c>
      <c r="B4" s="1164" t="s">
        <v>1570</v>
      </c>
      <c r="C4" s="1165" t="s">
        <v>1571</v>
      </c>
      <c r="D4" s="1164" t="s">
        <v>1572</v>
      </c>
      <c r="E4" s="1166" t="s">
        <v>1573</v>
      </c>
      <c r="F4"/>
      <c r="G4"/>
      <c r="H4"/>
      <c r="I4" s="586"/>
      <c r="J4" s="586"/>
      <c r="K4" s="586"/>
      <c r="L4" s="586"/>
    </row>
    <row r="5" spans="1:12" ht="15" customHeight="1">
      <c r="A5" s="1167" t="s">
        <v>1574</v>
      </c>
      <c r="B5" s="1168"/>
      <c r="C5" s="1168"/>
      <c r="D5" s="1168"/>
      <c r="E5" s="1169"/>
      <c r="F5"/>
      <c r="G5"/>
      <c r="H5"/>
      <c r="I5" s="586"/>
      <c r="J5" s="586"/>
      <c r="K5" s="586"/>
      <c r="L5" s="586"/>
    </row>
    <row r="6" spans="1:12" ht="15.95" customHeight="1">
      <c r="A6" s="1170" t="s">
        <v>1325</v>
      </c>
      <c r="B6" s="1171" t="s">
        <v>1326</v>
      </c>
      <c r="C6" s="1172" t="s">
        <v>1327</v>
      </c>
      <c r="D6" s="1171" t="s">
        <v>1575</v>
      </c>
      <c r="E6" s="1173" t="s">
        <v>1577</v>
      </c>
      <c r="F6"/>
      <c r="G6"/>
      <c r="H6"/>
      <c r="I6" s="586"/>
      <c r="J6" s="586"/>
      <c r="K6" s="586"/>
      <c r="L6" s="586"/>
    </row>
    <row r="7" spans="1:12" ht="15.95" customHeight="1">
      <c r="A7" s="1174" t="s">
        <v>1328</v>
      </c>
      <c r="B7" s="1175" t="s">
        <v>1578</v>
      </c>
      <c r="C7" s="1176" t="s">
        <v>1579</v>
      </c>
      <c r="D7" s="1175" t="s">
        <v>1580</v>
      </c>
      <c r="E7" s="1177" t="s">
        <v>1581</v>
      </c>
      <c r="F7"/>
      <c r="G7"/>
      <c r="H7"/>
      <c r="I7" s="586"/>
      <c r="J7" s="586"/>
      <c r="K7" s="586"/>
      <c r="L7" s="586"/>
    </row>
    <row r="8" spans="1:12" ht="15.95" customHeight="1">
      <c r="A8" s="1178" t="s">
        <v>1329</v>
      </c>
      <c r="B8" s="1179" t="s">
        <v>1582</v>
      </c>
      <c r="C8" s="1180" t="s">
        <v>1583</v>
      </c>
      <c r="D8" s="1179" t="s">
        <v>1584</v>
      </c>
      <c r="E8" s="1181" t="s">
        <v>1585</v>
      </c>
      <c r="F8"/>
      <c r="G8"/>
      <c r="H8"/>
      <c r="I8" s="586"/>
      <c r="J8" s="586"/>
      <c r="K8" s="586"/>
      <c r="L8" s="586"/>
    </row>
    <row r="9" spans="1:12" ht="15.95" customHeight="1">
      <c r="A9" s="1174" t="s">
        <v>1332</v>
      </c>
      <c r="B9" s="1175" t="s">
        <v>1586</v>
      </c>
      <c r="C9" s="1176" t="s">
        <v>1587</v>
      </c>
      <c r="D9" s="1175" t="s">
        <v>1588</v>
      </c>
      <c r="E9" s="1177" t="s">
        <v>1589</v>
      </c>
      <c r="F9"/>
      <c r="G9"/>
      <c r="H9"/>
      <c r="I9" s="586"/>
      <c r="J9" s="586"/>
      <c r="K9" s="586"/>
      <c r="L9" s="586"/>
    </row>
    <row r="10" spans="1:12" ht="15.95" customHeight="1">
      <c r="A10" s="1178" t="s">
        <v>1335</v>
      </c>
      <c r="B10" s="1179" t="s">
        <v>455</v>
      </c>
      <c r="C10" s="1180" t="s">
        <v>1330</v>
      </c>
      <c r="D10" s="1179" t="s">
        <v>1331</v>
      </c>
      <c r="E10" s="1181" t="s">
        <v>1577</v>
      </c>
      <c r="F10"/>
      <c r="G10"/>
      <c r="H10"/>
      <c r="I10" s="586"/>
      <c r="J10" s="586"/>
      <c r="K10" s="586"/>
      <c r="L10" s="586"/>
    </row>
    <row r="11" spans="1:12" ht="15.95" customHeight="1">
      <c r="A11" s="1174" t="s">
        <v>1339</v>
      </c>
      <c r="B11" s="1175" t="s">
        <v>1590</v>
      </c>
      <c r="C11" s="1176" t="s">
        <v>1587</v>
      </c>
      <c r="D11" s="1175" t="s">
        <v>1591</v>
      </c>
      <c r="E11" s="1177" t="s">
        <v>1592</v>
      </c>
      <c r="F11"/>
      <c r="G11"/>
      <c r="H11"/>
      <c r="I11" s="586"/>
      <c r="J11" s="586"/>
      <c r="K11" s="586"/>
      <c r="L11" s="586"/>
    </row>
    <row r="12" spans="1:12" ht="15" customHeight="1">
      <c r="A12" s="1182" t="s">
        <v>1593</v>
      </c>
      <c r="B12" s="1183"/>
      <c r="C12" s="1183"/>
      <c r="D12" s="1183"/>
      <c r="E12" s="1184"/>
      <c r="F12"/>
      <c r="G12"/>
      <c r="H12"/>
      <c r="I12" s="586"/>
      <c r="J12" s="586"/>
      <c r="K12" s="586"/>
      <c r="L12" s="586"/>
    </row>
    <row r="13" spans="1:12" ht="15.95" customHeight="1">
      <c r="A13" s="1185" t="s">
        <v>1340</v>
      </c>
      <c r="B13" s="1186" t="s">
        <v>1594</v>
      </c>
      <c r="C13" s="1187">
        <v>46082</v>
      </c>
      <c r="D13" s="1186" t="s">
        <v>1595</v>
      </c>
      <c r="E13" s="1188" t="s">
        <v>1596</v>
      </c>
      <c r="F13"/>
      <c r="G13"/>
      <c r="H13"/>
      <c r="I13" s="586"/>
      <c r="J13" s="586"/>
      <c r="K13" s="586"/>
      <c r="L13" s="586"/>
    </row>
    <row r="14" spans="1:12" ht="15.95" customHeight="1">
      <c r="A14" s="1189" t="s">
        <v>1341</v>
      </c>
      <c r="B14" s="1175" t="s">
        <v>1597</v>
      </c>
      <c r="C14" s="1176" t="s">
        <v>1598</v>
      </c>
      <c r="D14" s="1175" t="s">
        <v>1599</v>
      </c>
      <c r="E14" s="1177" t="s">
        <v>1600</v>
      </c>
      <c r="F14"/>
      <c r="G14"/>
      <c r="H14"/>
      <c r="I14" s="586"/>
      <c r="J14" s="586"/>
      <c r="K14" s="586"/>
      <c r="L14" s="586"/>
    </row>
    <row r="15" spans="1:12" ht="15.95" customHeight="1">
      <c r="A15" s="1190" t="s">
        <v>1342</v>
      </c>
      <c r="B15" s="1191" t="s">
        <v>1601</v>
      </c>
      <c r="C15" s="1193">
        <v>46082</v>
      </c>
      <c r="D15" s="1191" t="s">
        <v>1602</v>
      </c>
      <c r="E15" s="1194" t="s">
        <v>1603</v>
      </c>
      <c r="F15"/>
      <c r="G15"/>
      <c r="H15"/>
      <c r="I15" s="586"/>
      <c r="J15" s="586"/>
      <c r="K15" s="586"/>
      <c r="L15" s="586"/>
    </row>
    <row r="16" spans="1:12" ht="15.95" customHeight="1">
      <c r="A16" s="1189" t="s">
        <v>1343</v>
      </c>
      <c r="B16" s="1175" t="s">
        <v>1333</v>
      </c>
      <c r="C16" s="1195">
        <v>45658</v>
      </c>
      <c r="D16" s="1175" t="s">
        <v>1604</v>
      </c>
      <c r="E16" s="1177" t="s">
        <v>1334</v>
      </c>
      <c r="F16"/>
      <c r="G16"/>
      <c r="H16"/>
      <c r="I16" s="586"/>
      <c r="J16" s="586"/>
      <c r="K16" s="586"/>
      <c r="L16" s="586"/>
    </row>
    <row r="17" spans="1:12" ht="15.95" customHeight="1">
      <c r="A17" s="1190" t="s">
        <v>1345</v>
      </c>
      <c r="B17" s="1191" t="s">
        <v>1336</v>
      </c>
      <c r="C17" s="1192" t="s">
        <v>1337</v>
      </c>
      <c r="D17" s="1191" t="s">
        <v>1605</v>
      </c>
      <c r="E17" s="1194" t="s">
        <v>1338</v>
      </c>
      <c r="F17"/>
      <c r="G17"/>
      <c r="H17"/>
      <c r="I17" s="586"/>
      <c r="J17" s="586"/>
      <c r="K17" s="586"/>
      <c r="L17" s="586"/>
    </row>
    <row r="18" spans="1:12" ht="15.95" customHeight="1">
      <c r="A18" s="1189" t="s">
        <v>1347</v>
      </c>
      <c r="B18" s="1175" t="s">
        <v>1606</v>
      </c>
      <c r="C18" s="1176" t="s">
        <v>1330</v>
      </c>
      <c r="D18" s="1175" t="s">
        <v>1607</v>
      </c>
      <c r="E18" s="1177" t="s">
        <v>1592</v>
      </c>
      <c r="F18"/>
      <c r="G18"/>
      <c r="H18"/>
      <c r="I18" s="586"/>
      <c r="J18" s="586"/>
      <c r="K18" s="586"/>
      <c r="L18" s="586"/>
    </row>
    <row r="19" spans="1:12" ht="15" customHeight="1">
      <c r="A19" s="1182" t="s">
        <v>1608</v>
      </c>
      <c r="B19" s="1183"/>
      <c r="C19" s="1183"/>
      <c r="D19" s="1183"/>
      <c r="E19" s="1184"/>
      <c r="F19"/>
      <c r="G19"/>
      <c r="H19"/>
      <c r="I19" s="586"/>
      <c r="J19" s="586"/>
      <c r="K19" s="586"/>
      <c r="L19" s="586"/>
    </row>
    <row r="20" spans="1:12" ht="15.95" customHeight="1">
      <c r="A20" s="1196" t="s">
        <v>1348</v>
      </c>
      <c r="B20" s="1197" t="s">
        <v>1609</v>
      </c>
      <c r="C20" s="1198" t="s">
        <v>1346</v>
      </c>
      <c r="D20" s="1197" t="s">
        <v>1610</v>
      </c>
      <c r="E20" s="1199" t="s">
        <v>1611</v>
      </c>
      <c r="F20"/>
      <c r="G20"/>
      <c r="H20"/>
      <c r="I20" s="586"/>
      <c r="J20" s="586"/>
      <c r="K20" s="586"/>
      <c r="L20" s="586"/>
    </row>
    <row r="21" spans="1:12" ht="15.95" customHeight="1">
      <c r="A21" s="1200" t="s">
        <v>1612</v>
      </c>
      <c r="B21" s="1175" t="s">
        <v>1613</v>
      </c>
      <c r="C21" s="1176" t="s">
        <v>1587</v>
      </c>
      <c r="D21" s="1175" t="s">
        <v>1614</v>
      </c>
      <c r="E21" s="1177" t="s">
        <v>1592</v>
      </c>
      <c r="F21"/>
      <c r="G21"/>
      <c r="H21"/>
      <c r="I21" s="586"/>
      <c r="J21" s="586"/>
      <c r="K21" s="586"/>
      <c r="L21" s="586"/>
    </row>
    <row r="22" spans="1:12" ht="15.95" customHeight="1">
      <c r="A22" s="1201" t="s">
        <v>1615</v>
      </c>
      <c r="B22" s="1202" t="s">
        <v>1616</v>
      </c>
      <c r="C22" s="1203" t="s">
        <v>1617</v>
      </c>
      <c r="D22" s="1202" t="s">
        <v>1618</v>
      </c>
      <c r="E22" s="1204" t="s">
        <v>1619</v>
      </c>
      <c r="F22"/>
      <c r="G22"/>
      <c r="H22"/>
      <c r="I22" s="586"/>
      <c r="J22" s="586"/>
      <c r="K22" s="586"/>
      <c r="L22" s="586"/>
    </row>
    <row r="23" spans="1:12" ht="15" customHeight="1">
      <c r="A23" s="1182" t="s">
        <v>1620</v>
      </c>
      <c r="B23" s="1183"/>
      <c r="C23" s="1183"/>
      <c r="D23" s="1183"/>
      <c r="E23" s="1184"/>
      <c r="F23"/>
      <c r="G23"/>
      <c r="H23"/>
      <c r="I23" s="586"/>
      <c r="J23" s="586"/>
      <c r="K23" s="586"/>
      <c r="L23" s="586"/>
    </row>
    <row r="24" spans="1:12" ht="15.95" customHeight="1">
      <c r="A24" s="1205" t="s">
        <v>1621</v>
      </c>
      <c r="B24" s="1206" t="s">
        <v>1622</v>
      </c>
      <c r="C24" s="1207">
        <v>46082</v>
      </c>
      <c r="D24" s="1206" t="s">
        <v>1623</v>
      </c>
      <c r="E24" s="1208" t="s">
        <v>1625</v>
      </c>
      <c r="F24"/>
      <c r="G24"/>
      <c r="H24"/>
      <c r="I24" s="586"/>
      <c r="J24" s="586"/>
      <c r="K24" s="586"/>
      <c r="L24" s="586"/>
    </row>
    <row r="25" spans="1:12" ht="15.95" customHeight="1">
      <c r="A25" s="1209" t="s">
        <v>1626</v>
      </c>
      <c r="B25" s="1175" t="s">
        <v>1627</v>
      </c>
      <c r="C25" s="1195">
        <v>46082</v>
      </c>
      <c r="D25" s="1175" t="s">
        <v>1628</v>
      </c>
      <c r="E25" s="1177" t="s">
        <v>1629</v>
      </c>
      <c r="F25"/>
      <c r="G25"/>
      <c r="H25"/>
      <c r="I25" s="586"/>
      <c r="J25" s="586"/>
      <c r="K25" s="586"/>
      <c r="L25" s="586"/>
    </row>
    <row r="26" spans="1:12" ht="15.95" customHeight="1">
      <c r="A26" s="1210" t="s">
        <v>1630</v>
      </c>
      <c r="B26" s="1211" t="s">
        <v>1631</v>
      </c>
      <c r="C26" s="1212">
        <v>46082</v>
      </c>
      <c r="D26" s="1211" t="s">
        <v>1632</v>
      </c>
      <c r="E26" s="1213" t="s">
        <v>1629</v>
      </c>
      <c r="F26"/>
      <c r="G26"/>
      <c r="H26"/>
      <c r="I26" s="586"/>
      <c r="J26" s="586"/>
      <c r="K26" s="586"/>
      <c r="L26" s="586"/>
    </row>
    <row r="27" spans="1:12" ht="15.95" customHeight="1">
      <c r="A27" s="1209" t="s">
        <v>1633</v>
      </c>
      <c r="B27" s="1175" t="s">
        <v>1634</v>
      </c>
      <c r="C27" s="1195">
        <v>46082</v>
      </c>
      <c r="D27" s="1175" t="s">
        <v>1635</v>
      </c>
      <c r="E27" s="1177" t="s">
        <v>1629</v>
      </c>
      <c r="F27"/>
      <c r="G27"/>
      <c r="H27"/>
      <c r="I27" s="586"/>
      <c r="J27" s="586"/>
      <c r="K27" s="586"/>
      <c r="L27" s="586"/>
    </row>
    <row r="28" spans="1:12" ht="15.95" customHeight="1">
      <c r="A28" s="1210" t="s">
        <v>1636</v>
      </c>
      <c r="B28" s="1211" t="s">
        <v>1637</v>
      </c>
      <c r="C28" s="1214" t="s">
        <v>1638</v>
      </c>
      <c r="D28" s="1211" t="s">
        <v>1344</v>
      </c>
      <c r="E28" s="1213" t="s">
        <v>1639</v>
      </c>
      <c r="F28"/>
      <c r="G28"/>
      <c r="H28"/>
      <c r="I28" s="586"/>
      <c r="J28" s="586"/>
      <c r="K28" s="586"/>
      <c r="L28" s="586"/>
    </row>
    <row r="29" spans="1:12" ht="15.95" customHeight="1">
      <c r="A29" s="1209" t="s">
        <v>1640</v>
      </c>
      <c r="B29" s="1175" t="s">
        <v>1641</v>
      </c>
      <c r="C29" s="1195">
        <v>45658</v>
      </c>
      <c r="D29" s="1175" t="s">
        <v>1642</v>
      </c>
      <c r="E29" s="1177" t="s">
        <v>1338</v>
      </c>
      <c r="F29"/>
      <c r="G29"/>
      <c r="H29"/>
      <c r="I29" s="586"/>
      <c r="J29" s="586"/>
      <c r="K29" s="586"/>
      <c r="L29" s="586"/>
    </row>
    <row r="30" spans="1:12" ht="15.95" customHeight="1">
      <c r="A30" s="1210" t="s">
        <v>1643</v>
      </c>
      <c r="B30" s="1211" t="s">
        <v>1644</v>
      </c>
      <c r="C30" s="1214" t="s">
        <v>1645</v>
      </c>
      <c r="D30" s="1211" t="s">
        <v>1646</v>
      </c>
      <c r="E30" s="1213" t="s">
        <v>1648</v>
      </c>
      <c r="F30"/>
      <c r="G30"/>
      <c r="H30"/>
      <c r="I30" s="586"/>
      <c r="J30" s="586"/>
      <c r="K30" s="586"/>
      <c r="L30" s="586"/>
    </row>
    <row r="31" spans="1:12" ht="15" customHeight="1">
      <c r="A31" s="1182" t="s">
        <v>1649</v>
      </c>
      <c r="B31" s="1183"/>
      <c r="C31" s="1183"/>
      <c r="D31" s="1183"/>
      <c r="E31" s="1184"/>
      <c r="F31"/>
      <c r="G31"/>
      <c r="H31"/>
      <c r="I31" s="586"/>
      <c r="J31" s="586"/>
      <c r="K31" s="586"/>
      <c r="L31" s="586"/>
    </row>
    <row r="32" spans="1:12" ht="18" customHeight="1">
      <c r="A32" s="1215" t="s">
        <v>1576</v>
      </c>
      <c r="B32" s="1186" t="s">
        <v>1650</v>
      </c>
      <c r="C32" s="1235" t="s">
        <v>1651</v>
      </c>
      <c r="D32" s="1216" t="s">
        <v>1250</v>
      </c>
      <c r="E32" s="1217" t="s">
        <v>1624</v>
      </c>
      <c r="F32"/>
      <c r="G32"/>
      <c r="H32"/>
      <c r="I32" s="586"/>
      <c r="J32" s="586"/>
      <c r="K32" s="586"/>
      <c r="L32" s="586"/>
    </row>
    <row r="33" spans="1:12" ht="14.1" customHeight="1">
      <c r="A33" s="1218" t="s">
        <v>1652</v>
      </c>
      <c r="B33" s="1219"/>
      <c r="C33" s="1234"/>
      <c r="D33" s="1220"/>
      <c r="E33" s="1221" t="s">
        <v>1647</v>
      </c>
      <c r="F33"/>
      <c r="G33"/>
      <c r="H33"/>
      <c r="I33" s="586"/>
      <c r="J33" s="586"/>
      <c r="K33" s="586"/>
      <c r="L33" s="586"/>
    </row>
    <row r="34" spans="1:12" ht="12.95" customHeight="1">
      <c r="A34" s="1222"/>
      <c r="B34" s="1223"/>
      <c r="C34" s="1234"/>
      <c r="D34" s="1223"/>
      <c r="E34" s="1224" t="s">
        <v>1653</v>
      </c>
      <c r="F34"/>
      <c r="G34"/>
      <c r="H34"/>
      <c r="I34" s="586"/>
      <c r="J34" s="586"/>
      <c r="K34" s="586"/>
      <c r="L34" s="586"/>
    </row>
    <row r="35" spans="1:12" ht="8.1" customHeight="1">
      <c r="A35" s="1225"/>
      <c r="B35" s="1223"/>
      <c r="C35" s="1234"/>
      <c r="D35" s="1223"/>
      <c r="E35" s="1226"/>
      <c r="F35"/>
      <c r="G35"/>
      <c r="H35"/>
      <c r="I35" s="586"/>
      <c r="J35" s="586"/>
      <c r="K35" s="586"/>
      <c r="L35" s="586"/>
    </row>
    <row r="36" spans="1:12" ht="14.1" customHeight="1">
      <c r="A36" s="1227" t="s">
        <v>1654</v>
      </c>
      <c r="B36" s="1223"/>
      <c r="C36" s="1234"/>
      <c r="D36" s="1223"/>
      <c r="E36" s="1226"/>
      <c r="F36"/>
      <c r="G36"/>
      <c r="H36"/>
      <c r="I36" s="586"/>
      <c r="J36" s="586"/>
      <c r="K36" s="586"/>
      <c r="L36" s="586"/>
    </row>
    <row r="37" spans="1:12" s="1229" customFormat="1" ht="14.1" customHeight="1">
      <c r="A37" s="1228"/>
      <c r="E37" s="1230"/>
      <c r="F37" s="1228"/>
      <c r="G37" s="1228"/>
      <c r="H37" s="1228"/>
      <c r="I37" s="1231"/>
      <c r="J37" s="1231"/>
      <c r="K37" s="1231"/>
      <c r="L37" s="1231"/>
    </row>
    <row r="38" spans="1:12" ht="15">
      <c r="E38"/>
      <c r="F38"/>
      <c r="G38"/>
      <c r="H38"/>
    </row>
    <row r="39" spans="1:12" ht="15">
      <c r="E39"/>
      <c r="F39"/>
      <c r="G39"/>
      <c r="H39"/>
    </row>
    <row r="40" spans="1:12" ht="15">
      <c r="E40"/>
      <c r="F40"/>
      <c r="G40"/>
      <c r="H40"/>
    </row>
    <row r="41" spans="1:12" ht="15">
      <c r="E41"/>
      <c r="F41"/>
      <c r="G41"/>
      <c r="H41"/>
    </row>
    <row r="42" spans="1:12" ht="15">
      <c r="E42"/>
      <c r="F42"/>
      <c r="G42"/>
      <c r="H42"/>
    </row>
    <row r="43" spans="1:12" ht="15">
      <c r="E43"/>
      <c r="F43"/>
      <c r="G43"/>
      <c r="H43"/>
    </row>
  </sheetData>
  <mergeCells count="3">
    <mergeCell ref="A2:E2"/>
    <mergeCell ref="A1:E1"/>
    <mergeCell ref="C32:C36"/>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bb46a80-d285-4c6b-9b3a-5e3a8cba45a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8F5A435CD39F142AE5D3A2B3985820E" ma:contentTypeVersion="6" ma:contentTypeDescription="Create a new document." ma:contentTypeScope="" ma:versionID="7f07a028008415985806c516844a0b46">
  <xsd:schema xmlns:xsd="http://www.w3.org/2001/XMLSchema" xmlns:xs="http://www.w3.org/2001/XMLSchema" xmlns:p="http://schemas.microsoft.com/office/2006/metadata/properties" xmlns:ns3="fbb46a80-d285-4c6b-9b3a-5e3a8cba45ab" targetNamespace="http://schemas.microsoft.com/office/2006/metadata/properties" ma:root="true" ma:fieldsID="193247ef3df232a7e6811b9be893592f" ns3:_="">
    <xsd:import namespace="fbb46a80-d285-4c6b-9b3a-5e3a8cba45ab"/>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b46a80-d285-4c6b-9b3a-5e3a8cba45a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36BEB5-1D81-4E39-9DF0-7DD3F74E4801}">
  <ds:schemaRefs>
    <ds:schemaRef ds:uri="http://schemas.microsoft.com/office/infopath/2007/PartnerControls"/>
    <ds:schemaRef ds:uri="http://schemas.openxmlformats.org/package/2006/metadata/core-properties"/>
    <ds:schemaRef ds:uri="fbb46a80-d285-4c6b-9b3a-5e3a8cba45ab"/>
    <ds:schemaRef ds:uri="http://www.w3.org/XML/1998/namespace"/>
    <ds:schemaRef ds:uri="http://schemas.microsoft.com/office/2006/documentManagement/types"/>
    <ds:schemaRef ds:uri="http://schemas.microsoft.com/office/2006/metadata/properties"/>
    <ds:schemaRef ds:uri="http://purl.org/dc/dcmitype/"/>
    <ds:schemaRef ds:uri="http://purl.org/dc/terms/"/>
    <ds:schemaRef ds:uri="http://purl.org/dc/elements/1.1/"/>
  </ds:schemaRefs>
</ds:datastoreItem>
</file>

<file path=customXml/itemProps2.xml><?xml version="1.0" encoding="utf-8"?>
<ds:datastoreItem xmlns:ds="http://schemas.openxmlformats.org/officeDocument/2006/customXml" ds:itemID="{8271D1CF-4E69-4325-95DE-C111DCC8D7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b46a80-d285-4c6b-9b3a-5e3a8cba45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D8103CB-2C6B-4BCD-A57F-81D9C223F10D}">
  <ds:schemaRefs>
    <ds:schemaRef ds:uri="http://schemas.microsoft.com/sharepoint/v3/contenttype/forms"/>
  </ds:schemaRefs>
</ds:datastoreItem>
</file>

<file path=docMetadata/LabelInfo.xml><?xml version="1.0" encoding="utf-8"?>
<clbl:labelList xmlns:clbl="http://schemas.microsoft.com/office/2020/mipLabelMetadata">
  <clbl:label id="{9860db96-b53f-4bd7-8137-e09357cab268}" enabled="1" method="Standard" siteId="{b78d03e6-f6a2-4cff-83be-847d1a6453f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vt:i4>
      </vt:variant>
    </vt:vector>
  </HeadingPairs>
  <TitlesOfParts>
    <vt:vector size="23" baseType="lpstr">
      <vt:lpstr>CHECKS</vt:lpstr>
      <vt:lpstr>AUDIT_LOG</vt:lpstr>
      <vt:lpstr>EXEC SUMMARY</vt:lpstr>
      <vt:lpstr>Sheet1</vt:lpstr>
      <vt:lpstr>Data </vt:lpstr>
      <vt:lpstr>Forecast Development </vt:lpstr>
      <vt:lpstr>Analysis </vt:lpstr>
      <vt:lpstr>Forecasts </vt:lpstr>
      <vt:lpstr>Valuation </vt:lpstr>
      <vt:lpstr>OUTPUT SHEET</vt:lpstr>
      <vt:lpstr>COMP Sheet </vt:lpstr>
      <vt:lpstr>Porter </vt:lpstr>
      <vt:lpstr>Table &amp; Charts </vt:lpstr>
      <vt:lpstr>BETA</vt:lpstr>
      <vt:lpstr>Investment Ferragamo</vt:lpstr>
      <vt:lpstr>M&amp;A</vt:lpstr>
      <vt:lpstr>Sources</vt:lpstr>
      <vt:lpstr>'Analysis '!Print_Area</vt:lpstr>
      <vt:lpstr>'Data '!Print_Area</vt:lpstr>
      <vt:lpstr>'Forecast Development '!Print_Area</vt:lpstr>
      <vt:lpstr>'Forecasts '!Print_Area</vt:lpstr>
      <vt:lpstr>'Investment Ferragamo'!Print_Area</vt:lpstr>
      <vt:lpstr>'Valuation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SHRENICK KOTHARI Aryan</dc:creator>
  <cp:lastModifiedBy>aryan kothari</cp:lastModifiedBy>
  <cp:lastPrinted>2026-03-07T11:17:34Z</cp:lastPrinted>
  <dcterms:created xsi:type="dcterms:W3CDTF">2025-11-17T09:03:00Z</dcterms:created>
  <dcterms:modified xsi:type="dcterms:W3CDTF">2026-03-07T11:57:40Z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0x01010098F5A435CD39F142AE5D3A2B3985820E</vt:lpwstr>
  </property>
</Properties>
</file>