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drawings/drawing2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tables/table47.xml" ContentType="application/vnd.openxmlformats-officedocument.spreadsheetml.tab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tables/table48.xml" ContentType="application/vnd.openxmlformats-officedocument.spreadsheetml.tab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5.xml" ContentType="application/vnd.openxmlformats-officedocument.drawing+xml"/>
  <Override PartName="/xl/tables/table49.xml" ContentType="application/vnd.openxmlformats-officedocument.spreadsheetml.tab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6.xml" ContentType="application/vnd.openxmlformats-officedocument.drawing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7.xml" ContentType="application/vnd.openxmlformats-officedocument.drawing+xml"/>
  <Override PartName="/xl/tables/table52.xml" ContentType="application/vnd.openxmlformats-officedocument.spreadsheetml.tab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ayarnell_gsd_harvard_edu/Documents/Documents/Harvard MDes/Thesis/Simulation/Life-Cycle Carbon/"/>
    </mc:Choice>
  </mc:AlternateContent>
  <xr:revisionPtr revIDLastSave="0" documentId="8_{0AEEC9D4-E068-4614-A49E-50E6ACEE778E}" xr6:coauthVersionLast="47" xr6:coauthVersionMax="47" xr10:uidLastSave="{00000000-0000-0000-0000-000000000000}"/>
  <bookViews>
    <workbookView minimized="1" xWindow="37080" yWindow="3300" windowWidth="14400" windowHeight="7575" firstSheet="11" activeTab="15" xr2:uid="{182B87E1-950C-44FA-BA58-6F7178D86866}"/>
  </bookViews>
  <sheets>
    <sheet name="Results" sheetId="1" r:id="rId1"/>
    <sheet name="Summary Table" sheetId="33" r:id="rId2"/>
    <sheet name="gas emisisons" sheetId="19" state="hidden" r:id="rId3"/>
    <sheet name="Refrigerants RS" sheetId="31" state="hidden" r:id="rId4"/>
    <sheet name="Refrigerants OS" sheetId="30" state="hidden" r:id="rId5"/>
    <sheet name="Base - Gas" sheetId="2" r:id="rId6"/>
    <sheet name="Low EC - Gas" sheetId="20" r:id="rId7"/>
    <sheet name="Base - Electric" sheetId="9" r:id="rId8"/>
    <sheet name="Low EC - Electric" sheetId="11" r:id="rId9"/>
    <sheet name="PHIUS - Efficient Low EC" sheetId="13" r:id="rId10"/>
    <sheet name="PHIUS - Efficient Standard EC" sheetId="28" r:id="rId11"/>
    <sheet name="PHIUS - Inefficient High EC" sheetId="12" r:id="rId12"/>
    <sheet name="PHIUS - Efficient High EC" sheetId="32" r:id="rId13"/>
    <sheet name="Box and Whiskers" sheetId="26" state="hidden" r:id="rId14"/>
    <sheet name="Averages" sheetId="14" state="hidden" r:id="rId15"/>
    <sheet name="Grid emissions" sheetId="8" r:id="rId16"/>
    <sheet name="Embodied carbon emissions" sheetId="25" state="hidden" r:id="rId17"/>
    <sheet name="US-Average" sheetId="40" state="hidden" r:id="rId18"/>
    <sheet name="80% by 2050" sheetId="16" state="hidden" r:id="rId19"/>
    <sheet name="100% by 2050" sheetId="15" state="hidden" r:id="rId20"/>
    <sheet name="50% by 2050" sheetId="36" state="hidden" r:id="rId21"/>
    <sheet name="100% by 2035" sheetId="37" state="hidden" r:id="rId22"/>
    <sheet name="80% by 2035, 100% by 2050" sheetId="38" state="hidden" r:id="rId23"/>
    <sheet name="Business as Usual" sheetId="39" state="hidden" r:id="rId24"/>
  </sheets>
  <definedNames>
    <definedName name="_xlchart.v1.0" hidden="1">'Box and Whiskers'!$B$1</definedName>
    <definedName name="_xlchart.v1.1" hidden="1">'Box and Whiskers'!$B$2:$B$5</definedName>
    <definedName name="_xlchart.v1.10" hidden="1">'Box and Whiskers'!$G$1</definedName>
    <definedName name="_xlchart.v1.11" hidden="1">'Box and Whiskers'!$G$2:$G$5</definedName>
    <definedName name="_xlchart.v1.12" hidden="1">'Box and Whiskers'!$H$1</definedName>
    <definedName name="_xlchart.v1.13" hidden="1">'Box and Whiskers'!$H$2:$H$5</definedName>
    <definedName name="_xlchart.v1.14" hidden="1">'Box and Whiskers'!$I$1</definedName>
    <definedName name="_xlchart.v1.15" hidden="1">'Box and Whiskers'!$I$2:$I$5</definedName>
    <definedName name="_xlchart.v1.2" hidden="1">'Box and Whiskers'!$C$1</definedName>
    <definedName name="_xlchart.v1.3" hidden="1">'Box and Whiskers'!$C$2:$C$5</definedName>
    <definedName name="_xlchart.v1.4" hidden="1">'Box and Whiskers'!$D$1</definedName>
    <definedName name="_xlchart.v1.5" hidden="1">'Box and Whiskers'!$D$2:$D$5</definedName>
    <definedName name="_xlchart.v1.6" hidden="1">'Box and Whiskers'!$E$1</definedName>
    <definedName name="_xlchart.v1.7" hidden="1">'Box and Whiskers'!$E$2:$E$5</definedName>
    <definedName name="_xlchart.v1.8" hidden="1">'Box and Whiskers'!$F$1</definedName>
    <definedName name="_xlchart.v1.9" hidden="1">'Box and Whiskers'!$F$2:$F$5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39" l="1"/>
  <c r="D5" i="39" s="1"/>
  <c r="D6" i="39" s="1"/>
  <c r="D7" i="39" s="1"/>
  <c r="D8" i="39" s="1"/>
  <c r="D9" i="39" s="1"/>
  <c r="D10" i="39" s="1"/>
  <c r="D11" i="39" s="1"/>
  <c r="D12" i="39" s="1"/>
  <c r="D13" i="39" s="1"/>
  <c r="D14" i="39" s="1"/>
  <c r="D15" i="39" s="1"/>
  <c r="D16" i="39" s="1"/>
  <c r="D17" i="39" s="1"/>
  <c r="D18" i="39" s="1"/>
  <c r="D19" i="39" s="1"/>
  <c r="D20" i="39" s="1"/>
  <c r="D21" i="39" s="1"/>
  <c r="D22" i="39" s="1"/>
  <c r="D23" i="39" s="1"/>
  <c r="D24" i="39" s="1"/>
  <c r="D25" i="39" s="1"/>
  <c r="D26" i="39" s="1"/>
  <c r="D27" i="39" s="1"/>
  <c r="D28" i="39" s="1"/>
  <c r="D29" i="39" s="1"/>
  <c r="D30" i="39" s="1"/>
  <c r="D31" i="39" s="1"/>
  <c r="D32" i="39" s="1"/>
  <c r="D33" i="39" s="1"/>
  <c r="D34" i="39" s="1"/>
  <c r="D35" i="39" s="1"/>
  <c r="D36" i="39" s="1"/>
  <c r="D37" i="39" s="1"/>
  <c r="D38" i="39" s="1"/>
  <c r="D39" i="39" s="1"/>
  <c r="D40" i="39" s="1"/>
  <c r="D41" i="39" s="1"/>
  <c r="D42" i="39" s="1"/>
  <c r="D43" i="39" s="1"/>
  <c r="D44" i="39" s="1"/>
  <c r="D45" i="39" s="1"/>
  <c r="D46" i="39" s="1"/>
  <c r="D47" i="39" s="1"/>
  <c r="D48" i="39" s="1"/>
  <c r="D49" i="39" s="1"/>
  <c r="D50" i="39" s="1"/>
  <c r="D51" i="39" s="1"/>
  <c r="D52" i="39" s="1"/>
  <c r="D53" i="39" s="1"/>
  <c r="D54" i="39" s="1"/>
  <c r="D55" i="39" s="1"/>
  <c r="D56" i="39" s="1"/>
  <c r="D57" i="39" s="1"/>
  <c r="D58" i="39" s="1"/>
  <c r="D59" i="39" s="1"/>
  <c r="D60" i="39" s="1"/>
  <c r="D61" i="39" s="1"/>
  <c r="D62" i="39" s="1"/>
  <c r="D63" i="39" s="1"/>
  <c r="C4" i="39"/>
  <c r="C5" i="39" s="1"/>
  <c r="C6" i="39" s="1"/>
  <c r="C7" i="39" s="1"/>
  <c r="C8" i="39" s="1"/>
  <c r="C9" i="39" s="1"/>
  <c r="C10" i="39" s="1"/>
  <c r="C11" i="39" s="1"/>
  <c r="C12" i="39" s="1"/>
  <c r="C13" i="39" s="1"/>
  <c r="C14" i="39" s="1"/>
  <c r="C15" i="39" s="1"/>
  <c r="C16" i="39" s="1"/>
  <c r="C17" i="39" s="1"/>
  <c r="C18" i="39" s="1"/>
  <c r="C19" i="39" s="1"/>
  <c r="C20" i="39" s="1"/>
  <c r="C21" i="39" s="1"/>
  <c r="C22" i="39" s="1"/>
  <c r="C23" i="39" s="1"/>
  <c r="C24" i="39" s="1"/>
  <c r="C25" i="39" s="1"/>
  <c r="C26" i="39" s="1"/>
  <c r="C27" i="39" s="1"/>
  <c r="C28" i="39" s="1"/>
  <c r="C29" i="39" s="1"/>
  <c r="C30" i="39" s="1"/>
  <c r="C31" i="39" s="1"/>
  <c r="C32" i="39" s="1"/>
  <c r="C33" i="39" s="1"/>
  <c r="C34" i="39" s="1"/>
  <c r="C35" i="39" s="1"/>
  <c r="C36" i="39" s="1"/>
  <c r="C37" i="39" s="1"/>
  <c r="C38" i="39" s="1"/>
  <c r="C39" i="39" s="1"/>
  <c r="C40" i="39" s="1"/>
  <c r="C41" i="39" s="1"/>
  <c r="C42" i="39" s="1"/>
  <c r="C43" i="39" s="1"/>
  <c r="C44" i="39" s="1"/>
  <c r="C45" i="39" s="1"/>
  <c r="C46" i="39" s="1"/>
  <c r="C47" i="39" s="1"/>
  <c r="C48" i="39" s="1"/>
  <c r="C49" i="39" s="1"/>
  <c r="C50" i="39" s="1"/>
  <c r="C51" i="39" s="1"/>
  <c r="C52" i="39" s="1"/>
  <c r="C53" i="39" s="1"/>
  <c r="C54" i="39" s="1"/>
  <c r="C55" i="39" s="1"/>
  <c r="C56" i="39" s="1"/>
  <c r="C57" i="39" s="1"/>
  <c r="C58" i="39" s="1"/>
  <c r="C59" i="39" s="1"/>
  <c r="C60" i="39" s="1"/>
  <c r="C61" i="39" s="1"/>
  <c r="C62" i="39" s="1"/>
  <c r="C63" i="39" s="1"/>
  <c r="M7" i="39"/>
  <c r="M6" i="39"/>
  <c r="M5" i="39"/>
  <c r="M4" i="39"/>
  <c r="M3" i="39"/>
  <c r="F3" i="39"/>
  <c r="F4" i="39" s="1"/>
  <c r="F5" i="39" s="1"/>
  <c r="F6" i="39" s="1"/>
  <c r="F7" i="39" s="1"/>
  <c r="F8" i="39" s="1"/>
  <c r="F9" i="39" s="1"/>
  <c r="F10" i="39" s="1"/>
  <c r="F11" i="39" s="1"/>
  <c r="F12" i="39" s="1"/>
  <c r="F13" i="39" s="1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E3" i="39"/>
  <c r="E4" i="39" s="1"/>
  <c r="E5" i="39" s="1"/>
  <c r="E6" i="39" s="1"/>
  <c r="E7" i="39" s="1"/>
  <c r="E8" i="39" s="1"/>
  <c r="E9" i="39" s="1"/>
  <c r="E10" i="39" s="1"/>
  <c r="E11" i="39" s="1"/>
  <c r="E12" i="39" s="1"/>
  <c r="E13" i="39" s="1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D3" i="39"/>
  <c r="C3" i="39"/>
  <c r="B3" i="39"/>
  <c r="B4" i="39" s="1"/>
  <c r="B5" i="39" s="1"/>
  <c r="B6" i="39" s="1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B39" i="39" s="1"/>
  <c r="B40" i="39" s="1"/>
  <c r="B41" i="39" s="1"/>
  <c r="B42" i="39" s="1"/>
  <c r="B43" i="39" s="1"/>
  <c r="B44" i="39" s="1"/>
  <c r="B45" i="39" s="1"/>
  <c r="B46" i="39" s="1"/>
  <c r="B47" i="39" s="1"/>
  <c r="B48" i="39" s="1"/>
  <c r="B49" i="39" s="1"/>
  <c r="B50" i="39" s="1"/>
  <c r="B51" i="39" s="1"/>
  <c r="B52" i="39" s="1"/>
  <c r="B53" i="39" s="1"/>
  <c r="B54" i="39" s="1"/>
  <c r="B55" i="39" s="1"/>
  <c r="B56" i="39" s="1"/>
  <c r="B57" i="39" s="1"/>
  <c r="B58" i="39" s="1"/>
  <c r="B59" i="39" s="1"/>
  <c r="B60" i="39" s="1"/>
  <c r="B61" i="39" s="1"/>
  <c r="B62" i="39" s="1"/>
  <c r="B63" i="39" s="1"/>
  <c r="B18" i="38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C18" i="38"/>
  <c r="D18" i="38"/>
  <c r="E18" i="38"/>
  <c r="E19" i="38" s="1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F18" i="38"/>
  <c r="C19" i="38"/>
  <c r="D19" i="38"/>
  <c r="D20" i="38" s="1"/>
  <c r="D21" i="38" s="1"/>
  <c r="D22" i="38" s="1"/>
  <c r="D23" i="38" s="1"/>
  <c r="D24" i="38" s="1"/>
  <c r="D25" i="38" s="1"/>
  <c r="D26" i="38" s="1"/>
  <c r="D27" i="38" s="1"/>
  <c r="D28" i="38" s="1"/>
  <c r="D29" i="38" s="1"/>
  <c r="D30" i="38" s="1"/>
  <c r="F19" i="38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C20" i="38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F17" i="38"/>
  <c r="E17" i="38"/>
  <c r="D17" i="38"/>
  <c r="C17" i="38"/>
  <c r="B17" i="38"/>
  <c r="K14" i="38"/>
  <c r="K13" i="38"/>
  <c r="M13" i="38" s="1"/>
  <c r="K12" i="38"/>
  <c r="M12" i="38" s="1"/>
  <c r="M14" i="38"/>
  <c r="K11" i="38"/>
  <c r="M11" i="38"/>
  <c r="K10" i="38"/>
  <c r="M10" i="38"/>
  <c r="C16" i="38"/>
  <c r="D16" i="38"/>
  <c r="E16" i="38"/>
  <c r="F16" i="38"/>
  <c r="M7" i="38"/>
  <c r="M6" i="38"/>
  <c r="M5" i="38"/>
  <c r="M4" i="38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M3" i="38"/>
  <c r="B4" i="38" s="1"/>
  <c r="B5" i="38" s="1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F3" i="38"/>
  <c r="E3" i="38"/>
  <c r="E4" i="38" s="1"/>
  <c r="E5" i="38" s="1"/>
  <c r="E6" i="38" s="1"/>
  <c r="E7" i="38" s="1"/>
  <c r="E8" i="38" s="1"/>
  <c r="E9" i="38" s="1"/>
  <c r="E10" i="38" s="1"/>
  <c r="E11" i="38" s="1"/>
  <c r="E12" i="38" s="1"/>
  <c r="E13" i="38" s="1"/>
  <c r="E14" i="38" s="1"/>
  <c r="E15" i="38" s="1"/>
  <c r="D3" i="38"/>
  <c r="D4" i="38" s="1"/>
  <c r="D5" i="38" s="1"/>
  <c r="D6" i="38" s="1"/>
  <c r="D7" i="38" s="1"/>
  <c r="D8" i="38" s="1"/>
  <c r="D9" i="38" s="1"/>
  <c r="D10" i="38" s="1"/>
  <c r="D11" i="38" s="1"/>
  <c r="D12" i="38" s="1"/>
  <c r="D13" i="38" s="1"/>
  <c r="D14" i="38" s="1"/>
  <c r="D15" i="38" s="1"/>
  <c r="C3" i="38"/>
  <c r="B3" i="38"/>
  <c r="B18" i="37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B47" i="37" s="1"/>
  <c r="B48" i="37" s="1"/>
  <c r="B49" i="37" s="1"/>
  <c r="B50" i="37" s="1"/>
  <c r="B51" i="37" s="1"/>
  <c r="B52" i="37" s="1"/>
  <c r="B53" i="37" s="1"/>
  <c r="B54" i="37" s="1"/>
  <c r="B55" i="37" s="1"/>
  <c r="B56" i="37" s="1"/>
  <c r="B57" i="37" s="1"/>
  <c r="B58" i="37" s="1"/>
  <c r="B59" i="37" s="1"/>
  <c r="B60" i="37" s="1"/>
  <c r="B61" i="37" s="1"/>
  <c r="B62" i="37" s="1"/>
  <c r="B63" i="37" s="1"/>
  <c r="C18" i="37"/>
  <c r="D18" i="37"/>
  <c r="E18" i="37"/>
  <c r="F18" i="37"/>
  <c r="C19" i="37"/>
  <c r="C20" i="37" s="1"/>
  <c r="C21" i="37" s="1"/>
  <c r="C22" i="37" s="1"/>
  <c r="C23" i="37" s="1"/>
  <c r="C24" i="37" s="1"/>
  <c r="C25" i="37" s="1"/>
  <c r="C26" i="37" s="1"/>
  <c r="C27" i="37" s="1"/>
  <c r="C28" i="37" s="1"/>
  <c r="C29" i="37" s="1"/>
  <c r="C30" i="37" s="1"/>
  <c r="C31" i="37" s="1"/>
  <c r="C32" i="37" s="1"/>
  <c r="C33" i="37" s="1"/>
  <c r="C34" i="37" s="1"/>
  <c r="C35" i="37" s="1"/>
  <c r="C36" i="37" s="1"/>
  <c r="C37" i="37" s="1"/>
  <c r="C38" i="37" s="1"/>
  <c r="C39" i="37" s="1"/>
  <c r="C40" i="37" s="1"/>
  <c r="C41" i="37" s="1"/>
  <c r="C42" i="37" s="1"/>
  <c r="C43" i="37" s="1"/>
  <c r="C44" i="37" s="1"/>
  <c r="C45" i="37" s="1"/>
  <c r="C46" i="37" s="1"/>
  <c r="C47" i="37" s="1"/>
  <c r="C48" i="37" s="1"/>
  <c r="C49" i="37" s="1"/>
  <c r="C50" i="37" s="1"/>
  <c r="C51" i="37" s="1"/>
  <c r="C52" i="37" s="1"/>
  <c r="C53" i="37" s="1"/>
  <c r="C54" i="37" s="1"/>
  <c r="C55" i="37" s="1"/>
  <c r="C56" i="37" s="1"/>
  <c r="C57" i="37" s="1"/>
  <c r="C58" i="37" s="1"/>
  <c r="C59" i="37" s="1"/>
  <c r="C60" i="37" s="1"/>
  <c r="C61" i="37" s="1"/>
  <c r="C62" i="37" s="1"/>
  <c r="C63" i="37" s="1"/>
  <c r="D19" i="37"/>
  <c r="D20" i="37" s="1"/>
  <c r="D21" i="37" s="1"/>
  <c r="D22" i="37" s="1"/>
  <c r="D23" i="37" s="1"/>
  <c r="D24" i="37" s="1"/>
  <c r="D25" i="37" s="1"/>
  <c r="D26" i="37" s="1"/>
  <c r="D27" i="37" s="1"/>
  <c r="D28" i="37" s="1"/>
  <c r="D29" i="37" s="1"/>
  <c r="D30" i="37" s="1"/>
  <c r="D31" i="37" s="1"/>
  <c r="D32" i="37" s="1"/>
  <c r="D33" i="37" s="1"/>
  <c r="D34" i="37" s="1"/>
  <c r="D35" i="37" s="1"/>
  <c r="D36" i="37" s="1"/>
  <c r="D37" i="37" s="1"/>
  <c r="D38" i="37" s="1"/>
  <c r="D39" i="37" s="1"/>
  <c r="D40" i="37" s="1"/>
  <c r="D41" i="37" s="1"/>
  <c r="D42" i="37" s="1"/>
  <c r="D43" i="37" s="1"/>
  <c r="D44" i="37" s="1"/>
  <c r="D45" i="37" s="1"/>
  <c r="D46" i="37" s="1"/>
  <c r="D47" i="37" s="1"/>
  <c r="D48" i="37" s="1"/>
  <c r="D49" i="37" s="1"/>
  <c r="D50" i="37" s="1"/>
  <c r="D51" i="37" s="1"/>
  <c r="D52" i="37" s="1"/>
  <c r="D53" i="37" s="1"/>
  <c r="D54" i="37" s="1"/>
  <c r="D55" i="37" s="1"/>
  <c r="D56" i="37" s="1"/>
  <c r="D57" i="37" s="1"/>
  <c r="D58" i="37" s="1"/>
  <c r="D59" i="37" s="1"/>
  <c r="D60" i="37" s="1"/>
  <c r="D61" i="37" s="1"/>
  <c r="D62" i="37" s="1"/>
  <c r="D63" i="37" s="1"/>
  <c r="E19" i="37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F19" i="37"/>
  <c r="F20" i="37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C17" i="37"/>
  <c r="D17" i="37"/>
  <c r="E17" i="37"/>
  <c r="F17" i="37"/>
  <c r="B17" i="37"/>
  <c r="M7" i="37"/>
  <c r="M6" i="37"/>
  <c r="E4" i="37" s="1"/>
  <c r="E5" i="37" s="1"/>
  <c r="E6" i="37" s="1"/>
  <c r="E7" i="37" s="1"/>
  <c r="E8" i="37" s="1"/>
  <c r="E9" i="37" s="1"/>
  <c r="E10" i="37" s="1"/>
  <c r="E11" i="37" s="1"/>
  <c r="E12" i="37" s="1"/>
  <c r="E13" i="37" s="1"/>
  <c r="E14" i="37" s="1"/>
  <c r="E15" i="37" s="1"/>
  <c r="M5" i="37"/>
  <c r="D4" i="37" s="1"/>
  <c r="D5" i="37" s="1"/>
  <c r="D6" i="37" s="1"/>
  <c r="D7" i="37" s="1"/>
  <c r="D8" i="37" s="1"/>
  <c r="D9" i="37" s="1"/>
  <c r="D10" i="37" s="1"/>
  <c r="D11" i="37" s="1"/>
  <c r="D12" i="37" s="1"/>
  <c r="D13" i="37" s="1"/>
  <c r="D14" i="37" s="1"/>
  <c r="D15" i="37" s="1"/>
  <c r="D16" i="37" s="1"/>
  <c r="M4" i="37"/>
  <c r="M3" i="37"/>
  <c r="F3" i="37"/>
  <c r="E3" i="37"/>
  <c r="D3" i="37"/>
  <c r="C3" i="37"/>
  <c r="C4" i="37" s="1"/>
  <c r="C5" i="37" s="1"/>
  <c r="C6" i="37" s="1"/>
  <c r="C7" i="37" s="1"/>
  <c r="C8" i="37" s="1"/>
  <c r="C9" i="37" s="1"/>
  <c r="C10" i="37" s="1"/>
  <c r="C11" i="37" s="1"/>
  <c r="C12" i="37" s="1"/>
  <c r="C13" i="37" s="1"/>
  <c r="C14" i="37" s="1"/>
  <c r="C15" i="37" s="1"/>
  <c r="B3" i="37"/>
  <c r="M7" i="36"/>
  <c r="M6" i="36"/>
  <c r="M5" i="36"/>
  <c r="M4" i="36"/>
  <c r="C4" i="36" s="1"/>
  <c r="C5" i="36" s="1"/>
  <c r="C6" i="36" s="1"/>
  <c r="C7" i="36" s="1"/>
  <c r="C8" i="36" s="1"/>
  <c r="C9" i="36" s="1"/>
  <c r="C10" i="36" s="1"/>
  <c r="C11" i="36" s="1"/>
  <c r="C12" i="36" s="1"/>
  <c r="C13" i="36" s="1"/>
  <c r="C14" i="36" s="1"/>
  <c r="C15" i="36" s="1"/>
  <c r="C16" i="36" s="1"/>
  <c r="C17" i="36" s="1"/>
  <c r="C18" i="36" s="1"/>
  <c r="C19" i="36" s="1"/>
  <c r="C20" i="36" s="1"/>
  <c r="C21" i="36" s="1"/>
  <c r="C22" i="36" s="1"/>
  <c r="C23" i="36" s="1"/>
  <c r="C24" i="36" s="1"/>
  <c r="C25" i="36" s="1"/>
  <c r="C26" i="36" s="1"/>
  <c r="C27" i="36" s="1"/>
  <c r="C28" i="36" s="1"/>
  <c r="C29" i="36" s="1"/>
  <c r="C30" i="36" s="1"/>
  <c r="C31" i="36" s="1"/>
  <c r="C32" i="36" s="1"/>
  <c r="C33" i="36" s="1"/>
  <c r="C34" i="36" s="1"/>
  <c r="C35" i="36" s="1"/>
  <c r="C36" i="36" s="1"/>
  <c r="C37" i="36" s="1"/>
  <c r="C38" i="36" s="1"/>
  <c r="C39" i="36" s="1"/>
  <c r="C40" i="36" s="1"/>
  <c r="C41" i="36" s="1"/>
  <c r="C42" i="36" s="1"/>
  <c r="C43" i="36" s="1"/>
  <c r="C44" i="36" s="1"/>
  <c r="C45" i="36" s="1"/>
  <c r="C46" i="36" s="1"/>
  <c r="C47" i="36" s="1"/>
  <c r="C48" i="36" s="1"/>
  <c r="C49" i="36" s="1"/>
  <c r="C50" i="36" s="1"/>
  <c r="C51" i="36" s="1"/>
  <c r="C52" i="36" s="1"/>
  <c r="C53" i="36" s="1"/>
  <c r="C54" i="36" s="1"/>
  <c r="C55" i="36" s="1"/>
  <c r="C56" i="36" s="1"/>
  <c r="C57" i="36" s="1"/>
  <c r="C58" i="36" s="1"/>
  <c r="C59" i="36" s="1"/>
  <c r="C60" i="36" s="1"/>
  <c r="C61" i="36" s="1"/>
  <c r="C62" i="36" s="1"/>
  <c r="C63" i="36" s="1"/>
  <c r="M3" i="36"/>
  <c r="B4" i="36" s="1"/>
  <c r="B5" i="36" s="1"/>
  <c r="B6" i="36" s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F3" i="36"/>
  <c r="F4" i="36" s="1"/>
  <c r="F5" i="36" s="1"/>
  <c r="F6" i="36" s="1"/>
  <c r="F7" i="36" s="1"/>
  <c r="F8" i="36" s="1"/>
  <c r="F9" i="36" s="1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E3" i="36"/>
  <c r="E4" i="36" s="1"/>
  <c r="E5" i="36" s="1"/>
  <c r="E6" i="36" s="1"/>
  <c r="E7" i="36" s="1"/>
  <c r="E8" i="36" s="1"/>
  <c r="E9" i="36" s="1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D3" i="36"/>
  <c r="D4" i="36" s="1"/>
  <c r="D5" i="36" s="1"/>
  <c r="D6" i="36" s="1"/>
  <c r="D7" i="36" s="1"/>
  <c r="D8" i="36" s="1"/>
  <c r="D9" i="36" s="1"/>
  <c r="D10" i="36" s="1"/>
  <c r="D11" i="36" s="1"/>
  <c r="D12" i="36" s="1"/>
  <c r="D13" i="36" s="1"/>
  <c r="D14" i="36" s="1"/>
  <c r="D15" i="36" s="1"/>
  <c r="D16" i="36" s="1"/>
  <c r="D17" i="36" s="1"/>
  <c r="D18" i="36" s="1"/>
  <c r="D19" i="36" s="1"/>
  <c r="D20" i="36" s="1"/>
  <c r="D21" i="36" s="1"/>
  <c r="D22" i="36" s="1"/>
  <c r="D23" i="36" s="1"/>
  <c r="D24" i="36" s="1"/>
  <c r="D25" i="36" s="1"/>
  <c r="D26" i="36" s="1"/>
  <c r="D27" i="36" s="1"/>
  <c r="D28" i="36" s="1"/>
  <c r="D29" i="36" s="1"/>
  <c r="D30" i="36" s="1"/>
  <c r="D31" i="36" s="1"/>
  <c r="D32" i="36" s="1"/>
  <c r="D33" i="36" s="1"/>
  <c r="D34" i="36" s="1"/>
  <c r="D35" i="36" s="1"/>
  <c r="D36" i="36" s="1"/>
  <c r="D37" i="36" s="1"/>
  <c r="D38" i="36" s="1"/>
  <c r="D39" i="36" s="1"/>
  <c r="D40" i="36" s="1"/>
  <c r="D41" i="36" s="1"/>
  <c r="D42" i="36" s="1"/>
  <c r="D43" i="36" s="1"/>
  <c r="D44" i="36" s="1"/>
  <c r="D45" i="36" s="1"/>
  <c r="D46" i="36" s="1"/>
  <c r="D47" i="36" s="1"/>
  <c r="D48" i="36" s="1"/>
  <c r="D49" i="36" s="1"/>
  <c r="D50" i="36" s="1"/>
  <c r="D51" i="36" s="1"/>
  <c r="D52" i="36" s="1"/>
  <c r="D53" i="36" s="1"/>
  <c r="D54" i="36" s="1"/>
  <c r="D55" i="36" s="1"/>
  <c r="D56" i="36" s="1"/>
  <c r="D57" i="36" s="1"/>
  <c r="D58" i="36" s="1"/>
  <c r="D59" i="36" s="1"/>
  <c r="D60" i="36" s="1"/>
  <c r="D61" i="36" s="1"/>
  <c r="D62" i="36" s="1"/>
  <c r="D63" i="36" s="1"/>
  <c r="C3" i="36"/>
  <c r="B3" i="36"/>
  <c r="F3" i="16"/>
  <c r="E3" i="16"/>
  <c r="D3" i="16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C3" i="16"/>
  <c r="B3" i="16"/>
  <c r="M3" i="16"/>
  <c r="M4" i="16"/>
  <c r="M5" i="16"/>
  <c r="M6" i="16"/>
  <c r="M7" i="16"/>
  <c r="F5" i="15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4" i="15"/>
  <c r="E5" i="15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4" i="15"/>
  <c r="D5" i="15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4" i="15"/>
  <c r="C5" i="15"/>
  <c r="C6" i="15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4" i="15"/>
  <c r="J5" i="15"/>
  <c r="J6" i="15"/>
  <c r="J7" i="15"/>
  <c r="J8" i="15"/>
  <c r="B32" i="38" l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E32" i="38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D32" i="38"/>
  <c r="D33" i="38" s="1"/>
  <c r="D34" i="38" s="1"/>
  <c r="D35" i="38" s="1"/>
  <c r="D36" i="38" s="1"/>
  <c r="D37" i="38" s="1"/>
  <c r="D38" i="38" s="1"/>
  <c r="D39" i="38" s="1"/>
  <c r="D40" i="38" s="1"/>
  <c r="D41" i="38" s="1"/>
  <c r="D42" i="38" s="1"/>
  <c r="D43" i="38" s="1"/>
  <c r="D44" i="38" s="1"/>
  <c r="D45" i="38" s="1"/>
  <c r="D46" i="38" s="1"/>
  <c r="D47" i="38" s="1"/>
  <c r="D48" i="38" s="1"/>
  <c r="D49" i="38" s="1"/>
  <c r="D50" i="38" s="1"/>
  <c r="D51" i="38" s="1"/>
  <c r="D52" i="38" s="1"/>
  <c r="D53" i="38" s="1"/>
  <c r="D54" i="38" s="1"/>
  <c r="D55" i="38" s="1"/>
  <c r="D56" i="38" s="1"/>
  <c r="D57" i="38" s="1"/>
  <c r="D58" i="38" s="1"/>
  <c r="D59" i="38" s="1"/>
  <c r="D60" i="38" s="1"/>
  <c r="D61" i="38" s="1"/>
  <c r="D62" i="38" s="1"/>
  <c r="D63" i="38" s="1"/>
  <c r="F4" i="38"/>
  <c r="F5" i="38" s="1"/>
  <c r="F6" i="38" s="1"/>
  <c r="F7" i="38" s="1"/>
  <c r="F8" i="38" s="1"/>
  <c r="F9" i="38" s="1"/>
  <c r="F10" i="38" s="1"/>
  <c r="F11" i="38" s="1"/>
  <c r="F12" i="38" s="1"/>
  <c r="F13" i="38" s="1"/>
  <c r="F14" i="38" s="1"/>
  <c r="F15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4" i="37"/>
  <c r="F5" i="37" s="1"/>
  <c r="F6" i="37" s="1"/>
  <c r="F7" i="37" s="1"/>
  <c r="F8" i="37" s="1"/>
  <c r="F9" i="37" s="1"/>
  <c r="F10" i="37" s="1"/>
  <c r="F11" i="37" s="1"/>
  <c r="F12" i="37" s="1"/>
  <c r="F13" i="37" s="1"/>
  <c r="F14" i="37" s="1"/>
  <c r="F15" i="37" s="1"/>
  <c r="F16" i="37" s="1"/>
  <c r="B4" i="37"/>
  <c r="B5" i="37" s="1"/>
  <c r="B6" i="37" s="1"/>
  <c r="B7" i="37" s="1"/>
  <c r="B8" i="37" s="1"/>
  <c r="B9" i="37" s="1"/>
  <c r="B10" i="37" s="1"/>
  <c r="B11" i="37" s="1"/>
  <c r="B12" i="37" s="1"/>
  <c r="B13" i="37" s="1"/>
  <c r="B14" i="37" s="1"/>
  <c r="B15" i="37" s="1"/>
  <c r="B16" i="37" s="1"/>
  <c r="B4" i="16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E4" i="16"/>
  <c r="E5" i="16" s="1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F4" i="16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C4" i="16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C52" i="16" s="1"/>
  <c r="C53" i="16" s="1"/>
  <c r="C54" i="16" s="1"/>
  <c r="C55" i="16" s="1"/>
  <c r="C56" i="16" s="1"/>
  <c r="C57" i="16" s="1"/>
  <c r="C58" i="16" s="1"/>
  <c r="C59" i="16" s="1"/>
  <c r="C60" i="16" s="1"/>
  <c r="C61" i="16" s="1"/>
  <c r="C62" i="16" s="1"/>
  <c r="C63" i="16" s="1"/>
  <c r="D32" i="16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62" i="16" s="1"/>
  <c r="D63" i="16" s="1"/>
  <c r="D6" i="14"/>
  <c r="D5" i="14"/>
  <c r="C4" i="32"/>
  <c r="C5" i="32" s="1"/>
  <c r="D4" i="32"/>
  <c r="D5" i="32" s="1"/>
  <c r="E4" i="32"/>
  <c r="E5" i="32" s="1"/>
  <c r="B4" i="32"/>
  <c r="B5" i="32" s="1"/>
  <c r="F39" i="31" l="1"/>
  <c r="E39" i="31"/>
  <c r="D39" i="31"/>
  <c r="C39" i="31"/>
  <c r="C27" i="30"/>
  <c r="D27" i="30"/>
  <c r="E27" i="30"/>
  <c r="F27" i="30"/>
  <c r="C28" i="30"/>
  <c r="D28" i="30"/>
  <c r="E28" i="30"/>
  <c r="F28" i="30"/>
  <c r="C29" i="30"/>
  <c r="D29" i="30"/>
  <c r="E29" i="30"/>
  <c r="F29" i="30"/>
  <c r="C30" i="30"/>
  <c r="D30" i="30"/>
  <c r="E30" i="30"/>
  <c r="F30" i="30"/>
  <c r="C31" i="30"/>
  <c r="D31" i="30"/>
  <c r="E31" i="30"/>
  <c r="F31" i="30"/>
  <c r="D26" i="30"/>
  <c r="E26" i="30"/>
  <c r="F26" i="30"/>
  <c r="C26" i="30"/>
  <c r="C19" i="30"/>
  <c r="D19" i="30"/>
  <c r="E19" i="30"/>
  <c r="F19" i="30"/>
  <c r="C20" i="30"/>
  <c r="D20" i="30"/>
  <c r="E20" i="30"/>
  <c r="F20" i="30"/>
  <c r="C21" i="30"/>
  <c r="D21" i="30"/>
  <c r="E21" i="30"/>
  <c r="F21" i="30"/>
  <c r="C22" i="30"/>
  <c r="D22" i="30"/>
  <c r="E22" i="30"/>
  <c r="F22" i="30"/>
  <c r="C23" i="30"/>
  <c r="D23" i="30"/>
  <c r="E23" i="30"/>
  <c r="F23" i="30"/>
  <c r="D18" i="30"/>
  <c r="E18" i="30"/>
  <c r="F18" i="30"/>
  <c r="C18" i="30"/>
  <c r="C11" i="30"/>
  <c r="D11" i="30"/>
  <c r="E11" i="30"/>
  <c r="F11" i="30"/>
  <c r="C12" i="30"/>
  <c r="D12" i="30"/>
  <c r="E12" i="30"/>
  <c r="F12" i="30"/>
  <c r="C13" i="30"/>
  <c r="D13" i="30"/>
  <c r="E13" i="30"/>
  <c r="F13" i="30"/>
  <c r="C14" i="30"/>
  <c r="D14" i="30"/>
  <c r="E14" i="30"/>
  <c r="F14" i="30"/>
  <c r="C15" i="30"/>
  <c r="D15" i="30"/>
  <c r="E15" i="30"/>
  <c r="F15" i="30"/>
  <c r="D10" i="30"/>
  <c r="E10" i="30"/>
  <c r="F10" i="30"/>
  <c r="C10" i="30"/>
  <c r="C3" i="30"/>
  <c r="D3" i="30"/>
  <c r="E3" i="30"/>
  <c r="F3" i="30"/>
  <c r="C4" i="30"/>
  <c r="D4" i="30"/>
  <c r="E4" i="30"/>
  <c r="F4" i="30"/>
  <c r="C5" i="30"/>
  <c r="D5" i="30"/>
  <c r="E5" i="30"/>
  <c r="F5" i="30"/>
  <c r="C6" i="30"/>
  <c r="D6" i="30"/>
  <c r="E6" i="30"/>
  <c r="F6" i="30"/>
  <c r="C7" i="30"/>
  <c r="D7" i="30"/>
  <c r="E7" i="30"/>
  <c r="F7" i="30"/>
  <c r="D2" i="30"/>
  <c r="E2" i="30"/>
  <c r="F2" i="30"/>
  <c r="C2" i="30"/>
  <c r="C27" i="31"/>
  <c r="D27" i="31"/>
  <c r="E27" i="31"/>
  <c r="F27" i="31"/>
  <c r="C28" i="31"/>
  <c r="D28" i="31"/>
  <c r="E28" i="31"/>
  <c r="F28" i="31"/>
  <c r="C29" i="31"/>
  <c r="D29" i="31"/>
  <c r="E29" i="31"/>
  <c r="F29" i="31"/>
  <c r="C30" i="31"/>
  <c r="D30" i="31"/>
  <c r="E30" i="31"/>
  <c r="F30" i="31"/>
  <c r="C31" i="31"/>
  <c r="D31" i="31"/>
  <c r="E31" i="31"/>
  <c r="F31" i="31"/>
  <c r="D26" i="31"/>
  <c r="E26" i="31"/>
  <c r="F26" i="31"/>
  <c r="C26" i="31"/>
  <c r="C19" i="31"/>
  <c r="D19" i="31"/>
  <c r="E19" i="31"/>
  <c r="F19" i="31"/>
  <c r="C20" i="31"/>
  <c r="D20" i="31"/>
  <c r="E20" i="31"/>
  <c r="F20" i="31"/>
  <c r="C21" i="31"/>
  <c r="D21" i="31"/>
  <c r="E21" i="31"/>
  <c r="F21" i="31"/>
  <c r="C22" i="31"/>
  <c r="D22" i="31"/>
  <c r="E22" i="31"/>
  <c r="F22" i="31"/>
  <c r="C23" i="31"/>
  <c r="D23" i="31"/>
  <c r="E23" i="31"/>
  <c r="F23" i="31"/>
  <c r="D18" i="31"/>
  <c r="E18" i="31"/>
  <c r="F18" i="31"/>
  <c r="C18" i="31"/>
  <c r="C11" i="31"/>
  <c r="D11" i="31"/>
  <c r="E11" i="31"/>
  <c r="F11" i="31"/>
  <c r="C12" i="31"/>
  <c r="D12" i="31"/>
  <c r="E12" i="31"/>
  <c r="F12" i="31"/>
  <c r="C13" i="31"/>
  <c r="D13" i="31"/>
  <c r="E13" i="31"/>
  <c r="F13" i="31"/>
  <c r="C14" i="31"/>
  <c r="D14" i="31"/>
  <c r="E14" i="31"/>
  <c r="F14" i="31"/>
  <c r="C15" i="31"/>
  <c r="D15" i="31"/>
  <c r="E15" i="31"/>
  <c r="F15" i="31"/>
  <c r="D10" i="31"/>
  <c r="E10" i="31"/>
  <c r="F10" i="31"/>
  <c r="C10" i="31"/>
  <c r="C7" i="31"/>
  <c r="D7" i="31"/>
  <c r="E7" i="31"/>
  <c r="F7" i="31"/>
  <c r="C3" i="31"/>
  <c r="D3" i="31"/>
  <c r="E3" i="31"/>
  <c r="F3" i="31"/>
  <c r="C4" i="31"/>
  <c r="D4" i="31"/>
  <c r="E4" i="31"/>
  <c r="F4" i="31"/>
  <c r="C5" i="31"/>
  <c r="D5" i="31"/>
  <c r="E5" i="31"/>
  <c r="F5" i="31"/>
  <c r="C6" i="31"/>
  <c r="D6" i="31"/>
  <c r="E6" i="31"/>
  <c r="F6" i="31"/>
  <c r="D2" i="31"/>
  <c r="E2" i="31"/>
  <c r="F2" i="31"/>
  <c r="C2" i="31"/>
  <c r="C39" i="30"/>
  <c r="D39" i="30"/>
  <c r="E39" i="30"/>
  <c r="F39" i="30"/>
  <c r="B3" i="32" l="1"/>
  <c r="C3" i="32"/>
  <c r="D3" i="32"/>
  <c r="E3" i="32"/>
  <c r="F4" i="32"/>
  <c r="C5" i="28" l="1"/>
  <c r="D5" i="28"/>
  <c r="E5" i="28"/>
  <c r="B5" i="28"/>
  <c r="F4" i="28"/>
  <c r="C19" i="25" l="1"/>
  <c r="D19" i="25"/>
  <c r="E19" i="25"/>
  <c r="F19" i="25"/>
  <c r="C20" i="25"/>
  <c r="D20" i="25"/>
  <c r="E20" i="25"/>
  <c r="F20" i="25"/>
  <c r="C21" i="25"/>
  <c r="D21" i="25"/>
  <c r="E21" i="25"/>
  <c r="F21" i="25"/>
  <c r="C22" i="25"/>
  <c r="B2" i="32" s="1"/>
  <c r="D22" i="25"/>
  <c r="C2" i="32" s="1"/>
  <c r="E22" i="25"/>
  <c r="D2" i="32" s="1"/>
  <c r="F22" i="25"/>
  <c r="E2" i="32" s="1"/>
  <c r="D18" i="25"/>
  <c r="E18" i="25"/>
  <c r="F18" i="25"/>
  <c r="C18" i="25"/>
  <c r="C5" i="13" l="1"/>
  <c r="D5" i="13"/>
  <c r="E5" i="13"/>
  <c r="B5" i="13"/>
  <c r="F4" i="13"/>
  <c r="C5" i="12" l="1"/>
  <c r="D5" i="12"/>
  <c r="E5" i="12"/>
  <c r="B5" i="12"/>
  <c r="F4" i="12"/>
  <c r="E7" i="32" l="1"/>
  <c r="D7" i="32"/>
  <c r="C7" i="32"/>
  <c r="B7" i="32"/>
  <c r="F6" i="32"/>
  <c r="I6" i="14" s="1"/>
  <c r="F5" i="32"/>
  <c r="I5" i="14" l="1"/>
  <c r="I4" i="14"/>
  <c r="F7" i="32"/>
  <c r="C4" i="11" l="1"/>
  <c r="D4" i="11"/>
  <c r="E4" i="11"/>
  <c r="B4" i="11"/>
  <c r="C4" i="20"/>
  <c r="D4" i="20"/>
  <c r="E4" i="20"/>
  <c r="B4" i="20"/>
  <c r="F38" i="31"/>
  <c r="E38" i="31"/>
  <c r="D38" i="31"/>
  <c r="C38" i="31"/>
  <c r="F37" i="31"/>
  <c r="E37" i="31"/>
  <c r="D37" i="31"/>
  <c r="C37" i="31"/>
  <c r="F36" i="31"/>
  <c r="E36" i="31"/>
  <c r="D36" i="31"/>
  <c r="C36" i="31"/>
  <c r="F35" i="31"/>
  <c r="E35" i="31"/>
  <c r="D35" i="31"/>
  <c r="C35" i="31"/>
  <c r="F34" i="31"/>
  <c r="E3" i="2" s="1"/>
  <c r="E34" i="31"/>
  <c r="D3" i="2" s="1"/>
  <c r="D34" i="31"/>
  <c r="C3" i="2" s="1"/>
  <c r="C34" i="31"/>
  <c r="B3" i="2" s="1"/>
  <c r="C35" i="30"/>
  <c r="D35" i="30"/>
  <c r="E35" i="30"/>
  <c r="F35" i="30"/>
  <c r="C36" i="30"/>
  <c r="D36" i="30"/>
  <c r="E36" i="30"/>
  <c r="F36" i="30"/>
  <c r="C37" i="30"/>
  <c r="D37" i="30"/>
  <c r="E37" i="30"/>
  <c r="F37" i="30"/>
  <c r="C38" i="30"/>
  <c r="D38" i="30"/>
  <c r="E38" i="30"/>
  <c r="F38" i="30"/>
  <c r="D34" i="30"/>
  <c r="E34" i="30"/>
  <c r="F34" i="30"/>
  <c r="C34" i="30"/>
  <c r="B3" i="28" l="1"/>
  <c r="B3" i="13"/>
  <c r="D3" i="28"/>
  <c r="D3" i="12"/>
  <c r="B3" i="12"/>
  <c r="C3" i="28"/>
  <c r="C3" i="13"/>
  <c r="E3" i="12"/>
  <c r="C3" i="12"/>
  <c r="C3" i="9"/>
  <c r="C3" i="11" s="1"/>
  <c r="E3" i="28"/>
  <c r="C3" i="20"/>
  <c r="D3" i="20"/>
  <c r="E3" i="20"/>
  <c r="E3" i="13"/>
  <c r="D3" i="13"/>
  <c r="B3" i="9"/>
  <c r="E3" i="9"/>
  <c r="E3" i="11" s="1"/>
  <c r="D3" i="9"/>
  <c r="D3" i="11" s="1"/>
  <c r="B3" i="20"/>
  <c r="F3" i="2"/>
  <c r="B3" i="14" s="1"/>
  <c r="F3" i="12" l="1"/>
  <c r="H3" i="14" s="1"/>
  <c r="F3" i="32"/>
  <c r="I3" i="14" s="1"/>
  <c r="F3" i="28"/>
  <c r="G3" i="14" s="1"/>
  <c r="F3" i="13"/>
  <c r="F3" i="14" s="1"/>
  <c r="F3" i="20"/>
  <c r="C3" i="14" s="1"/>
  <c r="F3" i="9"/>
  <c r="D3" i="14" s="1"/>
  <c r="B3" i="11"/>
  <c r="F3" i="11" s="1"/>
  <c r="E3" i="14" s="1"/>
  <c r="E7" i="28"/>
  <c r="D7" i="28"/>
  <c r="C7" i="28"/>
  <c r="B7" i="28"/>
  <c r="F6" i="28"/>
  <c r="F5" i="28"/>
  <c r="G4" i="14" s="1"/>
  <c r="E6" i="20"/>
  <c r="E7" i="20" s="1"/>
  <c r="E8" i="20" s="1"/>
  <c r="D6" i="20"/>
  <c r="D9" i="20" s="1"/>
  <c r="D10" i="20" s="1"/>
  <c r="C6" i="20"/>
  <c r="C7" i="20" s="1"/>
  <c r="C8" i="20" s="1"/>
  <c r="B6" i="20"/>
  <c r="B9" i="20" s="1"/>
  <c r="B10" i="20" s="1"/>
  <c r="B6" i="2"/>
  <c r="D6" i="2"/>
  <c r="E6" i="2"/>
  <c r="C6" i="2"/>
  <c r="F7" i="28" l="1"/>
  <c r="D2" i="28"/>
  <c r="B2" i="28"/>
  <c r="E2" i="28"/>
  <c r="C2" i="28"/>
  <c r="E9" i="20"/>
  <c r="E10" i="20" s="1"/>
  <c r="C9" i="20"/>
  <c r="C10" i="20" s="1"/>
  <c r="D7" i="20"/>
  <c r="D8" i="20" s="1"/>
  <c r="B7" i="20"/>
  <c r="B8" i="20" s="1"/>
  <c r="F6" i="13"/>
  <c r="B7" i="13"/>
  <c r="C7" i="13"/>
  <c r="D7" i="13"/>
  <c r="E7" i="13"/>
  <c r="C2" i="8"/>
  <c r="B2" i="8"/>
  <c r="C2" i="13"/>
  <c r="D2" i="13"/>
  <c r="E2" i="13"/>
  <c r="G2" i="8" l="1"/>
  <c r="E8" i="32" s="1"/>
  <c r="F2" i="32"/>
  <c r="I2" i="14" s="1"/>
  <c r="D2" i="11"/>
  <c r="C2" i="11"/>
  <c r="D2" i="9"/>
  <c r="B2" i="13"/>
  <c r="E2" i="11"/>
  <c r="B2" i="11"/>
  <c r="C2" i="9"/>
  <c r="B2" i="2"/>
  <c r="E2" i="2"/>
  <c r="B2" i="12"/>
  <c r="E2" i="12"/>
  <c r="D2" i="12"/>
  <c r="C2" i="12"/>
  <c r="F7" i="13"/>
  <c r="C2" i="2"/>
  <c r="C2" i="20"/>
  <c r="E2" i="20"/>
  <c r="B2" i="9"/>
  <c r="E2" i="9"/>
  <c r="B2" i="20"/>
  <c r="D2" i="20"/>
  <c r="D2" i="2"/>
  <c r="F2" i="8"/>
  <c r="E2" i="8"/>
  <c r="C8" i="32" s="1"/>
  <c r="D2" i="8"/>
  <c r="D8" i="32" l="1"/>
  <c r="D11" i="20"/>
  <c r="D12" i="20" s="1"/>
  <c r="D13" i="20" s="1"/>
  <c r="C11" i="20"/>
  <c r="C12" i="20" s="1"/>
  <c r="C13" i="20" s="1"/>
  <c r="C8" i="13"/>
  <c r="E8" i="13"/>
  <c r="E8" i="28" s="1"/>
  <c r="E9" i="28" s="1"/>
  <c r="B15" i="28" s="1"/>
  <c r="G5" i="26" s="1"/>
  <c r="D8" i="13"/>
  <c r="E11" i="20"/>
  <c r="E12" i="20" s="1"/>
  <c r="E13" i="20" s="1"/>
  <c r="E11" i="2"/>
  <c r="B8" i="13"/>
  <c r="B9" i="13" s="1"/>
  <c r="B8" i="32"/>
  <c r="B9" i="32" s="1"/>
  <c r="B12" i="32" s="1"/>
  <c r="I2" i="26" s="1"/>
  <c r="F2" i="28"/>
  <c r="G2" i="14" s="1"/>
  <c r="B11" i="20"/>
  <c r="B12" i="20" s="1"/>
  <c r="J4" i="15"/>
  <c r="B3" i="15"/>
  <c r="F5" i="20"/>
  <c r="C5" i="14" s="1"/>
  <c r="F4" i="20"/>
  <c r="C4" i="14" s="1"/>
  <c r="F2" i="20"/>
  <c r="C2" i="14" s="1"/>
  <c r="D9" i="2"/>
  <c r="D10" i="2" s="1"/>
  <c r="D11" i="2" s="1"/>
  <c r="C9" i="2"/>
  <c r="C10" i="2" s="1"/>
  <c r="B7" i="2"/>
  <c r="B8" i="2" s="1"/>
  <c r="F5" i="2"/>
  <c r="E9" i="2"/>
  <c r="E10" i="2" s="1"/>
  <c r="D9" i="32" l="1"/>
  <c r="B14" i="32" s="1"/>
  <c r="I4" i="26" s="1"/>
  <c r="E9" i="13"/>
  <c r="B15" i="13" s="1"/>
  <c r="F5" i="26" s="1"/>
  <c r="B8" i="28"/>
  <c r="B9" i="28" s="1"/>
  <c r="B12" i="28" s="1"/>
  <c r="G2" i="26" s="1"/>
  <c r="C9" i="32"/>
  <c r="B13" i="32" s="1"/>
  <c r="I3" i="26" s="1"/>
  <c r="C9" i="13"/>
  <c r="B13" i="13" s="1"/>
  <c r="F3" i="26" s="1"/>
  <c r="C8" i="28"/>
  <c r="C9" i="28" s="1"/>
  <c r="B13" i="28" s="1"/>
  <c r="G3" i="26" s="1"/>
  <c r="E9" i="32"/>
  <c r="B15" i="32" s="1"/>
  <c r="I5" i="26" s="1"/>
  <c r="F8" i="32"/>
  <c r="D9" i="13"/>
  <c r="D8" i="28"/>
  <c r="D9" i="28" s="1"/>
  <c r="B14" i="28" s="1"/>
  <c r="G4" i="26" s="1"/>
  <c r="F8" i="13"/>
  <c r="F12" i="20"/>
  <c r="B13" i="20"/>
  <c r="F13" i="20" s="1"/>
  <c r="C7" i="14" s="1"/>
  <c r="B9" i="2"/>
  <c r="B10" i="2" s="1"/>
  <c r="F6" i="20"/>
  <c r="C6" i="14" s="1"/>
  <c r="D7" i="2"/>
  <c r="D8" i="2" s="1"/>
  <c r="C7" i="2"/>
  <c r="C8" i="2" s="1"/>
  <c r="F6" i="2"/>
  <c r="E7" i="2"/>
  <c r="F9" i="13" l="1"/>
  <c r="F9" i="32"/>
  <c r="I7" i="14" s="1"/>
  <c r="F9" i="28"/>
  <c r="G7" i="14" s="1"/>
  <c r="F8" i="28"/>
  <c r="F9" i="20"/>
  <c r="B19" i="20"/>
  <c r="D5" i="26" s="1"/>
  <c r="B18" i="20"/>
  <c r="D4" i="26" s="1"/>
  <c r="F8" i="20"/>
  <c r="F7" i="20"/>
  <c r="B17" i="20"/>
  <c r="D3" i="26" s="1"/>
  <c r="F7" i="2"/>
  <c r="E8" i="2"/>
  <c r="F8" i="2" s="1"/>
  <c r="F10" i="20" l="1"/>
  <c r="F11" i="20" l="1"/>
  <c r="B16" i="20"/>
  <c r="D2" i="26" s="1"/>
  <c r="B32" i="16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F5" i="14" l="1"/>
  <c r="F5" i="13" l="1"/>
  <c r="F2" i="13"/>
  <c r="F2" i="14" l="1"/>
  <c r="F4" i="14"/>
  <c r="F7" i="14"/>
  <c r="E7" i="12" l="1"/>
  <c r="E8" i="12" s="1"/>
  <c r="D7" i="12"/>
  <c r="D8" i="12" s="1"/>
  <c r="C7" i="12"/>
  <c r="C8" i="12" s="1"/>
  <c r="B7" i="12"/>
  <c r="F6" i="12"/>
  <c r="H5" i="14" s="1"/>
  <c r="F5" i="12"/>
  <c r="F2" i="12"/>
  <c r="E6" i="11"/>
  <c r="E7" i="11" s="1"/>
  <c r="D6" i="11"/>
  <c r="D7" i="11" s="1"/>
  <c r="C6" i="11"/>
  <c r="C7" i="11" s="1"/>
  <c r="B6" i="11"/>
  <c r="F5" i="11"/>
  <c r="E5" i="14" s="1"/>
  <c r="F4" i="11"/>
  <c r="F2" i="11"/>
  <c r="E9" i="12" l="1"/>
  <c r="B15" i="12" s="1"/>
  <c r="H5" i="26" s="1"/>
  <c r="B8" i="12"/>
  <c r="C9" i="12"/>
  <c r="B13" i="12" s="1"/>
  <c r="H3" i="26" s="1"/>
  <c r="D9" i="12"/>
  <c r="B14" i="12" s="1"/>
  <c r="H4" i="26" s="1"/>
  <c r="B7" i="11"/>
  <c r="B8" i="11" s="1"/>
  <c r="B11" i="11" s="1"/>
  <c r="E2" i="26" s="1"/>
  <c r="C8" i="11"/>
  <c r="B12" i="11" s="1"/>
  <c r="E3" i="26" s="1"/>
  <c r="D8" i="11"/>
  <c r="B13" i="11" s="1"/>
  <c r="E4" i="26" s="1"/>
  <c r="H2" i="14"/>
  <c r="E2" i="14"/>
  <c r="H4" i="14"/>
  <c r="E4" i="14"/>
  <c r="F7" i="12"/>
  <c r="H6" i="14" s="1"/>
  <c r="F6" i="11"/>
  <c r="E6" i="14" s="1"/>
  <c r="B9" i="12" l="1"/>
  <c r="F8" i="12"/>
  <c r="F7" i="11"/>
  <c r="E8" i="11"/>
  <c r="B14" i="11" s="1"/>
  <c r="E5" i="26" s="1"/>
  <c r="F5" i="9"/>
  <c r="F2" i="9"/>
  <c r="D2" i="14" s="1"/>
  <c r="F4" i="2"/>
  <c r="B4" i="14" s="1"/>
  <c r="F9" i="2"/>
  <c r="B5" i="14" s="1"/>
  <c r="F2" i="2"/>
  <c r="B2" i="14" s="1"/>
  <c r="E6" i="9"/>
  <c r="E7" i="9" s="1"/>
  <c r="D6" i="9"/>
  <c r="C6" i="9"/>
  <c r="B6" i="9"/>
  <c r="B12" i="12" l="1"/>
  <c r="H2" i="26" s="1"/>
  <c r="F9" i="12"/>
  <c r="H7" i="14" s="1"/>
  <c r="F8" i="11"/>
  <c r="E7" i="14" s="1"/>
  <c r="E8" i="9"/>
  <c r="B14" i="9" s="1"/>
  <c r="C5" i="26" s="1"/>
  <c r="B7" i="9"/>
  <c r="C7" i="9"/>
  <c r="C8" i="9" s="1"/>
  <c r="B12" i="9" s="1"/>
  <c r="C3" i="26" s="1"/>
  <c r="D7" i="9"/>
  <c r="D8" i="9" s="1"/>
  <c r="B13" i="9" s="1"/>
  <c r="C4" i="26" s="1"/>
  <c r="F6" i="9"/>
  <c r="B8" i="9" l="1"/>
  <c r="F7" i="9"/>
  <c r="B11" i="2"/>
  <c r="F8" i="9" l="1"/>
  <c r="D7" i="14" s="1"/>
  <c r="B11" i="9"/>
  <c r="C2" i="26" s="1"/>
  <c r="E12" i="2"/>
  <c r="D12" i="2"/>
  <c r="C11" i="2"/>
  <c r="C12" i="2" s="1"/>
  <c r="F10" i="2"/>
  <c r="B6" i="14" s="1"/>
  <c r="F4" i="9"/>
  <c r="D4" i="14" s="1"/>
  <c r="D13" i="2" l="1"/>
  <c r="B18" i="2" s="1"/>
  <c r="B4" i="26" s="1"/>
  <c r="C13" i="2"/>
  <c r="B17" i="2" s="1"/>
  <c r="B3" i="26" s="1"/>
  <c r="E13" i="2"/>
  <c r="B19" i="2" s="1"/>
  <c r="B5" i="26" s="1"/>
  <c r="F11" i="2"/>
  <c r="B12" i="2"/>
  <c r="B13" i="2" l="1"/>
  <c r="F12" i="2"/>
  <c r="F13" i="2" l="1"/>
  <c r="B7" i="14" s="1"/>
  <c r="B16" i="2"/>
  <c r="B2" i="26" s="1"/>
  <c r="B12" i="13"/>
  <c r="F2" i="26" s="1"/>
  <c r="B14" i="13"/>
  <c r="F4" i="26" s="1"/>
  <c r="F6" i="14"/>
</calcChain>
</file>

<file path=xl/sharedStrings.xml><?xml version="1.0" encoding="utf-8"?>
<sst xmlns="http://schemas.openxmlformats.org/spreadsheetml/2006/main" count="673" uniqueCount="132">
  <si>
    <t>Climate Zone</t>
  </si>
  <si>
    <t>2a</t>
  </si>
  <si>
    <t>3c</t>
  </si>
  <si>
    <t>4a</t>
  </si>
  <si>
    <t>5a</t>
  </si>
  <si>
    <t>kg/kWh</t>
  </si>
  <si>
    <t>OE (kWh/yr)</t>
  </si>
  <si>
    <t>OE (kWh/SL</t>
  </si>
  <si>
    <t>MEP - EC</t>
  </si>
  <si>
    <t>SFE - EC</t>
  </si>
  <si>
    <t>Average</t>
  </si>
  <si>
    <t>Base - Gas</t>
  </si>
  <si>
    <t>Base - Electric</t>
  </si>
  <si>
    <t>Improved - Gas</t>
  </si>
  <si>
    <t>Improved - Electric</t>
  </si>
  <si>
    <t>PHIUS - Low Loads</t>
  </si>
  <si>
    <t>PHIUS - High Loads</t>
  </si>
  <si>
    <t>Source E</t>
  </si>
  <si>
    <t>SE/ SL</t>
  </si>
  <si>
    <t>28x = 0.37117</t>
  </si>
  <si>
    <t>0=0.37117-28x</t>
  </si>
  <si>
    <t>EL - OE (kWh/yr)</t>
  </si>
  <si>
    <t>EL - OE (kWh/SL</t>
  </si>
  <si>
    <t>Gas - OE (kWh/SL)</t>
  </si>
  <si>
    <t>Gas - OE (kWh/yr)</t>
  </si>
  <si>
    <t>Total - OE (kWh/yr)</t>
  </si>
  <si>
    <t>GAS - OC (kgco2e)</t>
  </si>
  <si>
    <t>Total - OC (kgCO2e)</t>
  </si>
  <si>
    <t>Emissions</t>
  </si>
  <si>
    <t>Scenario</t>
  </si>
  <si>
    <t>Business as usual</t>
  </si>
  <si>
    <t>50% by 2050</t>
  </si>
  <si>
    <t>80% by 2050</t>
  </si>
  <si>
    <t>100% by 2050</t>
  </si>
  <si>
    <t>80% by 2035, 100% by 2050</t>
  </si>
  <si>
    <t>100% by 2035</t>
  </si>
  <si>
    <t>Column1</t>
  </si>
  <si>
    <t>Column2</t>
  </si>
  <si>
    <t>NYUP</t>
  </si>
  <si>
    <t>Column3</t>
  </si>
  <si>
    <t>Column4</t>
  </si>
  <si>
    <t>FRCC</t>
  </si>
  <si>
    <t>CAMX</t>
  </si>
  <si>
    <t>Grid</t>
  </si>
  <si>
    <t>US - Average</t>
  </si>
  <si>
    <t>US - eGRID Subregion</t>
  </si>
  <si>
    <t>Biogenic Carbon</t>
  </si>
  <si>
    <t>Exclude</t>
  </si>
  <si>
    <t>Include</t>
  </si>
  <si>
    <t>Base</t>
  </si>
  <si>
    <t>Improved</t>
  </si>
  <si>
    <t>PLL</t>
  </si>
  <si>
    <t>PHL</t>
  </si>
  <si>
    <t>Excluded</t>
  </si>
  <si>
    <t>Included</t>
  </si>
  <si>
    <t>Selector</t>
  </si>
  <si>
    <t>Operational Carbon</t>
  </si>
  <si>
    <t>Mechanical Electrical Plumbing - Embodied Carbon</t>
  </si>
  <si>
    <t>Structure Foundation Enclosure - Embodied Carbon</t>
  </si>
  <si>
    <t>metric</t>
  </si>
  <si>
    <t>Total LCC</t>
  </si>
  <si>
    <t>EL - OC (kgco2e)</t>
  </si>
  <si>
    <t>Source</t>
  </si>
  <si>
    <t>https://www.eia.gov/tools/faqs/faq.php?id=73&amp;t=11</t>
  </si>
  <si>
    <t>PLLHE</t>
  </si>
  <si>
    <t>PHIUS - Low Loads High EC</t>
  </si>
  <si>
    <t>Baseline</t>
  </si>
  <si>
    <t>High</t>
  </si>
  <si>
    <t>Lower</t>
  </si>
  <si>
    <t>Lowest</t>
  </si>
  <si>
    <t>Refrigerants</t>
  </si>
  <si>
    <t>HVAC Sizing</t>
  </si>
  <si>
    <t>Total - OC (kgCO2e) - Raw</t>
  </si>
  <si>
    <t>OC (kgco2e) - Raw</t>
  </si>
  <si>
    <t>Total OC (kgco2e)</t>
  </si>
  <si>
    <t>Raw - OC (kgCO2e)</t>
  </si>
  <si>
    <t>Raw OC (kgCO2e)</t>
  </si>
  <si>
    <t>Raw - OC (kgco2e)</t>
  </si>
  <si>
    <t>Total - OC (kgco2e)</t>
  </si>
  <si>
    <t>MEP - EC - Raw</t>
  </si>
  <si>
    <t>MEP - EC - RAW</t>
  </si>
  <si>
    <t>HELL</t>
  </si>
  <si>
    <t>LLHEC</t>
  </si>
  <si>
    <t>PHIUS - Heavy Envelope Low Loads</t>
  </si>
  <si>
    <t>Low Carbon Structure - Gas</t>
  </si>
  <si>
    <t>Low Carbon Structure - Electric</t>
  </si>
  <si>
    <t>PHIUS - Low Carbon Structure, Standard Envelope, High Efficiency</t>
  </si>
  <si>
    <t>PHIUS - Standard Structure, Standard Envelope, High Efficiency</t>
  </si>
  <si>
    <t>PHIUS - Standard Structure, High Performance Envelope, Standard Efficiency</t>
  </si>
  <si>
    <t>Base Structure - Gas</t>
  </si>
  <si>
    <t>Base Structure - Electric</t>
  </si>
  <si>
    <t>Long Name</t>
  </si>
  <si>
    <t>Short Name</t>
  </si>
  <si>
    <t>Low EC - Gas</t>
  </si>
  <si>
    <t>Low EC - Electric</t>
  </si>
  <si>
    <t>PHIUS - Efficient Low EC</t>
  </si>
  <si>
    <t>PHIUS - Efficient Standard EC</t>
  </si>
  <si>
    <t>PHIUS - Inefficient High EC</t>
  </si>
  <si>
    <t>PHIUS - Efficient High EC</t>
  </si>
  <si>
    <t>PHIUS - Standard Structure, High Performance Envelope, High Efficiency</t>
  </si>
  <si>
    <t xml:space="preserve"> </t>
  </si>
  <si>
    <t xml:space="preserve">  </t>
  </si>
  <si>
    <t>Rightsized</t>
  </si>
  <si>
    <t>Metric</t>
  </si>
  <si>
    <t>Explanation</t>
  </si>
  <si>
    <t>Decarbonization Scenario</t>
  </si>
  <si>
    <t>Business-as-Usual</t>
  </si>
  <si>
    <t>US Average</t>
  </si>
  <si>
    <t>eGrid Subregions</t>
  </si>
  <si>
    <t>Oversized</t>
  </si>
  <si>
    <t>All climate zones initialized at 2020 US average: 0.37 kg/kWh (0.82 lb/kWh)</t>
  </si>
  <si>
    <t>Column5</t>
  </si>
  <si>
    <t>CZ2a initialized at 2020 FRCC, 3c at 2020 CAMX (WECC California), 4a to NYCW (NPCC NYC/Westchester), 5a to NYUP (NPCC Upstate NY)</t>
  </si>
  <si>
    <t>NYCW</t>
  </si>
  <si>
    <t>2020 grid intensity is held constant through 2022-2082</t>
  </si>
  <si>
    <t>Grid intensity decreases linearly to 50% of 2020 rate 2022-2050, held constant 2050-2082</t>
  </si>
  <si>
    <t>Grid intensity decreases linearly to 20% of 2020 rate 2022-2050, held constant 2050-2083</t>
  </si>
  <si>
    <t>Grid intensity decreases linearly from 2020 rate in 2022 to 0 in 2050</t>
  </si>
  <si>
    <t>Grid intensity decreases linearly from 2020 rate in 2022 to 0 in 2035</t>
  </si>
  <si>
    <t>Grid intensity decreases linearly to 20% of 2020 rate 2022-2035, decreases linearly from 20% to 0 2035-2050</t>
  </si>
  <si>
    <t>Biogenic carbon storage is excluded from analysis</t>
  </si>
  <si>
    <t>Biogenic carbon storage is subtracted from modules A-C totals, with a minimum value of 0 per material (EN 15804+A1)</t>
  </si>
  <si>
    <t>Heating and cooling capacities set at 125% and 115% of peak loads as per ASHRAE 90.1</t>
  </si>
  <si>
    <t>Heating and cooling capacities set at 100% of peak loads</t>
  </si>
  <si>
    <t>Year</t>
  </si>
  <si>
    <t>US-Average</t>
  </si>
  <si>
    <t>US average</t>
  </si>
  <si>
    <t>Decarbonization %</t>
  </si>
  <si>
    <t>Current Grid Intensity</t>
  </si>
  <si>
    <t>Years of Decay</t>
  </si>
  <si>
    <t>Annual Decay</t>
  </si>
  <si>
    <t>KgCO2e/m2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</si>
</sst>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MathJax_Math-italic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/>
      <bottom style="thin">
        <color theme="7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2" fillId="0" borderId="0" xfId="0" applyFont="1"/>
    <xf numFmtId="4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4" fillId="0" borderId="0" xfId="0" applyFont="1"/>
    <xf numFmtId="0" fontId="5" fillId="2" borderId="0" xfId="0" applyFont="1" applyFill="1" applyBorder="1"/>
    <xf numFmtId="0" fontId="0" fillId="0" borderId="0" xfId="0" applyAlignment="1">
      <alignment wrapText="1"/>
    </xf>
    <xf numFmtId="0" fontId="5" fillId="0" borderId="0" xfId="0" applyFont="1" applyBorder="1"/>
    <xf numFmtId="0" fontId="5" fillId="0" borderId="7" xfId="0" applyFont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0" fontId="0" fillId="5" borderId="3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6" borderId="4" xfId="0" applyFont="1" applyFill="1" applyBorder="1" applyAlignment="1">
      <alignment wrapText="1"/>
    </xf>
    <xf numFmtId="0" fontId="0" fillId="0" borderId="0" xfId="0" applyFont="1"/>
    <xf numFmtId="0" fontId="0" fillId="4" borderId="1" xfId="0" applyFont="1" applyFill="1" applyBorder="1" applyAlignment="1">
      <alignment horizontal="center" wrapText="1"/>
    </xf>
    <xf numFmtId="0" fontId="0" fillId="4" borderId="5" xfId="0" applyFont="1" applyFill="1" applyBorder="1" applyAlignment="1">
      <alignment horizontal="center" wrapText="1"/>
    </xf>
    <xf numFmtId="0" fontId="0" fillId="4" borderId="6" xfId="0" applyFont="1" applyFill="1" applyBorder="1" applyAlignment="1">
      <alignment horizontal="center" wrapText="1"/>
    </xf>
    <xf numFmtId="0" fontId="8" fillId="0" borderId="8" xfId="0" applyFont="1" applyBorder="1"/>
    <xf numFmtId="0" fontId="8" fillId="0" borderId="9" xfId="0" applyFont="1" applyBorder="1"/>
  </cellXfs>
  <cellStyles count="2">
    <cellStyle name="Normal" xfId="0" builtinId="0"/>
    <cellStyle name="Normal 2" xfId="1" xr:uid="{6516E95B-AAC5-4D8E-B27F-E4EDC4F8E159}"/>
  </cellStyles>
  <dxfs count="6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-0.249977111117893"/>
        <name val="Calibri"/>
        <family val="2"/>
        <scheme val="minor"/>
      </font>
    </dxf>
    <dxf>
      <border outline="0">
        <bottom style="thin">
          <color theme="7"/>
        </bottom>
      </border>
    </dxf>
    <dxf>
      <border outline="0">
        <top style="thin">
          <color theme="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-0.249977111117893"/>
        <name val="Calibri"/>
        <family val="2"/>
        <scheme val="minor"/>
      </font>
    </dxf>
    <dxf>
      <border outline="0">
        <bottom style="thin">
          <color theme="7"/>
        </bottom>
      </border>
    </dxf>
    <dxf>
      <border outline="0">
        <top style="thin">
          <color theme="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-0.249977111117893"/>
        <name val="Calibri"/>
        <family val="2"/>
        <scheme val="minor"/>
      </font>
    </dxf>
    <dxf>
      <border outline="0">
        <bottom style="thin">
          <color theme="7"/>
        </bottom>
      </border>
    </dxf>
    <dxf>
      <border outline="0">
        <top style="thin">
          <color theme="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-0.249977111117893"/>
        <name val="Calibri"/>
        <family val="2"/>
        <scheme val="minor"/>
      </font>
    </dxf>
    <dxf>
      <border outline="0">
        <bottom style="thin">
          <color theme="7"/>
        </bottom>
      </border>
    </dxf>
    <dxf>
      <border outline="0">
        <top style="thin">
          <color theme="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-0.249977111117893"/>
        <name val="Calibri"/>
        <family val="2"/>
        <scheme val="minor"/>
      </font>
    </dxf>
    <dxf>
      <border outline="0">
        <bottom style="thin">
          <color theme="7"/>
        </bottom>
      </border>
    </dxf>
    <dxf>
      <border outline="0">
        <top style="thin">
          <color theme="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-0.249977111117893"/>
        <name val="Calibri"/>
        <family val="2"/>
        <scheme val="minor"/>
      </font>
    </dxf>
    <dxf>
      <border outline="0">
        <bottom style="thin">
          <color theme="7"/>
        </bottom>
      </border>
    </dxf>
    <dxf>
      <border outline="0">
        <top style="thin">
          <color theme="7"/>
        </top>
      </border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Life-Cycle</a:t>
            </a:r>
            <a:r>
              <a:rPr lang="en-US" baseline="0"/>
              <a:t> Emissions per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Averages!$A$2</c:f>
              <c:strCache>
                <c:ptCount val="1"/>
                <c:pt idx="0">
                  <c:v>Structure Foundation Enclosure - Embodied Carbon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Averages!$B$1:$I$1</c:f>
              <c:strCache>
                <c:ptCount val="8"/>
                <c:pt idx="0">
                  <c:v>Base - Gas</c:v>
                </c:pt>
                <c:pt idx="1">
                  <c:v>Low EC - Gas</c:v>
                </c:pt>
                <c:pt idx="2">
                  <c:v>Base - Electric</c:v>
                </c:pt>
                <c:pt idx="3">
                  <c:v>Low EC - Electric</c:v>
                </c:pt>
                <c:pt idx="4">
                  <c:v>PHIUS - Efficient Low EC</c:v>
                </c:pt>
                <c:pt idx="5">
                  <c:v>PHIUS - Efficient Standard EC</c:v>
                </c:pt>
                <c:pt idx="6">
                  <c:v>PHIUS - Inefficient High EC</c:v>
                </c:pt>
                <c:pt idx="7">
                  <c:v>PHIUS - Efficient High EC</c:v>
                </c:pt>
              </c:strCache>
            </c:strRef>
          </c:cat>
          <c:val>
            <c:numRef>
              <c:f>Averages!$B$2:$I$2</c:f>
              <c:numCache>
                <c:formatCode>#,##0.00</c:formatCode>
                <c:ptCount val="8"/>
                <c:pt idx="0">
                  <c:v>407.79489045033552</c:v>
                </c:pt>
                <c:pt idx="1">
                  <c:v>137.95154583200249</c:v>
                </c:pt>
                <c:pt idx="2">
                  <c:v>407.79489045033552</c:v>
                </c:pt>
                <c:pt idx="3">
                  <c:v>137.95154583200249</c:v>
                </c:pt>
                <c:pt idx="4">
                  <c:v>141.74443468540397</c:v>
                </c:pt>
                <c:pt idx="5">
                  <c:v>429.67382689236695</c:v>
                </c:pt>
                <c:pt idx="6">
                  <c:v>502.03847836154614</c:v>
                </c:pt>
                <c:pt idx="7">
                  <c:v>502.03847836154614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B-4F9D-BE7F-1AC98B2AB673}"/>
            </c:ext>
          </c:extLst>
        </c:ser>
        <c:ser>
          <c:idx val="5"/>
          <c:order val="1"/>
          <c:tx>
            <c:strRef>
              <c:f>Averages!$A$4</c:f>
              <c:strCache>
                <c:ptCount val="1"/>
                <c:pt idx="0">
                  <c:v>Mechanical Electrical Plumbing - Embodied Carbon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Averages!$B$1:$I$1</c:f>
              <c:strCache>
                <c:ptCount val="8"/>
                <c:pt idx="0">
                  <c:v>Base - Gas</c:v>
                </c:pt>
                <c:pt idx="1">
                  <c:v>Low EC - Gas</c:v>
                </c:pt>
                <c:pt idx="2">
                  <c:v>Base - Electric</c:v>
                </c:pt>
                <c:pt idx="3">
                  <c:v>Low EC - Electric</c:v>
                </c:pt>
                <c:pt idx="4">
                  <c:v>PHIUS - Efficient Low EC</c:v>
                </c:pt>
                <c:pt idx="5">
                  <c:v>PHIUS - Efficient Standard EC</c:v>
                </c:pt>
                <c:pt idx="6">
                  <c:v>PHIUS - Inefficient High EC</c:v>
                </c:pt>
                <c:pt idx="7">
                  <c:v>PHIUS - Efficient High EC</c:v>
                </c:pt>
              </c:strCache>
            </c:strRef>
          </c:cat>
          <c:val>
            <c:numRef>
              <c:f>Averages!$B$4:$I$4</c:f>
              <c:numCache>
                <c:formatCode>#,##0.00</c:formatCode>
                <c:ptCount val="8"/>
                <c:pt idx="0">
                  <c:v>185.76890459916956</c:v>
                </c:pt>
                <c:pt idx="1">
                  <c:v>185.76890459916956</c:v>
                </c:pt>
                <c:pt idx="2">
                  <c:v>188.82053347173425</c:v>
                </c:pt>
                <c:pt idx="3">
                  <c:v>188.82053347173425</c:v>
                </c:pt>
                <c:pt idx="4">
                  <c:v>135.37112950659252</c:v>
                </c:pt>
                <c:pt idx="5">
                  <c:v>135.50302027406511</c:v>
                </c:pt>
                <c:pt idx="6">
                  <c:v>144.8883559565634</c:v>
                </c:pt>
                <c:pt idx="7">
                  <c:v>135.37112950659252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4-43E6-A1DD-EC9B8ED1A1AA}"/>
            </c:ext>
          </c:extLst>
        </c:ser>
        <c:ser>
          <c:idx val="1"/>
          <c:order val="2"/>
          <c:tx>
            <c:strRef>
              <c:f>Averages!$A$3</c:f>
              <c:strCache>
                <c:ptCount val="1"/>
                <c:pt idx="0">
                  <c:v>Refrigerants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Averages!$B$1:$I$1</c:f>
              <c:strCache>
                <c:ptCount val="8"/>
                <c:pt idx="0">
                  <c:v>Base - Gas</c:v>
                </c:pt>
                <c:pt idx="1">
                  <c:v>Low EC - Gas</c:v>
                </c:pt>
                <c:pt idx="2">
                  <c:v>Base - Electric</c:v>
                </c:pt>
                <c:pt idx="3">
                  <c:v>Low EC - Electric</c:v>
                </c:pt>
                <c:pt idx="4">
                  <c:v>PHIUS - Efficient Low EC</c:v>
                </c:pt>
                <c:pt idx="5">
                  <c:v>PHIUS - Efficient Standard EC</c:v>
                </c:pt>
                <c:pt idx="6">
                  <c:v>PHIUS - Inefficient High EC</c:v>
                </c:pt>
                <c:pt idx="7">
                  <c:v>PHIUS - Efficient High EC</c:v>
                </c:pt>
              </c:strCache>
            </c:strRef>
          </c:cat>
          <c:val>
            <c:numRef>
              <c:f>Averages!$B$3:$I$3</c:f>
              <c:numCache>
                <c:formatCode>#,##0.00</c:formatCode>
                <c:ptCount val="8"/>
                <c:pt idx="0">
                  <c:v>365.60359952178851</c:v>
                </c:pt>
                <c:pt idx="1">
                  <c:v>365.60359952178851</c:v>
                </c:pt>
                <c:pt idx="2">
                  <c:v>426.53031824389564</c:v>
                </c:pt>
                <c:pt idx="3">
                  <c:v>426.53031824389564</c:v>
                </c:pt>
                <c:pt idx="4">
                  <c:v>341.97475032756245</c:v>
                </c:pt>
                <c:pt idx="5">
                  <c:v>341.97475032756245</c:v>
                </c:pt>
                <c:pt idx="6">
                  <c:v>365.60359952178851</c:v>
                </c:pt>
                <c:pt idx="7">
                  <c:v>341.97413056158769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B-4F9D-BE7F-1AC98B2AB673}"/>
            </c:ext>
          </c:extLst>
        </c:ser>
        <c:ser>
          <c:idx val="2"/>
          <c:order val="3"/>
          <c:tx>
            <c:strRef>
              <c:f>Averages!$A$5</c:f>
              <c:strCache>
                <c:ptCount val="1"/>
                <c:pt idx="0">
                  <c:v>Source 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Averages!$B$1:$I$1</c:f>
              <c:strCache>
                <c:ptCount val="8"/>
                <c:pt idx="0">
                  <c:v>Base - Gas</c:v>
                </c:pt>
                <c:pt idx="1">
                  <c:v>Low EC - Gas</c:v>
                </c:pt>
                <c:pt idx="2">
                  <c:v>Base - Electric</c:v>
                </c:pt>
                <c:pt idx="3">
                  <c:v>Low EC - Electric</c:v>
                </c:pt>
                <c:pt idx="4">
                  <c:v>PHIUS - Efficient Low EC</c:v>
                </c:pt>
                <c:pt idx="5">
                  <c:v>PHIUS - Efficient Standard EC</c:v>
                </c:pt>
                <c:pt idx="6">
                  <c:v>PHIUS - Inefficient High EC</c:v>
                </c:pt>
                <c:pt idx="7">
                  <c:v>PHIUS - Efficient High EC</c:v>
                </c:pt>
              </c:strCache>
            </c:strRef>
          </c:cat>
          <c:val>
            <c:numRef>
              <c:f>Averages!$B$5:$I$5</c:f>
            </c:numRef>
          </c:val>
          <c:extLst>
            <c:ext xmlns:c16="http://schemas.microsoft.com/office/drawing/2014/chart" uri="{C3380CC4-5D6E-409C-BE32-E72D297353CC}">
              <c16:uniqueId val="{00000002-991B-4F9D-BE7F-1AC98B2AB673}"/>
            </c:ext>
          </c:extLst>
        </c:ser>
        <c:ser>
          <c:idx val="3"/>
          <c:order val="4"/>
          <c:tx>
            <c:strRef>
              <c:f>Averages!$A$6</c:f>
              <c:strCache>
                <c:ptCount val="1"/>
                <c:pt idx="0">
                  <c:v>SE/ SL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Averages!$B$1:$I$1</c:f>
              <c:strCache>
                <c:ptCount val="8"/>
                <c:pt idx="0">
                  <c:v>Base - Gas</c:v>
                </c:pt>
                <c:pt idx="1">
                  <c:v>Low EC - Gas</c:v>
                </c:pt>
                <c:pt idx="2">
                  <c:v>Base - Electric</c:v>
                </c:pt>
                <c:pt idx="3">
                  <c:v>Low EC - Electric</c:v>
                </c:pt>
                <c:pt idx="4">
                  <c:v>PHIUS - Efficient Low EC</c:v>
                </c:pt>
                <c:pt idx="5">
                  <c:v>PHIUS - Efficient Standard EC</c:v>
                </c:pt>
                <c:pt idx="6">
                  <c:v>PHIUS - Inefficient High EC</c:v>
                </c:pt>
                <c:pt idx="7">
                  <c:v>PHIUS - Efficient High EC</c:v>
                </c:pt>
              </c:strCache>
            </c:strRef>
          </c:cat>
          <c:val>
            <c:numRef>
              <c:f>Averages!$B$6:$I$6</c:f>
            </c:numRef>
          </c:val>
          <c:extLst>
            <c:ext xmlns:c16="http://schemas.microsoft.com/office/drawing/2014/chart" uri="{C3380CC4-5D6E-409C-BE32-E72D297353CC}">
              <c16:uniqueId val="{00000003-991B-4F9D-BE7F-1AC98B2AB673}"/>
            </c:ext>
          </c:extLst>
        </c:ser>
        <c:ser>
          <c:idx val="4"/>
          <c:order val="5"/>
          <c:tx>
            <c:strRef>
              <c:f>Averages!$A$7</c:f>
              <c:strCache>
                <c:ptCount val="1"/>
                <c:pt idx="0">
                  <c:v>Operational Carbon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Averages!$B$1:$I$1</c:f>
              <c:strCache>
                <c:ptCount val="8"/>
                <c:pt idx="0">
                  <c:v>Base - Gas</c:v>
                </c:pt>
                <c:pt idx="1">
                  <c:v>Low EC - Gas</c:v>
                </c:pt>
                <c:pt idx="2">
                  <c:v>Base - Electric</c:v>
                </c:pt>
                <c:pt idx="3">
                  <c:v>Low EC - Electric</c:v>
                </c:pt>
                <c:pt idx="4">
                  <c:v>PHIUS - Efficient Low EC</c:v>
                </c:pt>
                <c:pt idx="5">
                  <c:v>PHIUS - Efficient Standard EC</c:v>
                </c:pt>
                <c:pt idx="6">
                  <c:v>PHIUS - Inefficient High EC</c:v>
                </c:pt>
                <c:pt idx="7">
                  <c:v>PHIUS - Efficient High EC</c:v>
                </c:pt>
              </c:strCache>
            </c:strRef>
          </c:cat>
          <c:val>
            <c:numRef>
              <c:f>Averages!$B$7:$I$7</c:f>
              <c:numCache>
                <c:formatCode>#,##0.00</c:formatCode>
                <c:ptCount val="8"/>
                <c:pt idx="0">
                  <c:v>1899.5531090787065</c:v>
                </c:pt>
                <c:pt idx="1">
                  <c:v>1899.5531090787065</c:v>
                </c:pt>
                <c:pt idx="2">
                  <c:v>2097.605223424363</c:v>
                </c:pt>
                <c:pt idx="3">
                  <c:v>2097.605223424363</c:v>
                </c:pt>
                <c:pt idx="4">
                  <c:v>536.54624426492899</c:v>
                </c:pt>
                <c:pt idx="5">
                  <c:v>536.54624426492899</c:v>
                </c:pt>
                <c:pt idx="6">
                  <c:v>933.83271139057842</c:v>
                </c:pt>
                <c:pt idx="7">
                  <c:v>518.97575363665851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1B-4F9D-BE7F-1AC98B2AB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0954304"/>
        <c:axId val="1410958048"/>
      </c:barChart>
      <c:catAx>
        <c:axId val="141095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</a:t>
                </a:r>
                <a:r>
                  <a:rPr lang="en-US" baseline="0"/>
                  <a:t>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58048"/>
        <c:crosses val="autoZero"/>
        <c:auto val="1"/>
        <c:lblAlgn val="ctr"/>
        <c:lblOffset val="100"/>
        <c:noMultiLvlLbl val="0"/>
      </c:catAx>
      <c:valAx>
        <c:axId val="1410958048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kgCO2e/m2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by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'100% by 2050'!$B$2</c:f>
              <c:strCache>
                <c:ptCount val="1"/>
                <c:pt idx="0">
                  <c:v>US-Average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'100% by 2050'!$B$3:$B$63</c:f>
              <c:numCache>
                <c:formatCode>General</c:formatCode>
                <c:ptCount val="61"/>
                <c:pt idx="0">
                  <c:v>0.37117</c:v>
                </c:pt>
                <c:pt idx="1">
                  <c:v>0.35791392857142856</c:v>
                </c:pt>
                <c:pt idx="2">
                  <c:v>0.34465785714285713</c:v>
                </c:pt>
                <c:pt idx="3">
                  <c:v>0.33140178571428569</c:v>
                </c:pt>
                <c:pt idx="4">
                  <c:v>0.31814571428571425</c:v>
                </c:pt>
                <c:pt idx="5">
                  <c:v>0.30488964285714282</c:v>
                </c:pt>
                <c:pt idx="6">
                  <c:v>0.29163357142857138</c:v>
                </c:pt>
                <c:pt idx="7">
                  <c:v>0.27837749999999994</c:v>
                </c:pt>
                <c:pt idx="8">
                  <c:v>0.26512142857142851</c:v>
                </c:pt>
                <c:pt idx="9">
                  <c:v>0.25186535714285707</c:v>
                </c:pt>
                <c:pt idx="10">
                  <c:v>0.23860928571428563</c:v>
                </c:pt>
                <c:pt idx="11">
                  <c:v>0.2253532142857142</c:v>
                </c:pt>
                <c:pt idx="12">
                  <c:v>0.21209714285714276</c:v>
                </c:pt>
                <c:pt idx="13">
                  <c:v>0.19884107142857133</c:v>
                </c:pt>
                <c:pt idx="14">
                  <c:v>0.18558499999999989</c:v>
                </c:pt>
                <c:pt idx="15">
                  <c:v>0.17232892857142845</c:v>
                </c:pt>
                <c:pt idx="16">
                  <c:v>0.15907285714285702</c:v>
                </c:pt>
                <c:pt idx="17">
                  <c:v>0.14581678571428558</c:v>
                </c:pt>
                <c:pt idx="18">
                  <c:v>0.13256071428571414</c:v>
                </c:pt>
                <c:pt idx="19">
                  <c:v>0.11930464285714272</c:v>
                </c:pt>
                <c:pt idx="20">
                  <c:v>0.1060485714285713</c:v>
                </c:pt>
                <c:pt idx="21">
                  <c:v>9.2792499999999875E-2</c:v>
                </c:pt>
                <c:pt idx="22">
                  <c:v>7.9536428571428452E-2</c:v>
                </c:pt>
                <c:pt idx="23">
                  <c:v>6.628035714285703E-2</c:v>
                </c:pt>
                <c:pt idx="24">
                  <c:v>5.30242857142856E-2</c:v>
                </c:pt>
                <c:pt idx="25">
                  <c:v>3.9768214285714171E-2</c:v>
                </c:pt>
                <c:pt idx="26">
                  <c:v>2.6512142857142741E-2</c:v>
                </c:pt>
                <c:pt idx="27">
                  <c:v>1.3256071428571313E-2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7-4C05-BE43-4FB3EBF5E50F}"/>
            </c:ext>
          </c:extLst>
        </c:ser>
        <c:ser>
          <c:idx val="1"/>
          <c:order val="1"/>
          <c:tx>
            <c:strRef>
              <c:f>'100% by 2050'!$C$2</c:f>
              <c:strCache>
                <c:ptCount val="1"/>
                <c:pt idx="0">
                  <c:v>FRCC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'100% by 2050'!$C$3:$C$63</c:f>
              <c:numCache>
                <c:formatCode>General</c:formatCode>
                <c:ptCount val="61"/>
                <c:pt idx="0">
                  <c:v>0.378785916</c:v>
                </c:pt>
                <c:pt idx="1">
                  <c:v>0.3652578475714286</c:v>
                </c:pt>
                <c:pt idx="2">
                  <c:v>0.35172977914285719</c:v>
                </c:pt>
                <c:pt idx="3">
                  <c:v>0.33820171071428579</c:v>
                </c:pt>
                <c:pt idx="4">
                  <c:v>0.32467364228571438</c:v>
                </c:pt>
                <c:pt idx="5">
                  <c:v>0.31114557385714298</c:v>
                </c:pt>
                <c:pt idx="6">
                  <c:v>0.29761750542857157</c:v>
                </c:pt>
                <c:pt idx="7">
                  <c:v>0.28408943700000017</c:v>
                </c:pt>
                <c:pt idx="8">
                  <c:v>0.27056136857142876</c:v>
                </c:pt>
                <c:pt idx="9">
                  <c:v>0.25703330014285736</c:v>
                </c:pt>
                <c:pt idx="10">
                  <c:v>0.24350523171428592</c:v>
                </c:pt>
                <c:pt idx="11">
                  <c:v>0.22997716328571449</c:v>
                </c:pt>
                <c:pt idx="12">
                  <c:v>0.21644909485714306</c:v>
                </c:pt>
                <c:pt idx="13">
                  <c:v>0.20292102642857163</c:v>
                </c:pt>
                <c:pt idx="14">
                  <c:v>0.18939295800000019</c:v>
                </c:pt>
                <c:pt idx="15">
                  <c:v>0.17586488957142876</c:v>
                </c:pt>
                <c:pt idx="16">
                  <c:v>0.16233682114285733</c:v>
                </c:pt>
                <c:pt idx="17">
                  <c:v>0.1488087527142859</c:v>
                </c:pt>
                <c:pt idx="18">
                  <c:v>0.13528068428571446</c:v>
                </c:pt>
                <c:pt idx="19">
                  <c:v>0.12175261585714303</c:v>
                </c:pt>
                <c:pt idx="20">
                  <c:v>0.1082245474285716</c:v>
                </c:pt>
                <c:pt idx="21">
                  <c:v>9.4696479000000167E-2</c:v>
                </c:pt>
                <c:pt idx="22">
                  <c:v>8.1168410571428734E-2</c:v>
                </c:pt>
                <c:pt idx="23">
                  <c:v>6.7640342142857302E-2</c:v>
                </c:pt>
                <c:pt idx="24">
                  <c:v>5.4112273714285869E-2</c:v>
                </c:pt>
                <c:pt idx="25">
                  <c:v>4.0584205285714436E-2</c:v>
                </c:pt>
                <c:pt idx="26">
                  <c:v>2.7056136857143007E-2</c:v>
                </c:pt>
                <c:pt idx="27">
                  <c:v>1.3528068428571578E-2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7-4C05-BE43-4FB3EBF5E50F}"/>
            </c:ext>
          </c:extLst>
        </c:ser>
        <c:ser>
          <c:idx val="2"/>
          <c:order val="2"/>
          <c:tx>
            <c:strRef>
              <c:f>'100% by 2050'!$D$2</c:f>
              <c:strCache>
                <c:ptCount val="1"/>
                <c:pt idx="0">
                  <c:v>CAMX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'100% by 2050'!$D$3:$D$63</c:f>
              <c:numCache>
                <c:formatCode>General</c:formatCode>
                <c:ptCount val="61"/>
                <c:pt idx="0">
                  <c:v>0.23290153799999999</c:v>
                </c:pt>
                <c:pt idx="1">
                  <c:v>0.22458362592857142</c:v>
                </c:pt>
                <c:pt idx="2">
                  <c:v>0.21626571385714286</c:v>
                </c:pt>
                <c:pt idx="3">
                  <c:v>0.20794780178571429</c:v>
                </c:pt>
                <c:pt idx="4">
                  <c:v>0.19962988971428572</c:v>
                </c:pt>
                <c:pt idx="5">
                  <c:v>0.19131197764285715</c:v>
                </c:pt>
                <c:pt idx="6">
                  <c:v>0.18299406557142858</c:v>
                </c:pt>
                <c:pt idx="7">
                  <c:v>0.17467615350000001</c:v>
                </c:pt>
                <c:pt idx="8">
                  <c:v>0.16635824142857145</c:v>
                </c:pt>
                <c:pt idx="9">
                  <c:v>0.15804032935714288</c:v>
                </c:pt>
                <c:pt idx="10">
                  <c:v>0.14972241728571431</c:v>
                </c:pt>
                <c:pt idx="11">
                  <c:v>0.14140450521428574</c:v>
                </c:pt>
                <c:pt idx="12">
                  <c:v>0.13308659314285717</c:v>
                </c:pt>
                <c:pt idx="13">
                  <c:v>0.12476868107142861</c:v>
                </c:pt>
                <c:pt idx="14">
                  <c:v>0.11645076900000004</c:v>
                </c:pt>
                <c:pt idx="15">
                  <c:v>0.10813285692857147</c:v>
                </c:pt>
                <c:pt idx="16">
                  <c:v>9.9814944857142901E-2</c:v>
                </c:pt>
                <c:pt idx="17">
                  <c:v>9.1497032785714333E-2</c:v>
                </c:pt>
                <c:pt idx="18">
                  <c:v>8.3179120714285765E-2</c:v>
                </c:pt>
                <c:pt idx="19">
                  <c:v>7.4861208642857197E-2</c:v>
                </c:pt>
                <c:pt idx="20">
                  <c:v>6.6543296571428628E-2</c:v>
                </c:pt>
                <c:pt idx="21">
                  <c:v>5.822538450000006E-2</c:v>
                </c:pt>
                <c:pt idx="22">
                  <c:v>4.9907472428571492E-2</c:v>
                </c:pt>
                <c:pt idx="23">
                  <c:v>4.1589560357142924E-2</c:v>
                </c:pt>
                <c:pt idx="24">
                  <c:v>3.3271648285714356E-2</c:v>
                </c:pt>
                <c:pt idx="25">
                  <c:v>2.4953736214285784E-2</c:v>
                </c:pt>
                <c:pt idx="26">
                  <c:v>1.6635824142857213E-2</c:v>
                </c:pt>
                <c:pt idx="27">
                  <c:v>8.317912071428641E-3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7-4C05-BE43-4FB3EBF5E50F}"/>
            </c:ext>
          </c:extLst>
        </c:ser>
        <c:ser>
          <c:idx val="3"/>
          <c:order val="3"/>
          <c:tx>
            <c:strRef>
              <c:f>'100% by 2050'!$E$2</c:f>
              <c:strCache>
                <c:ptCount val="1"/>
                <c:pt idx="0">
                  <c:v>NYCW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'100% by 2050'!$E$3:$E$63</c:f>
              <c:numCache>
                <c:formatCode>General</c:formatCode>
                <c:ptCount val="61"/>
                <c:pt idx="0">
                  <c:v>0.28785425399999998</c:v>
                </c:pt>
                <c:pt idx="1">
                  <c:v>0.2775737449285714</c:v>
                </c:pt>
                <c:pt idx="2">
                  <c:v>0.26729323585714282</c:v>
                </c:pt>
                <c:pt idx="3">
                  <c:v>0.25701272678571424</c:v>
                </c:pt>
                <c:pt idx="4">
                  <c:v>0.24673221771428566</c:v>
                </c:pt>
                <c:pt idx="5">
                  <c:v>0.23645170864285708</c:v>
                </c:pt>
                <c:pt idx="6">
                  <c:v>0.22617119957142851</c:v>
                </c:pt>
                <c:pt idx="7">
                  <c:v>0.21589069049999993</c:v>
                </c:pt>
                <c:pt idx="8">
                  <c:v>0.20561018142857135</c:v>
                </c:pt>
                <c:pt idx="9">
                  <c:v>0.19532967235714277</c:v>
                </c:pt>
                <c:pt idx="10">
                  <c:v>0.18504916328571419</c:v>
                </c:pt>
                <c:pt idx="11">
                  <c:v>0.17476865421428561</c:v>
                </c:pt>
                <c:pt idx="12">
                  <c:v>0.16448814514285703</c:v>
                </c:pt>
                <c:pt idx="13">
                  <c:v>0.15420763607142846</c:v>
                </c:pt>
                <c:pt idx="14">
                  <c:v>0.14392712699999988</c:v>
                </c:pt>
                <c:pt idx="15">
                  <c:v>0.1336466179285713</c:v>
                </c:pt>
                <c:pt idx="16">
                  <c:v>0.12336610885714273</c:v>
                </c:pt>
                <c:pt idx="17">
                  <c:v>0.11308559978571417</c:v>
                </c:pt>
                <c:pt idx="18">
                  <c:v>0.1028050907142856</c:v>
                </c:pt>
                <c:pt idx="19">
                  <c:v>9.252458164285704E-2</c:v>
                </c:pt>
                <c:pt idx="20">
                  <c:v>8.2244072571428475E-2</c:v>
                </c:pt>
                <c:pt idx="21">
                  <c:v>7.1963563499999911E-2</c:v>
                </c:pt>
                <c:pt idx="22">
                  <c:v>6.1683054428571339E-2</c:v>
                </c:pt>
                <c:pt idx="23">
                  <c:v>5.1402545357142768E-2</c:v>
                </c:pt>
                <c:pt idx="24">
                  <c:v>4.1122036285714196E-2</c:v>
                </c:pt>
                <c:pt idx="25">
                  <c:v>3.0841527214285624E-2</c:v>
                </c:pt>
                <c:pt idx="26">
                  <c:v>2.0561018142857053E-2</c:v>
                </c:pt>
                <c:pt idx="27">
                  <c:v>1.0280509071428483E-2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F7-4C05-BE43-4FB3EBF5E50F}"/>
            </c:ext>
          </c:extLst>
        </c:ser>
        <c:ser>
          <c:idx val="4"/>
          <c:order val="4"/>
          <c:tx>
            <c:strRef>
              <c:f>'100% by 2050'!$F$2</c:f>
              <c:strCache>
                <c:ptCount val="1"/>
                <c:pt idx="0">
                  <c:v>NYUP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'100% by 2050'!$F$3:$F$63</c:f>
              <c:numCache>
                <c:formatCode>General</c:formatCode>
                <c:ptCount val="61"/>
                <c:pt idx="0">
                  <c:v>0.10591835400000001</c:v>
                </c:pt>
                <c:pt idx="1">
                  <c:v>0.10213555564285715</c:v>
                </c:pt>
                <c:pt idx="2">
                  <c:v>9.8352757285714285E-2</c:v>
                </c:pt>
                <c:pt idx="3">
                  <c:v>9.4569958928571424E-2</c:v>
                </c:pt>
                <c:pt idx="4">
                  <c:v>9.0787160571428563E-2</c:v>
                </c:pt>
                <c:pt idx="5">
                  <c:v>8.7004362214285702E-2</c:v>
                </c:pt>
                <c:pt idx="6">
                  <c:v>8.3221563857142841E-2</c:v>
                </c:pt>
                <c:pt idx="7">
                  <c:v>7.943876549999998E-2</c:v>
                </c:pt>
                <c:pt idx="8">
                  <c:v>7.565596714285712E-2</c:v>
                </c:pt>
                <c:pt idx="9">
                  <c:v>7.1873168785714259E-2</c:v>
                </c:pt>
                <c:pt idx="10">
                  <c:v>6.8090370428571398E-2</c:v>
                </c:pt>
                <c:pt idx="11">
                  <c:v>6.4307572071428537E-2</c:v>
                </c:pt>
                <c:pt idx="12">
                  <c:v>6.0524773714285676E-2</c:v>
                </c:pt>
                <c:pt idx="13">
                  <c:v>5.6741975357142815E-2</c:v>
                </c:pt>
                <c:pt idx="14">
                  <c:v>5.2959176999999955E-2</c:v>
                </c:pt>
                <c:pt idx="15">
                  <c:v>4.9176378642857094E-2</c:v>
                </c:pt>
                <c:pt idx="16">
                  <c:v>4.5393580285714233E-2</c:v>
                </c:pt>
                <c:pt idx="17">
                  <c:v>4.1610781928571372E-2</c:v>
                </c:pt>
                <c:pt idx="18">
                  <c:v>3.7827983571428511E-2</c:v>
                </c:pt>
                <c:pt idx="19">
                  <c:v>3.404518521428565E-2</c:v>
                </c:pt>
                <c:pt idx="20">
                  <c:v>3.0262386857142793E-2</c:v>
                </c:pt>
                <c:pt idx="21">
                  <c:v>2.6479588499999936E-2</c:v>
                </c:pt>
                <c:pt idx="22">
                  <c:v>2.2696790142857078E-2</c:v>
                </c:pt>
                <c:pt idx="23">
                  <c:v>1.8913991785714221E-2</c:v>
                </c:pt>
                <c:pt idx="24">
                  <c:v>1.5131193428571364E-2</c:v>
                </c:pt>
                <c:pt idx="25">
                  <c:v>1.1348395071428506E-2</c:v>
                </c:pt>
                <c:pt idx="26">
                  <c:v>7.5655967142856488E-3</c:v>
                </c:pt>
                <c:pt idx="27">
                  <c:v>3.7827983571427914E-3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F7-4C05-BE43-4FB3EBF5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438512"/>
        <c:axId val="2031454320"/>
      </c:lineChart>
      <c:catAx>
        <c:axId val="203143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54320"/>
        <c:crosses val="autoZero"/>
        <c:auto val="1"/>
        <c:lblAlgn val="ctr"/>
        <c:lblOffset val="100"/>
        <c:noMultiLvlLbl val="0"/>
      </c:catAx>
      <c:valAx>
        <c:axId val="2031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kgCO2e/kWh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3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80% by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'80% by 2050'!$B$2</c:f>
              <c:strCache>
                <c:ptCount val="1"/>
                <c:pt idx="0">
                  <c:v>US-Average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'80% by 2050'!$B$3:$B$63</c:f>
              <c:numCache>
                <c:formatCode>General</c:formatCode>
                <c:ptCount val="61"/>
                <c:pt idx="0">
                  <c:v>0.37117</c:v>
                </c:pt>
                <c:pt idx="1">
                  <c:v>0.36056514285714286</c:v>
                </c:pt>
                <c:pt idx="2">
                  <c:v>0.34996028571428572</c:v>
                </c:pt>
                <c:pt idx="3">
                  <c:v>0.33935542857142859</c:v>
                </c:pt>
                <c:pt idx="4">
                  <c:v>0.32875057142857145</c:v>
                </c:pt>
                <c:pt idx="5">
                  <c:v>0.31814571428571431</c:v>
                </c:pt>
                <c:pt idx="6">
                  <c:v>0.30754085714285717</c:v>
                </c:pt>
                <c:pt idx="7">
                  <c:v>0.29693600000000003</c:v>
                </c:pt>
                <c:pt idx="8">
                  <c:v>0.2863311428571429</c:v>
                </c:pt>
                <c:pt idx="9">
                  <c:v>0.27572628571428576</c:v>
                </c:pt>
                <c:pt idx="10">
                  <c:v>0.26512142857142862</c:v>
                </c:pt>
                <c:pt idx="11">
                  <c:v>0.25451657142857148</c:v>
                </c:pt>
                <c:pt idx="12">
                  <c:v>0.24391171428571434</c:v>
                </c:pt>
                <c:pt idx="13">
                  <c:v>0.2333068571428572</c:v>
                </c:pt>
                <c:pt idx="14">
                  <c:v>0.22270200000000007</c:v>
                </c:pt>
                <c:pt idx="15">
                  <c:v>0.21209714285714293</c:v>
                </c:pt>
                <c:pt idx="16">
                  <c:v>0.20149228571428579</c:v>
                </c:pt>
                <c:pt idx="17">
                  <c:v>0.19088742857142865</c:v>
                </c:pt>
                <c:pt idx="18">
                  <c:v>0.18028257142857151</c:v>
                </c:pt>
                <c:pt idx="19">
                  <c:v>0.16967771428571438</c:v>
                </c:pt>
                <c:pt idx="20">
                  <c:v>0.15907285714285724</c:v>
                </c:pt>
                <c:pt idx="21">
                  <c:v>0.1484680000000001</c:v>
                </c:pt>
                <c:pt idx="22">
                  <c:v>0.13786314285714296</c:v>
                </c:pt>
                <c:pt idx="23">
                  <c:v>0.12725828571428582</c:v>
                </c:pt>
                <c:pt idx="24">
                  <c:v>0.11665342857142869</c:v>
                </c:pt>
                <c:pt idx="25">
                  <c:v>0.10604857142857155</c:v>
                </c:pt>
                <c:pt idx="26">
                  <c:v>9.5443714285714409E-2</c:v>
                </c:pt>
                <c:pt idx="27">
                  <c:v>8.4838857142857271E-2</c:v>
                </c:pt>
                <c:pt idx="28">
                  <c:v>7.4234000000000133E-2</c:v>
                </c:pt>
                <c:pt idx="29">
                  <c:v>7.4234000000000133E-2</c:v>
                </c:pt>
                <c:pt idx="30">
                  <c:v>7.4234000000000133E-2</c:v>
                </c:pt>
                <c:pt idx="31">
                  <c:v>7.4234000000000133E-2</c:v>
                </c:pt>
                <c:pt idx="32">
                  <c:v>7.4234000000000133E-2</c:v>
                </c:pt>
                <c:pt idx="33">
                  <c:v>7.4234000000000133E-2</c:v>
                </c:pt>
                <c:pt idx="34">
                  <c:v>7.4234000000000133E-2</c:v>
                </c:pt>
                <c:pt idx="35">
                  <c:v>7.4234000000000133E-2</c:v>
                </c:pt>
                <c:pt idx="36">
                  <c:v>7.4234000000000133E-2</c:v>
                </c:pt>
                <c:pt idx="37">
                  <c:v>7.4234000000000133E-2</c:v>
                </c:pt>
                <c:pt idx="38">
                  <c:v>7.4234000000000133E-2</c:v>
                </c:pt>
                <c:pt idx="39">
                  <c:v>7.4234000000000133E-2</c:v>
                </c:pt>
                <c:pt idx="40">
                  <c:v>7.4234000000000133E-2</c:v>
                </c:pt>
                <c:pt idx="41">
                  <c:v>7.4234000000000133E-2</c:v>
                </c:pt>
                <c:pt idx="42">
                  <c:v>7.4234000000000133E-2</c:v>
                </c:pt>
                <c:pt idx="43">
                  <c:v>7.4234000000000133E-2</c:v>
                </c:pt>
                <c:pt idx="44">
                  <c:v>7.4234000000000133E-2</c:v>
                </c:pt>
                <c:pt idx="45">
                  <c:v>7.4234000000000133E-2</c:v>
                </c:pt>
                <c:pt idx="46">
                  <c:v>7.4234000000000133E-2</c:v>
                </c:pt>
                <c:pt idx="47">
                  <c:v>7.4234000000000133E-2</c:v>
                </c:pt>
                <c:pt idx="48">
                  <c:v>7.4234000000000133E-2</c:v>
                </c:pt>
                <c:pt idx="49">
                  <c:v>7.4234000000000133E-2</c:v>
                </c:pt>
                <c:pt idx="50">
                  <c:v>7.4234000000000133E-2</c:v>
                </c:pt>
                <c:pt idx="51">
                  <c:v>7.4234000000000133E-2</c:v>
                </c:pt>
                <c:pt idx="52">
                  <c:v>7.4234000000000133E-2</c:v>
                </c:pt>
                <c:pt idx="53">
                  <c:v>7.4234000000000133E-2</c:v>
                </c:pt>
                <c:pt idx="54">
                  <c:v>7.4234000000000133E-2</c:v>
                </c:pt>
                <c:pt idx="55">
                  <c:v>7.4234000000000133E-2</c:v>
                </c:pt>
                <c:pt idx="56">
                  <c:v>7.4234000000000133E-2</c:v>
                </c:pt>
                <c:pt idx="57">
                  <c:v>7.4234000000000133E-2</c:v>
                </c:pt>
                <c:pt idx="58">
                  <c:v>7.4234000000000133E-2</c:v>
                </c:pt>
                <c:pt idx="59">
                  <c:v>7.4234000000000133E-2</c:v>
                </c:pt>
                <c:pt idx="60">
                  <c:v>7.4234000000000133E-2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D-41C4-831A-57A2E021FD95}"/>
            </c:ext>
          </c:extLst>
        </c:ser>
        <c:ser>
          <c:idx val="1"/>
          <c:order val="1"/>
          <c:tx>
            <c:strRef>
              <c:f>'80% by 2050'!$C$2</c:f>
              <c:strCache>
                <c:ptCount val="1"/>
                <c:pt idx="0">
                  <c:v>FRCC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'80% by 2050'!$C$3:$C$63</c:f>
              <c:numCache>
                <c:formatCode>General</c:formatCode>
                <c:ptCount val="61"/>
                <c:pt idx="0">
                  <c:v>0.378785916</c:v>
                </c:pt>
                <c:pt idx="1">
                  <c:v>0.36796346125714285</c:v>
                </c:pt>
                <c:pt idx="2">
                  <c:v>0.35714100651428571</c:v>
                </c:pt>
                <c:pt idx="3">
                  <c:v>0.34631855177142856</c:v>
                </c:pt>
                <c:pt idx="4">
                  <c:v>0.33549609702857142</c:v>
                </c:pt>
                <c:pt idx="5">
                  <c:v>0.32467364228571427</c:v>
                </c:pt>
                <c:pt idx="6">
                  <c:v>0.31385118754285712</c:v>
                </c:pt>
                <c:pt idx="7">
                  <c:v>0.30302873279999998</c:v>
                </c:pt>
                <c:pt idx="8">
                  <c:v>0.29220627805714283</c:v>
                </c:pt>
                <c:pt idx="9">
                  <c:v>0.28138382331428569</c:v>
                </c:pt>
                <c:pt idx="10">
                  <c:v>0.27056136857142854</c:v>
                </c:pt>
                <c:pt idx="11">
                  <c:v>0.25973891382857139</c:v>
                </c:pt>
                <c:pt idx="12">
                  <c:v>0.24891645908571425</c:v>
                </c:pt>
                <c:pt idx="13">
                  <c:v>0.2380940043428571</c:v>
                </c:pt>
                <c:pt idx="14">
                  <c:v>0.22727154959999996</c:v>
                </c:pt>
                <c:pt idx="15">
                  <c:v>0.21644909485714281</c:v>
                </c:pt>
                <c:pt idx="16">
                  <c:v>0.20562664011428566</c:v>
                </c:pt>
                <c:pt idx="17">
                  <c:v>0.19480418537142852</c:v>
                </c:pt>
                <c:pt idx="18">
                  <c:v>0.18398173062857137</c:v>
                </c:pt>
                <c:pt idx="19">
                  <c:v>0.17315927588571423</c:v>
                </c:pt>
                <c:pt idx="20">
                  <c:v>0.16233682114285708</c:v>
                </c:pt>
                <c:pt idx="21">
                  <c:v>0.15151436639999993</c:v>
                </c:pt>
                <c:pt idx="22">
                  <c:v>0.14069191165714279</c:v>
                </c:pt>
                <c:pt idx="23">
                  <c:v>0.12986945691428564</c:v>
                </c:pt>
                <c:pt idx="24">
                  <c:v>0.1190470021714285</c:v>
                </c:pt>
                <c:pt idx="25">
                  <c:v>0.10822454742857135</c:v>
                </c:pt>
                <c:pt idx="26">
                  <c:v>9.7402092685714203E-2</c:v>
                </c:pt>
                <c:pt idx="27">
                  <c:v>8.6579637942857057E-2</c:v>
                </c:pt>
                <c:pt idx="28">
                  <c:v>7.5757183199999911E-2</c:v>
                </c:pt>
                <c:pt idx="29">
                  <c:v>7.5757183199999911E-2</c:v>
                </c:pt>
                <c:pt idx="30">
                  <c:v>7.5757183199999911E-2</c:v>
                </c:pt>
                <c:pt idx="31">
                  <c:v>7.5757183199999911E-2</c:v>
                </c:pt>
                <c:pt idx="32">
                  <c:v>7.5757183199999911E-2</c:v>
                </c:pt>
                <c:pt idx="33">
                  <c:v>7.5757183199999911E-2</c:v>
                </c:pt>
                <c:pt idx="34">
                  <c:v>7.5757183199999911E-2</c:v>
                </c:pt>
                <c:pt idx="35">
                  <c:v>7.5757183199999911E-2</c:v>
                </c:pt>
                <c:pt idx="36">
                  <c:v>7.5757183199999911E-2</c:v>
                </c:pt>
                <c:pt idx="37">
                  <c:v>7.5757183199999911E-2</c:v>
                </c:pt>
                <c:pt idx="38">
                  <c:v>7.5757183199999911E-2</c:v>
                </c:pt>
                <c:pt idx="39">
                  <c:v>7.5757183199999911E-2</c:v>
                </c:pt>
                <c:pt idx="40">
                  <c:v>7.5757183199999911E-2</c:v>
                </c:pt>
                <c:pt idx="41">
                  <c:v>7.5757183199999911E-2</c:v>
                </c:pt>
                <c:pt idx="42">
                  <c:v>7.5757183199999911E-2</c:v>
                </c:pt>
                <c:pt idx="43">
                  <c:v>7.5757183199999911E-2</c:v>
                </c:pt>
                <c:pt idx="44">
                  <c:v>7.5757183199999911E-2</c:v>
                </c:pt>
                <c:pt idx="45">
                  <c:v>7.5757183199999911E-2</c:v>
                </c:pt>
                <c:pt idx="46">
                  <c:v>7.5757183199999911E-2</c:v>
                </c:pt>
                <c:pt idx="47">
                  <c:v>7.5757183199999911E-2</c:v>
                </c:pt>
                <c:pt idx="48">
                  <c:v>7.5757183199999911E-2</c:v>
                </c:pt>
                <c:pt idx="49">
                  <c:v>7.5757183199999911E-2</c:v>
                </c:pt>
                <c:pt idx="50">
                  <c:v>7.5757183199999911E-2</c:v>
                </c:pt>
                <c:pt idx="51">
                  <c:v>7.5757183199999911E-2</c:v>
                </c:pt>
                <c:pt idx="52">
                  <c:v>7.5757183199999911E-2</c:v>
                </c:pt>
                <c:pt idx="53">
                  <c:v>7.5757183199999911E-2</c:v>
                </c:pt>
                <c:pt idx="54">
                  <c:v>7.5757183199999911E-2</c:v>
                </c:pt>
                <c:pt idx="55">
                  <c:v>7.5757183199999911E-2</c:v>
                </c:pt>
                <c:pt idx="56">
                  <c:v>7.5757183199999911E-2</c:v>
                </c:pt>
                <c:pt idx="57">
                  <c:v>7.5757183199999911E-2</c:v>
                </c:pt>
                <c:pt idx="58">
                  <c:v>7.5757183199999911E-2</c:v>
                </c:pt>
                <c:pt idx="59">
                  <c:v>7.5757183199999911E-2</c:v>
                </c:pt>
                <c:pt idx="60">
                  <c:v>7.5757183199999911E-2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D-41C4-831A-57A2E021FD95}"/>
            </c:ext>
          </c:extLst>
        </c:ser>
        <c:ser>
          <c:idx val="2"/>
          <c:order val="2"/>
          <c:tx>
            <c:strRef>
              <c:f>'80% by 2050'!$D$2</c:f>
              <c:strCache>
                <c:ptCount val="1"/>
                <c:pt idx="0">
                  <c:v>CAMX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'80% by 2050'!$D$3:$D$63</c:f>
              <c:numCache>
                <c:formatCode>General</c:formatCode>
                <c:ptCount val="61"/>
                <c:pt idx="0">
                  <c:v>0.23290153799999999</c:v>
                </c:pt>
                <c:pt idx="1">
                  <c:v>0.22624720834285714</c:v>
                </c:pt>
                <c:pt idx="2">
                  <c:v>0.21959287868571428</c:v>
                </c:pt>
                <c:pt idx="3">
                  <c:v>0.21293854902857143</c:v>
                </c:pt>
                <c:pt idx="4">
                  <c:v>0.20628421937142857</c:v>
                </c:pt>
                <c:pt idx="5">
                  <c:v>0.19962988971428572</c:v>
                </c:pt>
                <c:pt idx="6">
                  <c:v>0.19297556005714286</c:v>
                </c:pt>
                <c:pt idx="7">
                  <c:v>0.18632123040000001</c:v>
                </c:pt>
                <c:pt idx="8">
                  <c:v>0.17966690074285716</c:v>
                </c:pt>
                <c:pt idx="9">
                  <c:v>0.1730125710857143</c:v>
                </c:pt>
                <c:pt idx="10">
                  <c:v>0.16635824142857145</c:v>
                </c:pt>
                <c:pt idx="11">
                  <c:v>0.15970391177142859</c:v>
                </c:pt>
                <c:pt idx="12">
                  <c:v>0.15304958211428574</c:v>
                </c:pt>
                <c:pt idx="13">
                  <c:v>0.14639525245714288</c:v>
                </c:pt>
                <c:pt idx="14">
                  <c:v>0.13974092280000003</c:v>
                </c:pt>
                <c:pt idx="15">
                  <c:v>0.13308659314285717</c:v>
                </c:pt>
                <c:pt idx="16">
                  <c:v>0.12643226348571432</c:v>
                </c:pt>
                <c:pt idx="17">
                  <c:v>0.11977793382857146</c:v>
                </c:pt>
                <c:pt idx="18">
                  <c:v>0.11312360417142861</c:v>
                </c:pt>
                <c:pt idx="19">
                  <c:v>0.10646927451428576</c:v>
                </c:pt>
                <c:pt idx="20">
                  <c:v>9.9814944857142901E-2</c:v>
                </c:pt>
                <c:pt idx="21">
                  <c:v>9.3160615200000046E-2</c:v>
                </c:pt>
                <c:pt idx="22">
                  <c:v>8.6506285542857192E-2</c:v>
                </c:pt>
                <c:pt idx="23">
                  <c:v>7.9851955885714337E-2</c:v>
                </c:pt>
                <c:pt idx="24">
                  <c:v>7.3197626228571483E-2</c:v>
                </c:pt>
                <c:pt idx="25">
                  <c:v>6.6543296571428628E-2</c:v>
                </c:pt>
                <c:pt idx="26">
                  <c:v>5.9888966914285774E-2</c:v>
                </c:pt>
                <c:pt idx="27">
                  <c:v>5.3234637257142919E-2</c:v>
                </c:pt>
                <c:pt idx="28">
                  <c:v>4.6580307600000065E-2</c:v>
                </c:pt>
                <c:pt idx="29">
                  <c:v>4.6580307600000065E-2</c:v>
                </c:pt>
                <c:pt idx="30">
                  <c:v>4.6580307600000065E-2</c:v>
                </c:pt>
                <c:pt idx="31">
                  <c:v>4.6580307600000065E-2</c:v>
                </c:pt>
                <c:pt idx="32">
                  <c:v>4.6580307600000065E-2</c:v>
                </c:pt>
                <c:pt idx="33">
                  <c:v>4.6580307600000065E-2</c:v>
                </c:pt>
                <c:pt idx="34">
                  <c:v>4.6580307600000065E-2</c:v>
                </c:pt>
                <c:pt idx="35">
                  <c:v>4.6580307600000065E-2</c:v>
                </c:pt>
                <c:pt idx="36">
                  <c:v>4.6580307600000065E-2</c:v>
                </c:pt>
                <c:pt idx="37">
                  <c:v>4.6580307600000065E-2</c:v>
                </c:pt>
                <c:pt idx="38">
                  <c:v>4.6580307600000065E-2</c:v>
                </c:pt>
                <c:pt idx="39">
                  <c:v>4.6580307600000065E-2</c:v>
                </c:pt>
                <c:pt idx="40">
                  <c:v>4.6580307600000065E-2</c:v>
                </c:pt>
                <c:pt idx="41">
                  <c:v>4.6580307600000065E-2</c:v>
                </c:pt>
                <c:pt idx="42">
                  <c:v>4.6580307600000065E-2</c:v>
                </c:pt>
                <c:pt idx="43">
                  <c:v>4.6580307600000065E-2</c:v>
                </c:pt>
                <c:pt idx="44">
                  <c:v>4.6580307600000065E-2</c:v>
                </c:pt>
                <c:pt idx="45">
                  <c:v>4.6580307600000065E-2</c:v>
                </c:pt>
                <c:pt idx="46">
                  <c:v>4.6580307600000065E-2</c:v>
                </c:pt>
                <c:pt idx="47">
                  <c:v>4.6580307600000065E-2</c:v>
                </c:pt>
                <c:pt idx="48">
                  <c:v>4.6580307600000065E-2</c:v>
                </c:pt>
                <c:pt idx="49">
                  <c:v>4.6580307600000065E-2</c:v>
                </c:pt>
                <c:pt idx="50">
                  <c:v>4.6580307600000065E-2</c:v>
                </c:pt>
                <c:pt idx="51">
                  <c:v>4.6580307600000065E-2</c:v>
                </c:pt>
                <c:pt idx="52">
                  <c:v>4.6580307600000065E-2</c:v>
                </c:pt>
                <c:pt idx="53">
                  <c:v>4.6580307600000065E-2</c:v>
                </c:pt>
                <c:pt idx="54">
                  <c:v>4.6580307600000065E-2</c:v>
                </c:pt>
                <c:pt idx="55">
                  <c:v>4.6580307600000065E-2</c:v>
                </c:pt>
                <c:pt idx="56">
                  <c:v>4.6580307600000065E-2</c:v>
                </c:pt>
                <c:pt idx="57">
                  <c:v>4.6580307600000065E-2</c:v>
                </c:pt>
                <c:pt idx="58">
                  <c:v>4.6580307600000065E-2</c:v>
                </c:pt>
                <c:pt idx="59">
                  <c:v>4.6580307600000065E-2</c:v>
                </c:pt>
                <c:pt idx="60">
                  <c:v>4.6580307600000065E-2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D-41C4-831A-57A2E021FD95}"/>
            </c:ext>
          </c:extLst>
        </c:ser>
        <c:ser>
          <c:idx val="3"/>
          <c:order val="3"/>
          <c:tx>
            <c:strRef>
              <c:f>'80% by 2050'!$E$2</c:f>
              <c:strCache>
                <c:ptCount val="1"/>
                <c:pt idx="0">
                  <c:v>NYCW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'80% by 2050'!$E$3:$E$63</c:f>
              <c:numCache>
                <c:formatCode>General</c:formatCode>
                <c:ptCount val="61"/>
                <c:pt idx="0">
                  <c:v>0.28785425399999998</c:v>
                </c:pt>
                <c:pt idx="1">
                  <c:v>0.27962984674285712</c:v>
                </c:pt>
                <c:pt idx="2">
                  <c:v>0.27140543948571427</c:v>
                </c:pt>
                <c:pt idx="3">
                  <c:v>0.26318103222857142</c:v>
                </c:pt>
                <c:pt idx="4">
                  <c:v>0.25495662497142857</c:v>
                </c:pt>
                <c:pt idx="5">
                  <c:v>0.24673221771428572</c:v>
                </c:pt>
                <c:pt idx="6">
                  <c:v>0.23850781045714287</c:v>
                </c:pt>
                <c:pt idx="7">
                  <c:v>0.23028340320000001</c:v>
                </c:pt>
                <c:pt idx="8">
                  <c:v>0.22205899594285716</c:v>
                </c:pt>
                <c:pt idx="9">
                  <c:v>0.21383458868571431</c:v>
                </c:pt>
                <c:pt idx="10">
                  <c:v>0.20561018142857146</c:v>
                </c:pt>
                <c:pt idx="11">
                  <c:v>0.19738577417142861</c:v>
                </c:pt>
                <c:pt idx="12">
                  <c:v>0.18916136691428576</c:v>
                </c:pt>
                <c:pt idx="13">
                  <c:v>0.1809369596571429</c:v>
                </c:pt>
                <c:pt idx="14">
                  <c:v>0.17271255240000005</c:v>
                </c:pt>
                <c:pt idx="15">
                  <c:v>0.1644881451428572</c:v>
                </c:pt>
                <c:pt idx="16">
                  <c:v>0.15626373788571435</c:v>
                </c:pt>
                <c:pt idx="17">
                  <c:v>0.1480393306285715</c:v>
                </c:pt>
                <c:pt idx="18">
                  <c:v>0.13981492337142865</c:v>
                </c:pt>
                <c:pt idx="19">
                  <c:v>0.13159051611428579</c:v>
                </c:pt>
                <c:pt idx="20">
                  <c:v>0.12336610885714294</c:v>
                </c:pt>
                <c:pt idx="21">
                  <c:v>0.11514170160000009</c:v>
                </c:pt>
                <c:pt idx="22">
                  <c:v>0.10691729434285724</c:v>
                </c:pt>
                <c:pt idx="23">
                  <c:v>9.8692887085714387E-2</c:v>
                </c:pt>
                <c:pt idx="24">
                  <c:v>9.0468479828571535E-2</c:v>
                </c:pt>
                <c:pt idx="25">
                  <c:v>8.2244072571428684E-2</c:v>
                </c:pt>
                <c:pt idx="26">
                  <c:v>7.4019665314285832E-2</c:v>
                </c:pt>
                <c:pt idx="27">
                  <c:v>6.579525805714298E-2</c:v>
                </c:pt>
                <c:pt idx="28">
                  <c:v>5.7570850800000122E-2</c:v>
                </c:pt>
                <c:pt idx="29">
                  <c:v>5.7570850800000122E-2</c:v>
                </c:pt>
                <c:pt idx="30">
                  <c:v>5.7570850800000122E-2</c:v>
                </c:pt>
                <c:pt idx="31">
                  <c:v>5.7570850800000122E-2</c:v>
                </c:pt>
                <c:pt idx="32">
                  <c:v>5.7570850800000122E-2</c:v>
                </c:pt>
                <c:pt idx="33">
                  <c:v>5.7570850800000122E-2</c:v>
                </c:pt>
                <c:pt idx="34">
                  <c:v>5.7570850800000122E-2</c:v>
                </c:pt>
                <c:pt idx="35">
                  <c:v>5.7570850800000122E-2</c:v>
                </c:pt>
                <c:pt idx="36">
                  <c:v>5.7570850800000122E-2</c:v>
                </c:pt>
                <c:pt idx="37">
                  <c:v>5.7570850800000122E-2</c:v>
                </c:pt>
                <c:pt idx="38">
                  <c:v>5.7570850800000122E-2</c:v>
                </c:pt>
                <c:pt idx="39">
                  <c:v>5.7570850800000122E-2</c:v>
                </c:pt>
                <c:pt idx="40">
                  <c:v>5.7570850800000122E-2</c:v>
                </c:pt>
                <c:pt idx="41">
                  <c:v>5.7570850800000122E-2</c:v>
                </c:pt>
                <c:pt idx="42">
                  <c:v>5.7570850800000122E-2</c:v>
                </c:pt>
                <c:pt idx="43">
                  <c:v>5.7570850800000122E-2</c:v>
                </c:pt>
                <c:pt idx="44">
                  <c:v>5.7570850800000122E-2</c:v>
                </c:pt>
                <c:pt idx="45">
                  <c:v>5.7570850800000122E-2</c:v>
                </c:pt>
                <c:pt idx="46">
                  <c:v>5.7570850800000122E-2</c:v>
                </c:pt>
                <c:pt idx="47">
                  <c:v>5.7570850800000122E-2</c:v>
                </c:pt>
                <c:pt idx="48">
                  <c:v>5.7570850800000122E-2</c:v>
                </c:pt>
                <c:pt idx="49">
                  <c:v>5.7570850800000122E-2</c:v>
                </c:pt>
                <c:pt idx="50">
                  <c:v>5.7570850800000122E-2</c:v>
                </c:pt>
                <c:pt idx="51">
                  <c:v>5.7570850800000122E-2</c:v>
                </c:pt>
                <c:pt idx="52">
                  <c:v>5.7570850800000122E-2</c:v>
                </c:pt>
                <c:pt idx="53">
                  <c:v>5.7570850800000122E-2</c:v>
                </c:pt>
                <c:pt idx="54">
                  <c:v>5.7570850800000122E-2</c:v>
                </c:pt>
                <c:pt idx="55">
                  <c:v>5.7570850800000122E-2</c:v>
                </c:pt>
                <c:pt idx="56">
                  <c:v>5.7570850800000122E-2</c:v>
                </c:pt>
                <c:pt idx="57">
                  <c:v>5.7570850800000122E-2</c:v>
                </c:pt>
                <c:pt idx="58">
                  <c:v>5.7570850800000122E-2</c:v>
                </c:pt>
                <c:pt idx="59">
                  <c:v>5.7570850800000122E-2</c:v>
                </c:pt>
                <c:pt idx="60">
                  <c:v>5.7570850800000122E-2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D-41C4-831A-57A2E021FD95}"/>
            </c:ext>
          </c:extLst>
        </c:ser>
        <c:ser>
          <c:idx val="4"/>
          <c:order val="4"/>
          <c:tx>
            <c:strRef>
              <c:f>'80% by 2050'!$F$2</c:f>
              <c:strCache>
                <c:ptCount val="1"/>
                <c:pt idx="0">
                  <c:v>NYUP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'80% by 2050'!$F$3:$F$63</c:f>
              <c:numCache>
                <c:formatCode>General</c:formatCode>
                <c:ptCount val="61"/>
                <c:pt idx="0">
                  <c:v>0.10591835400000001</c:v>
                </c:pt>
                <c:pt idx="1">
                  <c:v>0.10289211531428571</c:v>
                </c:pt>
                <c:pt idx="2">
                  <c:v>9.9865876628571423E-2</c:v>
                </c:pt>
                <c:pt idx="3">
                  <c:v>9.6839637942857132E-2</c:v>
                </c:pt>
                <c:pt idx="4">
                  <c:v>9.381339925714284E-2</c:v>
                </c:pt>
                <c:pt idx="5">
                  <c:v>9.0787160571428549E-2</c:v>
                </c:pt>
                <c:pt idx="6">
                  <c:v>8.7760921885714258E-2</c:v>
                </c:pt>
                <c:pt idx="7">
                  <c:v>8.4734683199999966E-2</c:v>
                </c:pt>
                <c:pt idx="8">
                  <c:v>8.1708444514285675E-2</c:v>
                </c:pt>
                <c:pt idx="9">
                  <c:v>7.8682205828571383E-2</c:v>
                </c:pt>
                <c:pt idx="10">
                  <c:v>7.5655967142857092E-2</c:v>
                </c:pt>
                <c:pt idx="11">
                  <c:v>7.26297284571428E-2</c:v>
                </c:pt>
                <c:pt idx="12">
                  <c:v>6.9603489771428509E-2</c:v>
                </c:pt>
                <c:pt idx="13">
                  <c:v>6.6577251085714217E-2</c:v>
                </c:pt>
                <c:pt idx="14">
                  <c:v>6.3551012399999926E-2</c:v>
                </c:pt>
                <c:pt idx="15">
                  <c:v>6.0524773714285642E-2</c:v>
                </c:pt>
                <c:pt idx="16">
                  <c:v>5.7498535028571357E-2</c:v>
                </c:pt>
                <c:pt idx="17">
                  <c:v>5.4472296342857073E-2</c:v>
                </c:pt>
                <c:pt idx="18">
                  <c:v>5.1446057657142788E-2</c:v>
                </c:pt>
                <c:pt idx="19">
                  <c:v>4.8419818971428503E-2</c:v>
                </c:pt>
                <c:pt idx="20">
                  <c:v>4.5393580285714219E-2</c:v>
                </c:pt>
                <c:pt idx="21">
                  <c:v>4.2367341599999934E-2</c:v>
                </c:pt>
                <c:pt idx="22">
                  <c:v>3.934110291428565E-2</c:v>
                </c:pt>
                <c:pt idx="23">
                  <c:v>3.6314864228571365E-2</c:v>
                </c:pt>
                <c:pt idx="24">
                  <c:v>3.3288625542857081E-2</c:v>
                </c:pt>
                <c:pt idx="25">
                  <c:v>3.0262386857142796E-2</c:v>
                </c:pt>
                <c:pt idx="26">
                  <c:v>2.7236148171428512E-2</c:v>
                </c:pt>
                <c:pt idx="27">
                  <c:v>2.4209909485714227E-2</c:v>
                </c:pt>
                <c:pt idx="28">
                  <c:v>2.1183670799999943E-2</c:v>
                </c:pt>
                <c:pt idx="29">
                  <c:v>2.1183670799999943E-2</c:v>
                </c:pt>
                <c:pt idx="30">
                  <c:v>2.1183670799999943E-2</c:v>
                </c:pt>
                <c:pt idx="31">
                  <c:v>2.1183670799999943E-2</c:v>
                </c:pt>
                <c:pt idx="32">
                  <c:v>2.1183670799999943E-2</c:v>
                </c:pt>
                <c:pt idx="33">
                  <c:v>2.1183670799999943E-2</c:v>
                </c:pt>
                <c:pt idx="34">
                  <c:v>2.1183670799999943E-2</c:v>
                </c:pt>
                <c:pt idx="35">
                  <c:v>2.1183670799999943E-2</c:v>
                </c:pt>
                <c:pt idx="36">
                  <c:v>2.1183670799999943E-2</c:v>
                </c:pt>
                <c:pt idx="37">
                  <c:v>2.1183670799999943E-2</c:v>
                </c:pt>
                <c:pt idx="38">
                  <c:v>2.1183670799999943E-2</c:v>
                </c:pt>
                <c:pt idx="39">
                  <c:v>2.1183670799999943E-2</c:v>
                </c:pt>
                <c:pt idx="40">
                  <c:v>2.1183670799999943E-2</c:v>
                </c:pt>
                <c:pt idx="41">
                  <c:v>2.1183670799999943E-2</c:v>
                </c:pt>
                <c:pt idx="42">
                  <c:v>2.1183670799999943E-2</c:v>
                </c:pt>
                <c:pt idx="43">
                  <c:v>2.1183670799999943E-2</c:v>
                </c:pt>
                <c:pt idx="44">
                  <c:v>2.1183670799999943E-2</c:v>
                </c:pt>
                <c:pt idx="45">
                  <c:v>2.1183670799999943E-2</c:v>
                </c:pt>
                <c:pt idx="46">
                  <c:v>2.1183670799999943E-2</c:v>
                </c:pt>
                <c:pt idx="47">
                  <c:v>2.1183670799999943E-2</c:v>
                </c:pt>
                <c:pt idx="48">
                  <c:v>2.1183670799999943E-2</c:v>
                </c:pt>
                <c:pt idx="49">
                  <c:v>2.1183670799999943E-2</c:v>
                </c:pt>
                <c:pt idx="50">
                  <c:v>2.1183670799999943E-2</c:v>
                </c:pt>
                <c:pt idx="51">
                  <c:v>2.1183670799999943E-2</c:v>
                </c:pt>
                <c:pt idx="52">
                  <c:v>2.1183670799999943E-2</c:v>
                </c:pt>
                <c:pt idx="53">
                  <c:v>2.1183670799999943E-2</c:v>
                </c:pt>
                <c:pt idx="54">
                  <c:v>2.1183670799999943E-2</c:v>
                </c:pt>
                <c:pt idx="55">
                  <c:v>2.1183670799999943E-2</c:v>
                </c:pt>
                <c:pt idx="56">
                  <c:v>2.1183670799999943E-2</c:v>
                </c:pt>
                <c:pt idx="57">
                  <c:v>2.1183670799999943E-2</c:v>
                </c:pt>
                <c:pt idx="58">
                  <c:v>2.1183670799999943E-2</c:v>
                </c:pt>
                <c:pt idx="59">
                  <c:v>2.1183670799999943E-2</c:v>
                </c:pt>
                <c:pt idx="60">
                  <c:v>2.1183670799999943E-2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5D-41C4-831A-57A2E021F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258016"/>
        <c:axId val="2016250528"/>
      </c:lineChart>
      <c:catAx>
        <c:axId val="201625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0528"/>
        <c:crosses val="autoZero"/>
        <c:auto val="0"/>
        <c:lblAlgn val="ctr"/>
        <c:lblOffset val="100"/>
        <c:tickLblSkip val="5"/>
        <c:noMultiLvlLbl val="0"/>
      </c:catAx>
      <c:valAx>
        <c:axId val="20162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kgCO2e/kWh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50% by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'50% by 2050'!$B$2</c:f>
              <c:strCache>
                <c:ptCount val="1"/>
                <c:pt idx="0">
                  <c:v>US-Average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'50% by 2050'!$B$3:$B$63</c:f>
              <c:numCache>
                <c:formatCode>General</c:formatCode>
                <c:ptCount val="61"/>
                <c:pt idx="0">
                  <c:v>0.37117</c:v>
                </c:pt>
                <c:pt idx="1">
                  <c:v>0.36454196428571428</c:v>
                </c:pt>
                <c:pt idx="2">
                  <c:v>0.35791392857142856</c:v>
                </c:pt>
                <c:pt idx="3">
                  <c:v>0.35128589285714285</c:v>
                </c:pt>
                <c:pt idx="4">
                  <c:v>0.34465785714285713</c:v>
                </c:pt>
                <c:pt idx="5">
                  <c:v>0.33802982142857141</c:v>
                </c:pt>
                <c:pt idx="6">
                  <c:v>0.33140178571428569</c:v>
                </c:pt>
                <c:pt idx="7">
                  <c:v>0.32477374999999997</c:v>
                </c:pt>
                <c:pt idx="8">
                  <c:v>0.31814571428571425</c:v>
                </c:pt>
                <c:pt idx="9">
                  <c:v>0.31151767857142854</c:v>
                </c:pt>
                <c:pt idx="10">
                  <c:v>0.30488964285714282</c:v>
                </c:pt>
                <c:pt idx="11">
                  <c:v>0.2982616071428571</c:v>
                </c:pt>
                <c:pt idx="12">
                  <c:v>0.29163357142857138</c:v>
                </c:pt>
                <c:pt idx="13">
                  <c:v>0.28500553571428566</c:v>
                </c:pt>
                <c:pt idx="14">
                  <c:v>0.27837749999999994</c:v>
                </c:pt>
                <c:pt idx="15">
                  <c:v>0.27174946428571423</c:v>
                </c:pt>
                <c:pt idx="16">
                  <c:v>0.26512142857142851</c:v>
                </c:pt>
                <c:pt idx="17">
                  <c:v>0.25849339285714279</c:v>
                </c:pt>
                <c:pt idx="18">
                  <c:v>0.25186535714285707</c:v>
                </c:pt>
                <c:pt idx="19">
                  <c:v>0.24523732142857135</c:v>
                </c:pt>
                <c:pt idx="20">
                  <c:v>0.23860928571428563</c:v>
                </c:pt>
                <c:pt idx="21">
                  <c:v>0.23198124999999992</c:v>
                </c:pt>
                <c:pt idx="22">
                  <c:v>0.2253532142857142</c:v>
                </c:pt>
                <c:pt idx="23">
                  <c:v>0.21872517857142848</c:v>
                </c:pt>
                <c:pt idx="24">
                  <c:v>0.21209714285714276</c:v>
                </c:pt>
                <c:pt idx="25">
                  <c:v>0.20546910714285704</c:v>
                </c:pt>
                <c:pt idx="26">
                  <c:v>0.19884107142857133</c:v>
                </c:pt>
                <c:pt idx="27">
                  <c:v>0.19221303571428561</c:v>
                </c:pt>
                <c:pt idx="28">
                  <c:v>0.18558499999999989</c:v>
                </c:pt>
                <c:pt idx="29">
                  <c:v>0.18558499999999989</c:v>
                </c:pt>
                <c:pt idx="30">
                  <c:v>0.18558499999999989</c:v>
                </c:pt>
                <c:pt idx="31">
                  <c:v>0.18558499999999989</c:v>
                </c:pt>
                <c:pt idx="32">
                  <c:v>0.18558499999999989</c:v>
                </c:pt>
                <c:pt idx="33">
                  <c:v>0.18558499999999989</c:v>
                </c:pt>
                <c:pt idx="34">
                  <c:v>0.18558499999999989</c:v>
                </c:pt>
                <c:pt idx="35">
                  <c:v>0.18558499999999989</c:v>
                </c:pt>
                <c:pt idx="36">
                  <c:v>0.18558499999999989</c:v>
                </c:pt>
                <c:pt idx="37">
                  <c:v>0.18558499999999989</c:v>
                </c:pt>
                <c:pt idx="38">
                  <c:v>0.18558499999999989</c:v>
                </c:pt>
                <c:pt idx="39">
                  <c:v>0.18558499999999989</c:v>
                </c:pt>
                <c:pt idx="40">
                  <c:v>0.18558499999999989</c:v>
                </c:pt>
                <c:pt idx="41">
                  <c:v>0.18558499999999989</c:v>
                </c:pt>
                <c:pt idx="42">
                  <c:v>0.18558499999999989</c:v>
                </c:pt>
                <c:pt idx="43">
                  <c:v>0.18558499999999989</c:v>
                </c:pt>
                <c:pt idx="44">
                  <c:v>0.18558499999999989</c:v>
                </c:pt>
                <c:pt idx="45">
                  <c:v>0.18558499999999989</c:v>
                </c:pt>
                <c:pt idx="46">
                  <c:v>0.18558499999999989</c:v>
                </c:pt>
                <c:pt idx="47">
                  <c:v>0.18558499999999989</c:v>
                </c:pt>
                <c:pt idx="48">
                  <c:v>0.18558499999999989</c:v>
                </c:pt>
                <c:pt idx="49">
                  <c:v>0.18558499999999989</c:v>
                </c:pt>
                <c:pt idx="50">
                  <c:v>0.18558499999999989</c:v>
                </c:pt>
                <c:pt idx="51">
                  <c:v>0.18558499999999989</c:v>
                </c:pt>
                <c:pt idx="52">
                  <c:v>0.18558499999999989</c:v>
                </c:pt>
                <c:pt idx="53">
                  <c:v>0.18558499999999989</c:v>
                </c:pt>
                <c:pt idx="54">
                  <c:v>0.18558499999999989</c:v>
                </c:pt>
                <c:pt idx="55">
                  <c:v>0.18558499999999989</c:v>
                </c:pt>
                <c:pt idx="56">
                  <c:v>0.18558499999999989</c:v>
                </c:pt>
                <c:pt idx="57">
                  <c:v>0.18558499999999989</c:v>
                </c:pt>
                <c:pt idx="58">
                  <c:v>0.18558499999999989</c:v>
                </c:pt>
                <c:pt idx="59">
                  <c:v>0.18558499999999989</c:v>
                </c:pt>
                <c:pt idx="60">
                  <c:v>0.18558499999999989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D-4C10-A29D-F98E41C79252}"/>
            </c:ext>
          </c:extLst>
        </c:ser>
        <c:ser>
          <c:idx val="1"/>
          <c:order val="1"/>
          <c:tx>
            <c:strRef>
              <c:f>'50% by 2050'!$C$2</c:f>
              <c:strCache>
                <c:ptCount val="1"/>
                <c:pt idx="0">
                  <c:v>FRCC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'50% by 2050'!$C$3:$C$63</c:f>
              <c:numCache>
                <c:formatCode>General</c:formatCode>
                <c:ptCount val="61"/>
                <c:pt idx="0">
                  <c:v>0.378785916</c:v>
                </c:pt>
                <c:pt idx="1">
                  <c:v>0.37202188178571427</c:v>
                </c:pt>
                <c:pt idx="2">
                  <c:v>0.36525784757142854</c:v>
                </c:pt>
                <c:pt idx="3">
                  <c:v>0.35849381335714281</c:v>
                </c:pt>
                <c:pt idx="4">
                  <c:v>0.35172977914285708</c:v>
                </c:pt>
                <c:pt idx="5">
                  <c:v>0.34496574492857135</c:v>
                </c:pt>
                <c:pt idx="6">
                  <c:v>0.33820171071428562</c:v>
                </c:pt>
                <c:pt idx="7">
                  <c:v>0.33143767649999989</c:v>
                </c:pt>
                <c:pt idx="8">
                  <c:v>0.32467364228571416</c:v>
                </c:pt>
                <c:pt idx="9">
                  <c:v>0.31790960807142843</c:v>
                </c:pt>
                <c:pt idx="10">
                  <c:v>0.3111455738571427</c:v>
                </c:pt>
                <c:pt idx="11">
                  <c:v>0.30438153964285697</c:v>
                </c:pt>
                <c:pt idx="12">
                  <c:v>0.29761750542857124</c:v>
                </c:pt>
                <c:pt idx="13">
                  <c:v>0.29085347121428551</c:v>
                </c:pt>
                <c:pt idx="14">
                  <c:v>0.28408943699999978</c:v>
                </c:pt>
                <c:pt idx="15">
                  <c:v>0.27732540278571405</c:v>
                </c:pt>
                <c:pt idx="16">
                  <c:v>0.27056136857142832</c:v>
                </c:pt>
                <c:pt idx="17">
                  <c:v>0.26379733435714259</c:v>
                </c:pt>
                <c:pt idx="18">
                  <c:v>0.25703330014285686</c:v>
                </c:pt>
                <c:pt idx="19">
                  <c:v>0.25026926592857113</c:v>
                </c:pt>
                <c:pt idx="20">
                  <c:v>0.24350523171428543</c:v>
                </c:pt>
                <c:pt idx="21">
                  <c:v>0.23674119749999972</c:v>
                </c:pt>
                <c:pt idx="22">
                  <c:v>0.22997716328571402</c:v>
                </c:pt>
                <c:pt idx="23">
                  <c:v>0.22321312907142832</c:v>
                </c:pt>
                <c:pt idx="24">
                  <c:v>0.21644909485714262</c:v>
                </c:pt>
                <c:pt idx="25">
                  <c:v>0.20968506064285691</c:v>
                </c:pt>
                <c:pt idx="26">
                  <c:v>0.20292102642857121</c:v>
                </c:pt>
                <c:pt idx="27">
                  <c:v>0.19615699221428551</c:v>
                </c:pt>
                <c:pt idx="28">
                  <c:v>0.18939295799999981</c:v>
                </c:pt>
                <c:pt idx="29">
                  <c:v>0.18939295799999981</c:v>
                </c:pt>
                <c:pt idx="30">
                  <c:v>0.18939295799999981</c:v>
                </c:pt>
                <c:pt idx="31">
                  <c:v>0.18939295799999981</c:v>
                </c:pt>
                <c:pt idx="32">
                  <c:v>0.18939295799999981</c:v>
                </c:pt>
                <c:pt idx="33">
                  <c:v>0.18939295799999981</c:v>
                </c:pt>
                <c:pt idx="34">
                  <c:v>0.18939295799999981</c:v>
                </c:pt>
                <c:pt idx="35">
                  <c:v>0.18939295799999981</c:v>
                </c:pt>
                <c:pt idx="36">
                  <c:v>0.18939295799999981</c:v>
                </c:pt>
                <c:pt idx="37">
                  <c:v>0.18939295799999981</c:v>
                </c:pt>
                <c:pt idx="38">
                  <c:v>0.18939295799999981</c:v>
                </c:pt>
                <c:pt idx="39">
                  <c:v>0.18939295799999981</c:v>
                </c:pt>
                <c:pt idx="40">
                  <c:v>0.18939295799999981</c:v>
                </c:pt>
                <c:pt idx="41">
                  <c:v>0.18939295799999981</c:v>
                </c:pt>
                <c:pt idx="42">
                  <c:v>0.18939295799999981</c:v>
                </c:pt>
                <c:pt idx="43">
                  <c:v>0.18939295799999981</c:v>
                </c:pt>
                <c:pt idx="44">
                  <c:v>0.18939295799999981</c:v>
                </c:pt>
                <c:pt idx="45">
                  <c:v>0.18939295799999981</c:v>
                </c:pt>
                <c:pt idx="46">
                  <c:v>0.18939295799999981</c:v>
                </c:pt>
                <c:pt idx="47">
                  <c:v>0.18939295799999981</c:v>
                </c:pt>
                <c:pt idx="48">
                  <c:v>0.18939295799999981</c:v>
                </c:pt>
                <c:pt idx="49">
                  <c:v>0.18939295799999981</c:v>
                </c:pt>
                <c:pt idx="50">
                  <c:v>0.18939295799999981</c:v>
                </c:pt>
                <c:pt idx="51">
                  <c:v>0.18939295799999981</c:v>
                </c:pt>
                <c:pt idx="52">
                  <c:v>0.18939295799999981</c:v>
                </c:pt>
                <c:pt idx="53">
                  <c:v>0.18939295799999981</c:v>
                </c:pt>
                <c:pt idx="54">
                  <c:v>0.18939295799999981</c:v>
                </c:pt>
                <c:pt idx="55">
                  <c:v>0.18939295799999981</c:v>
                </c:pt>
                <c:pt idx="56">
                  <c:v>0.18939295799999981</c:v>
                </c:pt>
                <c:pt idx="57">
                  <c:v>0.18939295799999981</c:v>
                </c:pt>
                <c:pt idx="58">
                  <c:v>0.18939295799999981</c:v>
                </c:pt>
                <c:pt idx="59">
                  <c:v>0.18939295799999981</c:v>
                </c:pt>
                <c:pt idx="60">
                  <c:v>0.18939295799999981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D-4C10-A29D-F98E41C79252}"/>
            </c:ext>
          </c:extLst>
        </c:ser>
        <c:ser>
          <c:idx val="2"/>
          <c:order val="2"/>
          <c:tx>
            <c:strRef>
              <c:f>'50% by 2050'!$D$2</c:f>
              <c:strCache>
                <c:ptCount val="1"/>
                <c:pt idx="0">
                  <c:v>CAMX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'50% by 2050'!$D$3:$D$63</c:f>
              <c:numCache>
                <c:formatCode>General</c:formatCode>
                <c:ptCount val="61"/>
                <c:pt idx="0">
                  <c:v>0.23290153799999999</c:v>
                </c:pt>
                <c:pt idx="1">
                  <c:v>0.22874258196428571</c:v>
                </c:pt>
                <c:pt idx="2">
                  <c:v>0.22458362592857142</c:v>
                </c:pt>
                <c:pt idx="3">
                  <c:v>0.22042466989285714</c:v>
                </c:pt>
                <c:pt idx="4">
                  <c:v>0.21626571385714286</c:v>
                </c:pt>
                <c:pt idx="5">
                  <c:v>0.21210675782142857</c:v>
                </c:pt>
                <c:pt idx="6">
                  <c:v>0.20794780178571429</c:v>
                </c:pt>
                <c:pt idx="7">
                  <c:v>0.20378884575</c:v>
                </c:pt>
                <c:pt idx="8">
                  <c:v>0.19962988971428572</c:v>
                </c:pt>
                <c:pt idx="9">
                  <c:v>0.19547093367857143</c:v>
                </c:pt>
                <c:pt idx="10">
                  <c:v>0.19131197764285715</c:v>
                </c:pt>
                <c:pt idx="11">
                  <c:v>0.18715302160714287</c:v>
                </c:pt>
                <c:pt idx="12">
                  <c:v>0.18299406557142858</c:v>
                </c:pt>
                <c:pt idx="13">
                  <c:v>0.1788351095357143</c:v>
                </c:pt>
                <c:pt idx="14">
                  <c:v>0.17467615350000001</c:v>
                </c:pt>
                <c:pt idx="15">
                  <c:v>0.17051719746428573</c:v>
                </c:pt>
                <c:pt idx="16">
                  <c:v>0.16635824142857145</c:v>
                </c:pt>
                <c:pt idx="17">
                  <c:v>0.16219928539285716</c:v>
                </c:pt>
                <c:pt idx="18">
                  <c:v>0.15804032935714288</c:v>
                </c:pt>
                <c:pt idx="19">
                  <c:v>0.15388137332142859</c:v>
                </c:pt>
                <c:pt idx="20">
                  <c:v>0.14972241728571431</c:v>
                </c:pt>
                <c:pt idx="21">
                  <c:v>0.14556346125000003</c:v>
                </c:pt>
                <c:pt idx="22">
                  <c:v>0.14140450521428574</c:v>
                </c:pt>
                <c:pt idx="23">
                  <c:v>0.13724554917857146</c:v>
                </c:pt>
                <c:pt idx="24">
                  <c:v>0.13308659314285717</c:v>
                </c:pt>
                <c:pt idx="25">
                  <c:v>0.12892763710714289</c:v>
                </c:pt>
                <c:pt idx="26">
                  <c:v>0.12476868107142861</c:v>
                </c:pt>
                <c:pt idx="27">
                  <c:v>0.12060972503571432</c:v>
                </c:pt>
                <c:pt idx="28">
                  <c:v>0.11645076900000004</c:v>
                </c:pt>
                <c:pt idx="29">
                  <c:v>0.11645076900000004</c:v>
                </c:pt>
                <c:pt idx="30">
                  <c:v>0.11645076900000004</c:v>
                </c:pt>
                <c:pt idx="31">
                  <c:v>0.11645076900000004</c:v>
                </c:pt>
                <c:pt idx="32">
                  <c:v>0.11645076900000004</c:v>
                </c:pt>
                <c:pt idx="33">
                  <c:v>0.11645076900000004</c:v>
                </c:pt>
                <c:pt idx="34">
                  <c:v>0.11645076900000004</c:v>
                </c:pt>
                <c:pt idx="35">
                  <c:v>0.11645076900000004</c:v>
                </c:pt>
                <c:pt idx="36">
                  <c:v>0.11645076900000004</c:v>
                </c:pt>
                <c:pt idx="37">
                  <c:v>0.11645076900000004</c:v>
                </c:pt>
                <c:pt idx="38">
                  <c:v>0.11645076900000004</c:v>
                </c:pt>
                <c:pt idx="39">
                  <c:v>0.11645076900000004</c:v>
                </c:pt>
                <c:pt idx="40">
                  <c:v>0.11645076900000004</c:v>
                </c:pt>
                <c:pt idx="41">
                  <c:v>0.11645076900000004</c:v>
                </c:pt>
                <c:pt idx="42">
                  <c:v>0.11645076900000004</c:v>
                </c:pt>
                <c:pt idx="43">
                  <c:v>0.11645076900000004</c:v>
                </c:pt>
                <c:pt idx="44">
                  <c:v>0.11645076900000004</c:v>
                </c:pt>
                <c:pt idx="45">
                  <c:v>0.11645076900000004</c:v>
                </c:pt>
                <c:pt idx="46">
                  <c:v>0.11645076900000004</c:v>
                </c:pt>
                <c:pt idx="47">
                  <c:v>0.11645076900000004</c:v>
                </c:pt>
                <c:pt idx="48">
                  <c:v>0.11645076900000004</c:v>
                </c:pt>
                <c:pt idx="49">
                  <c:v>0.11645076900000004</c:v>
                </c:pt>
                <c:pt idx="50">
                  <c:v>0.11645076900000004</c:v>
                </c:pt>
                <c:pt idx="51">
                  <c:v>0.11645076900000004</c:v>
                </c:pt>
                <c:pt idx="52">
                  <c:v>0.11645076900000004</c:v>
                </c:pt>
                <c:pt idx="53">
                  <c:v>0.11645076900000004</c:v>
                </c:pt>
                <c:pt idx="54">
                  <c:v>0.11645076900000004</c:v>
                </c:pt>
                <c:pt idx="55">
                  <c:v>0.11645076900000004</c:v>
                </c:pt>
                <c:pt idx="56">
                  <c:v>0.11645076900000004</c:v>
                </c:pt>
                <c:pt idx="57">
                  <c:v>0.11645076900000004</c:v>
                </c:pt>
                <c:pt idx="58">
                  <c:v>0.11645076900000004</c:v>
                </c:pt>
                <c:pt idx="59">
                  <c:v>0.11645076900000004</c:v>
                </c:pt>
                <c:pt idx="60">
                  <c:v>0.11645076900000004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D-4C10-A29D-F98E41C79252}"/>
            </c:ext>
          </c:extLst>
        </c:ser>
        <c:ser>
          <c:idx val="3"/>
          <c:order val="3"/>
          <c:tx>
            <c:strRef>
              <c:f>'50% by 2050'!$E$2</c:f>
              <c:strCache>
                <c:ptCount val="1"/>
                <c:pt idx="0">
                  <c:v>NYCW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'50% by 2050'!$E$3:$E$63</c:f>
              <c:numCache>
                <c:formatCode>General</c:formatCode>
                <c:ptCount val="61"/>
                <c:pt idx="0">
                  <c:v>0.28785425399999998</c:v>
                </c:pt>
                <c:pt idx="1">
                  <c:v>0.28271399946428571</c:v>
                </c:pt>
                <c:pt idx="2">
                  <c:v>0.27757374492857145</c:v>
                </c:pt>
                <c:pt idx="3">
                  <c:v>0.27243349039285719</c:v>
                </c:pt>
                <c:pt idx="4">
                  <c:v>0.26729323585714293</c:v>
                </c:pt>
                <c:pt idx="5">
                  <c:v>0.26215298132142867</c:v>
                </c:pt>
                <c:pt idx="6">
                  <c:v>0.25701272678571441</c:v>
                </c:pt>
                <c:pt idx="7">
                  <c:v>0.25187247225000015</c:v>
                </c:pt>
                <c:pt idx="8">
                  <c:v>0.24673221771428586</c:v>
                </c:pt>
                <c:pt idx="9">
                  <c:v>0.24159196317857157</c:v>
                </c:pt>
                <c:pt idx="10">
                  <c:v>0.23645170864285728</c:v>
                </c:pt>
                <c:pt idx="11">
                  <c:v>0.23131145410714299</c:v>
                </c:pt>
                <c:pt idx="12">
                  <c:v>0.2261711995714287</c:v>
                </c:pt>
                <c:pt idx="13">
                  <c:v>0.22103094503571441</c:v>
                </c:pt>
                <c:pt idx="14">
                  <c:v>0.21589069050000012</c:v>
                </c:pt>
                <c:pt idx="15">
                  <c:v>0.21075043596428583</c:v>
                </c:pt>
                <c:pt idx="16">
                  <c:v>0.20561018142857154</c:v>
                </c:pt>
                <c:pt idx="17">
                  <c:v>0.20046992689285725</c:v>
                </c:pt>
                <c:pt idx="18">
                  <c:v>0.19532967235714296</c:v>
                </c:pt>
                <c:pt idx="19">
                  <c:v>0.19018941782142867</c:v>
                </c:pt>
                <c:pt idx="20">
                  <c:v>0.18504916328571439</c:v>
                </c:pt>
                <c:pt idx="21">
                  <c:v>0.1799089087500001</c:v>
                </c:pt>
                <c:pt idx="22">
                  <c:v>0.17476865421428581</c:v>
                </c:pt>
                <c:pt idx="23">
                  <c:v>0.16962839967857152</c:v>
                </c:pt>
                <c:pt idx="24">
                  <c:v>0.16448814514285723</c:v>
                </c:pt>
                <c:pt idx="25">
                  <c:v>0.15934789060714294</c:v>
                </c:pt>
                <c:pt idx="26">
                  <c:v>0.15420763607142865</c:v>
                </c:pt>
                <c:pt idx="27">
                  <c:v>0.14906738153571436</c:v>
                </c:pt>
                <c:pt idx="28">
                  <c:v>0.14392712700000007</c:v>
                </c:pt>
                <c:pt idx="29">
                  <c:v>0.14392712700000007</c:v>
                </c:pt>
                <c:pt idx="30">
                  <c:v>0.14392712700000007</c:v>
                </c:pt>
                <c:pt idx="31">
                  <c:v>0.14392712700000007</c:v>
                </c:pt>
                <c:pt idx="32">
                  <c:v>0.14392712700000007</c:v>
                </c:pt>
                <c:pt idx="33">
                  <c:v>0.14392712700000007</c:v>
                </c:pt>
                <c:pt idx="34">
                  <c:v>0.14392712700000007</c:v>
                </c:pt>
                <c:pt idx="35">
                  <c:v>0.14392712700000007</c:v>
                </c:pt>
                <c:pt idx="36">
                  <c:v>0.14392712700000007</c:v>
                </c:pt>
                <c:pt idx="37">
                  <c:v>0.14392712700000007</c:v>
                </c:pt>
                <c:pt idx="38">
                  <c:v>0.14392712700000007</c:v>
                </c:pt>
                <c:pt idx="39">
                  <c:v>0.14392712700000007</c:v>
                </c:pt>
                <c:pt idx="40">
                  <c:v>0.14392712700000007</c:v>
                </c:pt>
                <c:pt idx="41">
                  <c:v>0.14392712700000007</c:v>
                </c:pt>
                <c:pt idx="42">
                  <c:v>0.14392712700000007</c:v>
                </c:pt>
                <c:pt idx="43">
                  <c:v>0.14392712700000007</c:v>
                </c:pt>
                <c:pt idx="44">
                  <c:v>0.14392712700000007</c:v>
                </c:pt>
                <c:pt idx="45">
                  <c:v>0.14392712700000007</c:v>
                </c:pt>
                <c:pt idx="46">
                  <c:v>0.14392712700000007</c:v>
                </c:pt>
                <c:pt idx="47">
                  <c:v>0.14392712700000007</c:v>
                </c:pt>
                <c:pt idx="48">
                  <c:v>0.14392712700000007</c:v>
                </c:pt>
                <c:pt idx="49">
                  <c:v>0.14392712700000007</c:v>
                </c:pt>
                <c:pt idx="50">
                  <c:v>0.14392712700000007</c:v>
                </c:pt>
                <c:pt idx="51">
                  <c:v>0.14392712700000007</c:v>
                </c:pt>
                <c:pt idx="52">
                  <c:v>0.14392712700000007</c:v>
                </c:pt>
                <c:pt idx="53">
                  <c:v>0.14392712700000007</c:v>
                </c:pt>
                <c:pt idx="54">
                  <c:v>0.14392712700000007</c:v>
                </c:pt>
                <c:pt idx="55">
                  <c:v>0.14392712700000007</c:v>
                </c:pt>
                <c:pt idx="56">
                  <c:v>0.14392712700000007</c:v>
                </c:pt>
                <c:pt idx="57">
                  <c:v>0.14392712700000007</c:v>
                </c:pt>
                <c:pt idx="58">
                  <c:v>0.14392712700000007</c:v>
                </c:pt>
                <c:pt idx="59">
                  <c:v>0.14392712700000007</c:v>
                </c:pt>
                <c:pt idx="60">
                  <c:v>0.14392712700000007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DD-4C10-A29D-F98E41C79252}"/>
            </c:ext>
          </c:extLst>
        </c:ser>
        <c:ser>
          <c:idx val="4"/>
          <c:order val="4"/>
          <c:tx>
            <c:strRef>
              <c:f>'50% by 2050'!$F$2</c:f>
              <c:strCache>
                <c:ptCount val="1"/>
                <c:pt idx="0">
                  <c:v>NYUP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'50% by 2050'!$F$3:$F$63</c:f>
              <c:numCache>
                <c:formatCode>General</c:formatCode>
                <c:ptCount val="61"/>
                <c:pt idx="0">
                  <c:v>0.10591835400000001</c:v>
                </c:pt>
                <c:pt idx="1">
                  <c:v>0.10402695482142858</c:v>
                </c:pt>
                <c:pt idx="2">
                  <c:v>0.10213555564285716</c:v>
                </c:pt>
                <c:pt idx="3">
                  <c:v>0.10024415646428574</c:v>
                </c:pt>
                <c:pt idx="4">
                  <c:v>9.8352757285714312E-2</c:v>
                </c:pt>
                <c:pt idx="5">
                  <c:v>9.6461358107142889E-2</c:v>
                </c:pt>
                <c:pt idx="6">
                  <c:v>9.4569958928571465E-2</c:v>
                </c:pt>
                <c:pt idx="7">
                  <c:v>9.2678559750000042E-2</c:v>
                </c:pt>
                <c:pt idx="8">
                  <c:v>9.0787160571428618E-2</c:v>
                </c:pt>
                <c:pt idx="9">
                  <c:v>8.8895761392857195E-2</c:v>
                </c:pt>
                <c:pt idx="10">
                  <c:v>8.7004362214285771E-2</c:v>
                </c:pt>
                <c:pt idx="11">
                  <c:v>8.5112963035714348E-2</c:v>
                </c:pt>
                <c:pt idx="12">
                  <c:v>8.3221563857142924E-2</c:v>
                </c:pt>
                <c:pt idx="13">
                  <c:v>8.1330164678571501E-2</c:v>
                </c:pt>
                <c:pt idx="14">
                  <c:v>7.9438765500000078E-2</c:v>
                </c:pt>
                <c:pt idx="15">
                  <c:v>7.7547366321428654E-2</c:v>
                </c:pt>
                <c:pt idx="16">
                  <c:v>7.5655967142857231E-2</c:v>
                </c:pt>
                <c:pt idx="17">
                  <c:v>7.3764567964285807E-2</c:v>
                </c:pt>
                <c:pt idx="18">
                  <c:v>7.1873168785714384E-2</c:v>
                </c:pt>
                <c:pt idx="19">
                  <c:v>6.998176960714296E-2</c:v>
                </c:pt>
                <c:pt idx="20">
                  <c:v>6.8090370428571537E-2</c:v>
                </c:pt>
                <c:pt idx="21">
                  <c:v>6.6198971250000113E-2</c:v>
                </c:pt>
                <c:pt idx="22">
                  <c:v>6.430757207142869E-2</c:v>
                </c:pt>
                <c:pt idx="23">
                  <c:v>6.2416172892857259E-2</c:v>
                </c:pt>
                <c:pt idx="24">
                  <c:v>6.0524773714285829E-2</c:v>
                </c:pt>
                <c:pt idx="25">
                  <c:v>5.8633374535714398E-2</c:v>
                </c:pt>
                <c:pt idx="26">
                  <c:v>5.6741975357142968E-2</c:v>
                </c:pt>
                <c:pt idx="27">
                  <c:v>5.4850576178571538E-2</c:v>
                </c:pt>
                <c:pt idx="28">
                  <c:v>5.2959177000000107E-2</c:v>
                </c:pt>
                <c:pt idx="29">
                  <c:v>5.2959177000000107E-2</c:v>
                </c:pt>
                <c:pt idx="30">
                  <c:v>5.2959177000000107E-2</c:v>
                </c:pt>
                <c:pt idx="31">
                  <c:v>5.2959177000000107E-2</c:v>
                </c:pt>
                <c:pt idx="32">
                  <c:v>5.2959177000000107E-2</c:v>
                </c:pt>
                <c:pt idx="33">
                  <c:v>5.2959177000000107E-2</c:v>
                </c:pt>
                <c:pt idx="34">
                  <c:v>5.2959177000000107E-2</c:v>
                </c:pt>
                <c:pt idx="35">
                  <c:v>5.2959177000000107E-2</c:v>
                </c:pt>
                <c:pt idx="36">
                  <c:v>5.2959177000000107E-2</c:v>
                </c:pt>
                <c:pt idx="37">
                  <c:v>5.2959177000000107E-2</c:v>
                </c:pt>
                <c:pt idx="38">
                  <c:v>5.2959177000000107E-2</c:v>
                </c:pt>
                <c:pt idx="39">
                  <c:v>5.2959177000000107E-2</c:v>
                </c:pt>
                <c:pt idx="40">
                  <c:v>5.2959177000000107E-2</c:v>
                </c:pt>
                <c:pt idx="41">
                  <c:v>5.2959177000000107E-2</c:v>
                </c:pt>
                <c:pt idx="42">
                  <c:v>5.2959177000000107E-2</c:v>
                </c:pt>
                <c:pt idx="43">
                  <c:v>5.2959177000000107E-2</c:v>
                </c:pt>
                <c:pt idx="44">
                  <c:v>5.2959177000000107E-2</c:v>
                </c:pt>
                <c:pt idx="45">
                  <c:v>5.2959177000000107E-2</c:v>
                </c:pt>
                <c:pt idx="46">
                  <c:v>5.2959177000000107E-2</c:v>
                </c:pt>
                <c:pt idx="47">
                  <c:v>5.2959177000000107E-2</c:v>
                </c:pt>
                <c:pt idx="48">
                  <c:v>5.2959177000000107E-2</c:v>
                </c:pt>
                <c:pt idx="49">
                  <c:v>5.2959177000000107E-2</c:v>
                </c:pt>
                <c:pt idx="50">
                  <c:v>5.2959177000000107E-2</c:v>
                </c:pt>
                <c:pt idx="51">
                  <c:v>5.2959177000000107E-2</c:v>
                </c:pt>
                <c:pt idx="52">
                  <c:v>5.2959177000000107E-2</c:v>
                </c:pt>
                <c:pt idx="53">
                  <c:v>5.2959177000000107E-2</c:v>
                </c:pt>
                <c:pt idx="54">
                  <c:v>5.2959177000000107E-2</c:v>
                </c:pt>
                <c:pt idx="55">
                  <c:v>5.2959177000000107E-2</c:v>
                </c:pt>
                <c:pt idx="56">
                  <c:v>5.2959177000000107E-2</c:v>
                </c:pt>
                <c:pt idx="57">
                  <c:v>5.2959177000000107E-2</c:v>
                </c:pt>
                <c:pt idx="58">
                  <c:v>5.2959177000000107E-2</c:v>
                </c:pt>
                <c:pt idx="59">
                  <c:v>5.2959177000000107E-2</c:v>
                </c:pt>
                <c:pt idx="60">
                  <c:v>5.2959177000000107E-2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DD-4C10-A29D-F98E41C79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258016"/>
        <c:axId val="2016250528"/>
      </c:lineChart>
      <c:catAx>
        <c:axId val="201625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0528"/>
        <c:crosses val="autoZero"/>
        <c:auto val="0"/>
        <c:lblAlgn val="ctr"/>
        <c:lblOffset val="100"/>
        <c:tickLblSkip val="5"/>
        <c:noMultiLvlLbl val="0"/>
      </c:catAx>
      <c:valAx>
        <c:axId val="20162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kgCO2e/kWh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by 2035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'100% by 2035'!$B$2</c:f>
              <c:strCache>
                <c:ptCount val="1"/>
                <c:pt idx="0">
                  <c:v>US-Average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'100% by 2035'!$A$3:$A$63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'100% by 2035'!$B$3:$B$63</c:f>
              <c:numCache>
                <c:formatCode>General</c:formatCode>
                <c:ptCount val="61"/>
                <c:pt idx="0">
                  <c:v>0.37117</c:v>
                </c:pt>
                <c:pt idx="1">
                  <c:v>0.34261846153846154</c:v>
                </c:pt>
                <c:pt idx="2">
                  <c:v>0.31406692307692308</c:v>
                </c:pt>
                <c:pt idx="3">
                  <c:v>0.28551538461538462</c:v>
                </c:pt>
                <c:pt idx="4">
                  <c:v>0.25696384615384615</c:v>
                </c:pt>
                <c:pt idx="5">
                  <c:v>0.22841230769230769</c:v>
                </c:pt>
                <c:pt idx="6">
                  <c:v>0.19986076923076923</c:v>
                </c:pt>
                <c:pt idx="7">
                  <c:v>0.17130923076923077</c:v>
                </c:pt>
                <c:pt idx="8">
                  <c:v>0.14275769230769231</c:v>
                </c:pt>
                <c:pt idx="9">
                  <c:v>0.11420615384615385</c:v>
                </c:pt>
                <c:pt idx="10">
                  <c:v>8.5654615384615385E-2</c:v>
                </c:pt>
                <c:pt idx="11">
                  <c:v>5.7103076923076923E-2</c:v>
                </c:pt>
                <c:pt idx="12">
                  <c:v>2.8551538461538462E-2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C-436F-AF05-F2DCA8AD5DFD}"/>
            </c:ext>
          </c:extLst>
        </c:ser>
        <c:ser>
          <c:idx val="1"/>
          <c:order val="1"/>
          <c:tx>
            <c:strRef>
              <c:f>'100% by 2035'!$C$2</c:f>
              <c:strCache>
                <c:ptCount val="1"/>
                <c:pt idx="0">
                  <c:v>FRCC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'100% by 2035'!$A$3:$A$63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'100% by 2035'!$C$3:$C$63</c:f>
              <c:numCache>
                <c:formatCode>General</c:formatCode>
                <c:ptCount val="61"/>
                <c:pt idx="0">
                  <c:v>0.378785916</c:v>
                </c:pt>
                <c:pt idx="1">
                  <c:v>0.34964853784615385</c:v>
                </c:pt>
                <c:pt idx="2">
                  <c:v>0.3205111596923077</c:v>
                </c:pt>
                <c:pt idx="3">
                  <c:v>0.29137378153846155</c:v>
                </c:pt>
                <c:pt idx="4">
                  <c:v>0.2622364033846154</c:v>
                </c:pt>
                <c:pt idx="5">
                  <c:v>0.23309902523076925</c:v>
                </c:pt>
                <c:pt idx="6">
                  <c:v>0.2039616470769231</c:v>
                </c:pt>
                <c:pt idx="7">
                  <c:v>0.17482426892307695</c:v>
                </c:pt>
                <c:pt idx="8">
                  <c:v>0.1456868907692308</c:v>
                </c:pt>
                <c:pt idx="9">
                  <c:v>0.11654951261538465</c:v>
                </c:pt>
                <c:pt idx="10">
                  <c:v>8.7412134461538504E-2</c:v>
                </c:pt>
                <c:pt idx="11">
                  <c:v>5.8274756307692355E-2</c:v>
                </c:pt>
                <c:pt idx="12">
                  <c:v>2.9137378153846202E-2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C-436F-AF05-F2DCA8AD5DFD}"/>
            </c:ext>
          </c:extLst>
        </c:ser>
        <c:ser>
          <c:idx val="2"/>
          <c:order val="2"/>
          <c:tx>
            <c:strRef>
              <c:f>'100% by 2035'!$D$2</c:f>
              <c:strCache>
                <c:ptCount val="1"/>
                <c:pt idx="0">
                  <c:v>CAMX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'100% by 2035'!$A$3:$A$63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'100% by 2035'!$D$3:$D$63</c:f>
              <c:numCache>
                <c:formatCode>General</c:formatCode>
                <c:ptCount val="61"/>
                <c:pt idx="0">
                  <c:v>0.23290153799999999</c:v>
                </c:pt>
                <c:pt idx="1">
                  <c:v>0.21498603507692307</c:v>
                </c:pt>
                <c:pt idx="2">
                  <c:v>0.19707053215384615</c:v>
                </c:pt>
                <c:pt idx="3">
                  <c:v>0.17915502923076923</c:v>
                </c:pt>
                <c:pt idx="4">
                  <c:v>0.16123952630769231</c:v>
                </c:pt>
                <c:pt idx="5">
                  <c:v>0.14332402338461539</c:v>
                </c:pt>
                <c:pt idx="6">
                  <c:v>0.12540852046153847</c:v>
                </c:pt>
                <c:pt idx="7">
                  <c:v>0.10749301753846155</c:v>
                </c:pt>
                <c:pt idx="8">
                  <c:v>8.9577514615384629E-2</c:v>
                </c:pt>
                <c:pt idx="9">
                  <c:v>7.1662011692307709E-2</c:v>
                </c:pt>
                <c:pt idx="10">
                  <c:v>5.3746508769230789E-2</c:v>
                </c:pt>
                <c:pt idx="11">
                  <c:v>3.5831005846153868E-2</c:v>
                </c:pt>
                <c:pt idx="12">
                  <c:v>1.7915502923076945E-2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C-436F-AF05-F2DCA8AD5DFD}"/>
            </c:ext>
          </c:extLst>
        </c:ser>
        <c:ser>
          <c:idx val="3"/>
          <c:order val="3"/>
          <c:tx>
            <c:strRef>
              <c:f>'100% by 2035'!$E$2</c:f>
              <c:strCache>
                <c:ptCount val="1"/>
                <c:pt idx="0">
                  <c:v>NYCW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'100% by 2035'!$A$3:$A$63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'100% by 2035'!$E$3:$E$63</c:f>
              <c:numCache>
                <c:formatCode>General</c:formatCode>
                <c:ptCount val="61"/>
                <c:pt idx="0">
                  <c:v>0.28785425399999998</c:v>
                </c:pt>
                <c:pt idx="1">
                  <c:v>0.26571161907692303</c:v>
                </c:pt>
                <c:pt idx="2">
                  <c:v>0.24356898415384612</c:v>
                </c:pt>
                <c:pt idx="3">
                  <c:v>0.2214263492307692</c:v>
                </c:pt>
                <c:pt idx="4">
                  <c:v>0.19928371430769229</c:v>
                </c:pt>
                <c:pt idx="5">
                  <c:v>0.17714107938461537</c:v>
                </c:pt>
                <c:pt idx="6">
                  <c:v>0.15499844446153846</c:v>
                </c:pt>
                <c:pt idx="7">
                  <c:v>0.13285580953846154</c:v>
                </c:pt>
                <c:pt idx="8">
                  <c:v>0.11071317461538463</c:v>
                </c:pt>
                <c:pt idx="9">
                  <c:v>8.8570539692307715E-2</c:v>
                </c:pt>
                <c:pt idx="10">
                  <c:v>6.64279047692308E-2</c:v>
                </c:pt>
                <c:pt idx="11">
                  <c:v>4.4285269846153878E-2</c:v>
                </c:pt>
                <c:pt idx="12">
                  <c:v>2.2142634923076956E-2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C-436F-AF05-F2DCA8AD5DFD}"/>
            </c:ext>
          </c:extLst>
        </c:ser>
        <c:ser>
          <c:idx val="4"/>
          <c:order val="4"/>
          <c:tx>
            <c:strRef>
              <c:f>'100% by 2035'!$F$2</c:f>
              <c:strCache>
                <c:ptCount val="1"/>
                <c:pt idx="0">
                  <c:v>NYUP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'100% by 2035'!$A$3:$A$63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'100% by 2035'!$F$3:$F$63</c:f>
              <c:numCache>
                <c:formatCode>General</c:formatCode>
                <c:ptCount val="61"/>
                <c:pt idx="0">
                  <c:v>0.10591835400000001</c:v>
                </c:pt>
                <c:pt idx="1">
                  <c:v>9.7770788307692313E-2</c:v>
                </c:pt>
                <c:pt idx="2">
                  <c:v>8.9623222615384621E-2</c:v>
                </c:pt>
                <c:pt idx="3">
                  <c:v>8.1475656923076928E-2</c:v>
                </c:pt>
                <c:pt idx="4">
                  <c:v>7.3328091230769235E-2</c:v>
                </c:pt>
                <c:pt idx="5">
                  <c:v>6.5180525538461542E-2</c:v>
                </c:pt>
                <c:pt idx="6">
                  <c:v>5.703295984615385E-2</c:v>
                </c:pt>
                <c:pt idx="7">
                  <c:v>4.8885394153846157E-2</c:v>
                </c:pt>
                <c:pt idx="8">
                  <c:v>4.0737828461538464E-2</c:v>
                </c:pt>
                <c:pt idx="9">
                  <c:v>3.2590262769230771E-2</c:v>
                </c:pt>
                <c:pt idx="10">
                  <c:v>2.4442697076923078E-2</c:v>
                </c:pt>
                <c:pt idx="11">
                  <c:v>1.6295131384615386E-2</c:v>
                </c:pt>
                <c:pt idx="12">
                  <c:v>8.1475656923076928E-3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C-436F-AF05-F2DCA8AD5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258016"/>
        <c:axId val="2016250528"/>
      </c:lineChart>
      <c:catAx>
        <c:axId val="201625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0528"/>
        <c:crosses val="autoZero"/>
        <c:auto val="0"/>
        <c:lblAlgn val="ctr"/>
        <c:lblOffset val="100"/>
        <c:tickLblSkip val="5"/>
        <c:noMultiLvlLbl val="0"/>
      </c:catAx>
      <c:valAx>
        <c:axId val="20162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kgCO2e/kWh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Business as Usual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'Business as Usual'!$B$2</c:f>
              <c:strCache>
                <c:ptCount val="1"/>
                <c:pt idx="0">
                  <c:v>US-Average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'Business as Usual'!$A$3:$A$63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'Business as Usual'!$B$3:$B$63</c:f>
              <c:numCache>
                <c:formatCode>General</c:formatCode>
                <c:ptCount val="61"/>
                <c:pt idx="0">
                  <c:v>0.37117</c:v>
                </c:pt>
                <c:pt idx="1">
                  <c:v>0.37117</c:v>
                </c:pt>
                <c:pt idx="2">
                  <c:v>0.37117</c:v>
                </c:pt>
                <c:pt idx="3">
                  <c:v>0.37117</c:v>
                </c:pt>
                <c:pt idx="4">
                  <c:v>0.37117</c:v>
                </c:pt>
                <c:pt idx="5">
                  <c:v>0.37117</c:v>
                </c:pt>
                <c:pt idx="6">
                  <c:v>0.37117</c:v>
                </c:pt>
                <c:pt idx="7">
                  <c:v>0.37117</c:v>
                </c:pt>
                <c:pt idx="8">
                  <c:v>0.37117</c:v>
                </c:pt>
                <c:pt idx="9">
                  <c:v>0.37117</c:v>
                </c:pt>
                <c:pt idx="10">
                  <c:v>0.37117</c:v>
                </c:pt>
                <c:pt idx="11">
                  <c:v>0.37117</c:v>
                </c:pt>
                <c:pt idx="12">
                  <c:v>0.37117</c:v>
                </c:pt>
                <c:pt idx="13">
                  <c:v>0.37117</c:v>
                </c:pt>
                <c:pt idx="14">
                  <c:v>0.37117</c:v>
                </c:pt>
                <c:pt idx="15">
                  <c:v>0.37117</c:v>
                </c:pt>
                <c:pt idx="16">
                  <c:v>0.37117</c:v>
                </c:pt>
                <c:pt idx="17">
                  <c:v>0.37117</c:v>
                </c:pt>
                <c:pt idx="18">
                  <c:v>0.37117</c:v>
                </c:pt>
                <c:pt idx="19">
                  <c:v>0.37117</c:v>
                </c:pt>
                <c:pt idx="20">
                  <c:v>0.37117</c:v>
                </c:pt>
                <c:pt idx="21">
                  <c:v>0.37117</c:v>
                </c:pt>
                <c:pt idx="22">
                  <c:v>0.37117</c:v>
                </c:pt>
                <c:pt idx="23">
                  <c:v>0.37117</c:v>
                </c:pt>
                <c:pt idx="24">
                  <c:v>0.37117</c:v>
                </c:pt>
                <c:pt idx="25">
                  <c:v>0.37117</c:v>
                </c:pt>
                <c:pt idx="26">
                  <c:v>0.37117</c:v>
                </c:pt>
                <c:pt idx="27">
                  <c:v>0.37117</c:v>
                </c:pt>
                <c:pt idx="28">
                  <c:v>0.37117</c:v>
                </c:pt>
                <c:pt idx="29">
                  <c:v>0.37117</c:v>
                </c:pt>
                <c:pt idx="30">
                  <c:v>0.37117</c:v>
                </c:pt>
                <c:pt idx="31">
                  <c:v>0.37117</c:v>
                </c:pt>
                <c:pt idx="32">
                  <c:v>0.37117</c:v>
                </c:pt>
                <c:pt idx="33">
                  <c:v>0.37117</c:v>
                </c:pt>
                <c:pt idx="34">
                  <c:v>0.37117</c:v>
                </c:pt>
                <c:pt idx="35">
                  <c:v>0.37117</c:v>
                </c:pt>
                <c:pt idx="36">
                  <c:v>0.37117</c:v>
                </c:pt>
                <c:pt idx="37">
                  <c:v>0.37117</c:v>
                </c:pt>
                <c:pt idx="38">
                  <c:v>0.37117</c:v>
                </c:pt>
                <c:pt idx="39">
                  <c:v>0.37117</c:v>
                </c:pt>
                <c:pt idx="40">
                  <c:v>0.37117</c:v>
                </c:pt>
                <c:pt idx="41">
                  <c:v>0.37117</c:v>
                </c:pt>
                <c:pt idx="42">
                  <c:v>0.37117</c:v>
                </c:pt>
                <c:pt idx="43">
                  <c:v>0.37117</c:v>
                </c:pt>
                <c:pt idx="44">
                  <c:v>0.37117</c:v>
                </c:pt>
                <c:pt idx="45">
                  <c:v>0.37117</c:v>
                </c:pt>
                <c:pt idx="46">
                  <c:v>0.37117</c:v>
                </c:pt>
                <c:pt idx="47">
                  <c:v>0.37117</c:v>
                </c:pt>
                <c:pt idx="48">
                  <c:v>0.37117</c:v>
                </c:pt>
                <c:pt idx="49">
                  <c:v>0.37117</c:v>
                </c:pt>
                <c:pt idx="50">
                  <c:v>0.37117</c:v>
                </c:pt>
                <c:pt idx="51">
                  <c:v>0.37117</c:v>
                </c:pt>
                <c:pt idx="52">
                  <c:v>0.37117</c:v>
                </c:pt>
                <c:pt idx="53">
                  <c:v>0.37117</c:v>
                </c:pt>
                <c:pt idx="54">
                  <c:v>0.37117</c:v>
                </c:pt>
                <c:pt idx="55">
                  <c:v>0.37117</c:v>
                </c:pt>
                <c:pt idx="56">
                  <c:v>0.37117</c:v>
                </c:pt>
                <c:pt idx="57">
                  <c:v>0.37117</c:v>
                </c:pt>
                <c:pt idx="58">
                  <c:v>0.37117</c:v>
                </c:pt>
                <c:pt idx="59">
                  <c:v>0.37117</c:v>
                </c:pt>
                <c:pt idx="60">
                  <c:v>0.37117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2-45E8-B168-AB787C87361B}"/>
            </c:ext>
          </c:extLst>
        </c:ser>
        <c:ser>
          <c:idx val="1"/>
          <c:order val="1"/>
          <c:tx>
            <c:strRef>
              <c:f>'Business as Usual'!$C$2</c:f>
              <c:strCache>
                <c:ptCount val="1"/>
                <c:pt idx="0">
                  <c:v>FRCC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'Business as Usual'!$A$3:$A$63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'Business as Usual'!$C$3:$C$63</c:f>
              <c:numCache>
                <c:formatCode>General</c:formatCode>
                <c:ptCount val="61"/>
                <c:pt idx="0">
                  <c:v>0.378785916</c:v>
                </c:pt>
                <c:pt idx="1">
                  <c:v>0.378785916</c:v>
                </c:pt>
                <c:pt idx="2">
                  <c:v>0.378785916</c:v>
                </c:pt>
                <c:pt idx="3">
                  <c:v>0.378785916</c:v>
                </c:pt>
                <c:pt idx="4">
                  <c:v>0.378785916</c:v>
                </c:pt>
                <c:pt idx="5">
                  <c:v>0.378785916</c:v>
                </c:pt>
                <c:pt idx="6">
                  <c:v>0.378785916</c:v>
                </c:pt>
                <c:pt idx="7">
                  <c:v>0.378785916</c:v>
                </c:pt>
                <c:pt idx="8">
                  <c:v>0.378785916</c:v>
                </c:pt>
                <c:pt idx="9">
                  <c:v>0.378785916</c:v>
                </c:pt>
                <c:pt idx="10">
                  <c:v>0.378785916</c:v>
                </c:pt>
                <c:pt idx="11">
                  <c:v>0.378785916</c:v>
                </c:pt>
                <c:pt idx="12">
                  <c:v>0.378785916</c:v>
                </c:pt>
                <c:pt idx="13">
                  <c:v>0.378785916</c:v>
                </c:pt>
                <c:pt idx="14">
                  <c:v>0.378785916</c:v>
                </c:pt>
                <c:pt idx="15">
                  <c:v>0.378785916</c:v>
                </c:pt>
                <c:pt idx="16">
                  <c:v>0.378785916</c:v>
                </c:pt>
                <c:pt idx="17">
                  <c:v>0.378785916</c:v>
                </c:pt>
                <c:pt idx="18">
                  <c:v>0.378785916</c:v>
                </c:pt>
                <c:pt idx="19">
                  <c:v>0.378785916</c:v>
                </c:pt>
                <c:pt idx="20">
                  <c:v>0.378785916</c:v>
                </c:pt>
                <c:pt idx="21">
                  <c:v>0.378785916</c:v>
                </c:pt>
                <c:pt idx="22">
                  <c:v>0.378785916</c:v>
                </c:pt>
                <c:pt idx="23">
                  <c:v>0.378785916</c:v>
                </c:pt>
                <c:pt idx="24">
                  <c:v>0.378785916</c:v>
                </c:pt>
                <c:pt idx="25">
                  <c:v>0.378785916</c:v>
                </c:pt>
                <c:pt idx="26">
                  <c:v>0.378785916</c:v>
                </c:pt>
                <c:pt idx="27">
                  <c:v>0.378785916</c:v>
                </c:pt>
                <c:pt idx="28">
                  <c:v>0.378785916</c:v>
                </c:pt>
                <c:pt idx="29">
                  <c:v>0.378785916</c:v>
                </c:pt>
                <c:pt idx="30">
                  <c:v>0.378785916</c:v>
                </c:pt>
                <c:pt idx="31">
                  <c:v>0.378785916</c:v>
                </c:pt>
                <c:pt idx="32">
                  <c:v>0.378785916</c:v>
                </c:pt>
                <c:pt idx="33">
                  <c:v>0.378785916</c:v>
                </c:pt>
                <c:pt idx="34">
                  <c:v>0.378785916</c:v>
                </c:pt>
                <c:pt idx="35">
                  <c:v>0.378785916</c:v>
                </c:pt>
                <c:pt idx="36">
                  <c:v>0.378785916</c:v>
                </c:pt>
                <c:pt idx="37">
                  <c:v>0.378785916</c:v>
                </c:pt>
                <c:pt idx="38">
                  <c:v>0.378785916</c:v>
                </c:pt>
                <c:pt idx="39">
                  <c:v>0.378785916</c:v>
                </c:pt>
                <c:pt idx="40">
                  <c:v>0.378785916</c:v>
                </c:pt>
                <c:pt idx="41">
                  <c:v>0.378785916</c:v>
                </c:pt>
                <c:pt idx="42">
                  <c:v>0.378785916</c:v>
                </c:pt>
                <c:pt idx="43">
                  <c:v>0.378785916</c:v>
                </c:pt>
                <c:pt idx="44">
                  <c:v>0.378785916</c:v>
                </c:pt>
                <c:pt idx="45">
                  <c:v>0.378785916</c:v>
                </c:pt>
                <c:pt idx="46">
                  <c:v>0.378785916</c:v>
                </c:pt>
                <c:pt idx="47">
                  <c:v>0.378785916</c:v>
                </c:pt>
                <c:pt idx="48">
                  <c:v>0.378785916</c:v>
                </c:pt>
                <c:pt idx="49">
                  <c:v>0.378785916</c:v>
                </c:pt>
                <c:pt idx="50">
                  <c:v>0.378785916</c:v>
                </c:pt>
                <c:pt idx="51">
                  <c:v>0.378785916</c:v>
                </c:pt>
                <c:pt idx="52">
                  <c:v>0.378785916</c:v>
                </c:pt>
                <c:pt idx="53">
                  <c:v>0.378785916</c:v>
                </c:pt>
                <c:pt idx="54">
                  <c:v>0.378785916</c:v>
                </c:pt>
                <c:pt idx="55">
                  <c:v>0.378785916</c:v>
                </c:pt>
                <c:pt idx="56">
                  <c:v>0.378785916</c:v>
                </c:pt>
                <c:pt idx="57">
                  <c:v>0.378785916</c:v>
                </c:pt>
                <c:pt idx="58">
                  <c:v>0.378785916</c:v>
                </c:pt>
                <c:pt idx="59">
                  <c:v>0.378785916</c:v>
                </c:pt>
                <c:pt idx="60">
                  <c:v>0.378785916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2-45E8-B168-AB787C87361B}"/>
            </c:ext>
          </c:extLst>
        </c:ser>
        <c:ser>
          <c:idx val="2"/>
          <c:order val="2"/>
          <c:tx>
            <c:strRef>
              <c:f>'Business as Usual'!$D$2</c:f>
              <c:strCache>
                <c:ptCount val="1"/>
                <c:pt idx="0">
                  <c:v>CAMX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'Business as Usual'!$A$3:$A$63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'Business as Usual'!$D$3:$D$63</c:f>
              <c:numCache>
                <c:formatCode>General</c:formatCode>
                <c:ptCount val="61"/>
                <c:pt idx="0">
                  <c:v>0.23290153799999999</c:v>
                </c:pt>
                <c:pt idx="1">
                  <c:v>0.23290153799999999</c:v>
                </c:pt>
                <c:pt idx="2">
                  <c:v>0.23290153799999999</c:v>
                </c:pt>
                <c:pt idx="3">
                  <c:v>0.23290153799999999</c:v>
                </c:pt>
                <c:pt idx="4">
                  <c:v>0.23290153799999999</c:v>
                </c:pt>
                <c:pt idx="5">
                  <c:v>0.23290153799999999</c:v>
                </c:pt>
                <c:pt idx="6">
                  <c:v>0.23290153799999999</c:v>
                </c:pt>
                <c:pt idx="7">
                  <c:v>0.23290153799999999</c:v>
                </c:pt>
                <c:pt idx="8">
                  <c:v>0.23290153799999999</c:v>
                </c:pt>
                <c:pt idx="9">
                  <c:v>0.23290153799999999</c:v>
                </c:pt>
                <c:pt idx="10">
                  <c:v>0.23290153799999999</c:v>
                </c:pt>
                <c:pt idx="11">
                  <c:v>0.23290153799999999</c:v>
                </c:pt>
                <c:pt idx="12">
                  <c:v>0.23290153799999999</c:v>
                </c:pt>
                <c:pt idx="13">
                  <c:v>0.23290153799999999</c:v>
                </c:pt>
                <c:pt idx="14">
                  <c:v>0.23290153799999999</c:v>
                </c:pt>
                <c:pt idx="15">
                  <c:v>0.23290153799999999</c:v>
                </c:pt>
                <c:pt idx="16">
                  <c:v>0.23290153799999999</c:v>
                </c:pt>
                <c:pt idx="17">
                  <c:v>0.23290153799999999</c:v>
                </c:pt>
                <c:pt idx="18">
                  <c:v>0.23290153799999999</c:v>
                </c:pt>
                <c:pt idx="19">
                  <c:v>0.23290153799999999</c:v>
                </c:pt>
                <c:pt idx="20">
                  <c:v>0.23290153799999999</c:v>
                </c:pt>
                <c:pt idx="21">
                  <c:v>0.23290153799999999</c:v>
                </c:pt>
                <c:pt idx="22">
                  <c:v>0.23290153799999999</c:v>
                </c:pt>
                <c:pt idx="23">
                  <c:v>0.23290153799999999</c:v>
                </c:pt>
                <c:pt idx="24">
                  <c:v>0.23290153799999999</c:v>
                </c:pt>
                <c:pt idx="25">
                  <c:v>0.23290153799999999</c:v>
                </c:pt>
                <c:pt idx="26">
                  <c:v>0.23290153799999999</c:v>
                </c:pt>
                <c:pt idx="27">
                  <c:v>0.23290153799999999</c:v>
                </c:pt>
                <c:pt idx="28">
                  <c:v>0.23290153799999999</c:v>
                </c:pt>
                <c:pt idx="29">
                  <c:v>0.23290153799999999</c:v>
                </c:pt>
                <c:pt idx="30">
                  <c:v>0.23290153799999999</c:v>
                </c:pt>
                <c:pt idx="31">
                  <c:v>0.23290153799999999</c:v>
                </c:pt>
                <c:pt idx="32">
                  <c:v>0.23290153799999999</c:v>
                </c:pt>
                <c:pt idx="33">
                  <c:v>0.23290153799999999</c:v>
                </c:pt>
                <c:pt idx="34">
                  <c:v>0.23290153799999999</c:v>
                </c:pt>
                <c:pt idx="35">
                  <c:v>0.23290153799999999</c:v>
                </c:pt>
                <c:pt idx="36">
                  <c:v>0.23290153799999999</c:v>
                </c:pt>
                <c:pt idx="37">
                  <c:v>0.23290153799999999</c:v>
                </c:pt>
                <c:pt idx="38">
                  <c:v>0.23290153799999999</c:v>
                </c:pt>
                <c:pt idx="39">
                  <c:v>0.23290153799999999</c:v>
                </c:pt>
                <c:pt idx="40">
                  <c:v>0.23290153799999999</c:v>
                </c:pt>
                <c:pt idx="41">
                  <c:v>0.23290153799999999</c:v>
                </c:pt>
                <c:pt idx="42">
                  <c:v>0.23290153799999999</c:v>
                </c:pt>
                <c:pt idx="43">
                  <c:v>0.23290153799999999</c:v>
                </c:pt>
                <c:pt idx="44">
                  <c:v>0.23290153799999999</c:v>
                </c:pt>
                <c:pt idx="45">
                  <c:v>0.23290153799999999</c:v>
                </c:pt>
                <c:pt idx="46">
                  <c:v>0.23290153799999999</c:v>
                </c:pt>
                <c:pt idx="47">
                  <c:v>0.23290153799999999</c:v>
                </c:pt>
                <c:pt idx="48">
                  <c:v>0.23290153799999999</c:v>
                </c:pt>
                <c:pt idx="49">
                  <c:v>0.23290153799999999</c:v>
                </c:pt>
                <c:pt idx="50">
                  <c:v>0.23290153799999999</c:v>
                </c:pt>
                <c:pt idx="51">
                  <c:v>0.23290153799999999</c:v>
                </c:pt>
                <c:pt idx="52">
                  <c:v>0.23290153799999999</c:v>
                </c:pt>
                <c:pt idx="53">
                  <c:v>0.23290153799999999</c:v>
                </c:pt>
                <c:pt idx="54">
                  <c:v>0.23290153799999999</c:v>
                </c:pt>
                <c:pt idx="55">
                  <c:v>0.23290153799999999</c:v>
                </c:pt>
                <c:pt idx="56">
                  <c:v>0.23290153799999999</c:v>
                </c:pt>
                <c:pt idx="57">
                  <c:v>0.23290153799999999</c:v>
                </c:pt>
                <c:pt idx="58">
                  <c:v>0.23290153799999999</c:v>
                </c:pt>
                <c:pt idx="59">
                  <c:v>0.23290153799999999</c:v>
                </c:pt>
                <c:pt idx="60">
                  <c:v>0.23290153799999999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2-45E8-B168-AB787C87361B}"/>
            </c:ext>
          </c:extLst>
        </c:ser>
        <c:ser>
          <c:idx val="3"/>
          <c:order val="3"/>
          <c:tx>
            <c:strRef>
              <c:f>'Business as Usual'!$E$2</c:f>
              <c:strCache>
                <c:ptCount val="1"/>
                <c:pt idx="0">
                  <c:v>NYCW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'Business as Usual'!$A$3:$A$63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'Business as Usual'!$E$3:$E$63</c:f>
              <c:numCache>
                <c:formatCode>General</c:formatCode>
                <c:ptCount val="61"/>
                <c:pt idx="0">
                  <c:v>0.28785425399999998</c:v>
                </c:pt>
                <c:pt idx="1">
                  <c:v>0.28785425399999998</c:v>
                </c:pt>
                <c:pt idx="2">
                  <c:v>0.28785425399999998</c:v>
                </c:pt>
                <c:pt idx="3">
                  <c:v>0.28785425399999998</c:v>
                </c:pt>
                <c:pt idx="4">
                  <c:v>0.28785425399999998</c:v>
                </c:pt>
                <c:pt idx="5">
                  <c:v>0.28785425399999998</c:v>
                </c:pt>
                <c:pt idx="6">
                  <c:v>0.28785425399999998</c:v>
                </c:pt>
                <c:pt idx="7">
                  <c:v>0.28785425399999998</c:v>
                </c:pt>
                <c:pt idx="8">
                  <c:v>0.28785425399999998</c:v>
                </c:pt>
                <c:pt idx="9">
                  <c:v>0.28785425399999998</c:v>
                </c:pt>
                <c:pt idx="10">
                  <c:v>0.28785425399999998</c:v>
                </c:pt>
                <c:pt idx="11">
                  <c:v>0.28785425399999998</c:v>
                </c:pt>
                <c:pt idx="12">
                  <c:v>0.28785425399999998</c:v>
                </c:pt>
                <c:pt idx="13">
                  <c:v>0.28785425399999998</c:v>
                </c:pt>
                <c:pt idx="14">
                  <c:v>0.28785425399999998</c:v>
                </c:pt>
                <c:pt idx="15">
                  <c:v>0.28785425399999998</c:v>
                </c:pt>
                <c:pt idx="16">
                  <c:v>0.28785425399999998</c:v>
                </c:pt>
                <c:pt idx="17">
                  <c:v>0.28785425399999998</c:v>
                </c:pt>
                <c:pt idx="18">
                  <c:v>0.28785425399999998</c:v>
                </c:pt>
                <c:pt idx="19">
                  <c:v>0.28785425399999998</c:v>
                </c:pt>
                <c:pt idx="20">
                  <c:v>0.28785425399999998</c:v>
                </c:pt>
                <c:pt idx="21">
                  <c:v>0.28785425399999998</c:v>
                </c:pt>
                <c:pt idx="22">
                  <c:v>0.28785425399999998</c:v>
                </c:pt>
                <c:pt idx="23">
                  <c:v>0.28785425399999998</c:v>
                </c:pt>
                <c:pt idx="24">
                  <c:v>0.28785425399999998</c:v>
                </c:pt>
                <c:pt idx="25">
                  <c:v>0.28785425399999998</c:v>
                </c:pt>
                <c:pt idx="26">
                  <c:v>0.28785425399999998</c:v>
                </c:pt>
                <c:pt idx="27">
                  <c:v>0.28785425399999998</c:v>
                </c:pt>
                <c:pt idx="28">
                  <c:v>0.28785425399999998</c:v>
                </c:pt>
                <c:pt idx="29">
                  <c:v>0.28785425399999998</c:v>
                </c:pt>
                <c:pt idx="30">
                  <c:v>0.28785425399999998</c:v>
                </c:pt>
                <c:pt idx="31">
                  <c:v>0.28785425399999998</c:v>
                </c:pt>
                <c:pt idx="32">
                  <c:v>0.28785425399999998</c:v>
                </c:pt>
                <c:pt idx="33">
                  <c:v>0.28785425399999998</c:v>
                </c:pt>
                <c:pt idx="34">
                  <c:v>0.28785425399999998</c:v>
                </c:pt>
                <c:pt idx="35">
                  <c:v>0.28785425399999998</c:v>
                </c:pt>
                <c:pt idx="36">
                  <c:v>0.28785425399999998</c:v>
                </c:pt>
                <c:pt idx="37">
                  <c:v>0.28785425399999998</c:v>
                </c:pt>
                <c:pt idx="38">
                  <c:v>0.28785425399999998</c:v>
                </c:pt>
                <c:pt idx="39">
                  <c:v>0.28785425399999998</c:v>
                </c:pt>
                <c:pt idx="40">
                  <c:v>0.28785425399999998</c:v>
                </c:pt>
                <c:pt idx="41">
                  <c:v>0.28785425399999998</c:v>
                </c:pt>
                <c:pt idx="42">
                  <c:v>0.28785425399999998</c:v>
                </c:pt>
                <c:pt idx="43">
                  <c:v>0.28785425399999998</c:v>
                </c:pt>
                <c:pt idx="44">
                  <c:v>0.28785425399999998</c:v>
                </c:pt>
                <c:pt idx="45">
                  <c:v>0.28785425399999998</c:v>
                </c:pt>
                <c:pt idx="46">
                  <c:v>0.28785425399999998</c:v>
                </c:pt>
                <c:pt idx="47">
                  <c:v>0.28785425399999998</c:v>
                </c:pt>
                <c:pt idx="48">
                  <c:v>0.28785425399999998</c:v>
                </c:pt>
                <c:pt idx="49">
                  <c:v>0.28785425399999998</c:v>
                </c:pt>
                <c:pt idx="50">
                  <c:v>0.28785425399999998</c:v>
                </c:pt>
                <c:pt idx="51">
                  <c:v>0.28785425399999998</c:v>
                </c:pt>
                <c:pt idx="52">
                  <c:v>0.28785425399999998</c:v>
                </c:pt>
                <c:pt idx="53">
                  <c:v>0.28785425399999998</c:v>
                </c:pt>
                <c:pt idx="54">
                  <c:v>0.28785425399999998</c:v>
                </c:pt>
                <c:pt idx="55">
                  <c:v>0.28785425399999998</c:v>
                </c:pt>
                <c:pt idx="56">
                  <c:v>0.28785425399999998</c:v>
                </c:pt>
                <c:pt idx="57">
                  <c:v>0.28785425399999998</c:v>
                </c:pt>
                <c:pt idx="58">
                  <c:v>0.28785425399999998</c:v>
                </c:pt>
                <c:pt idx="59">
                  <c:v>0.28785425399999998</c:v>
                </c:pt>
                <c:pt idx="60">
                  <c:v>0.28785425399999998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F2-45E8-B168-AB787C87361B}"/>
            </c:ext>
          </c:extLst>
        </c:ser>
        <c:ser>
          <c:idx val="4"/>
          <c:order val="4"/>
          <c:tx>
            <c:strRef>
              <c:f>'Business as Usual'!$F$2</c:f>
              <c:strCache>
                <c:ptCount val="1"/>
                <c:pt idx="0">
                  <c:v>NYUP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'Business as Usual'!$A$3:$A$63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'Business as Usual'!$F$3:$F$63</c:f>
              <c:numCache>
                <c:formatCode>General</c:formatCode>
                <c:ptCount val="61"/>
                <c:pt idx="0">
                  <c:v>0.10591835400000001</c:v>
                </c:pt>
                <c:pt idx="1">
                  <c:v>0.10591835400000001</c:v>
                </c:pt>
                <c:pt idx="2">
                  <c:v>0.10591835400000001</c:v>
                </c:pt>
                <c:pt idx="3">
                  <c:v>0.10591835400000001</c:v>
                </c:pt>
                <c:pt idx="4">
                  <c:v>0.10591835400000001</c:v>
                </c:pt>
                <c:pt idx="5">
                  <c:v>0.10591835400000001</c:v>
                </c:pt>
                <c:pt idx="6">
                  <c:v>0.10591835400000001</c:v>
                </c:pt>
                <c:pt idx="7">
                  <c:v>0.10591835400000001</c:v>
                </c:pt>
                <c:pt idx="8">
                  <c:v>0.10591835400000001</c:v>
                </c:pt>
                <c:pt idx="9">
                  <c:v>0.10591835400000001</c:v>
                </c:pt>
                <c:pt idx="10">
                  <c:v>0.10591835400000001</c:v>
                </c:pt>
                <c:pt idx="11">
                  <c:v>0.10591835400000001</c:v>
                </c:pt>
                <c:pt idx="12">
                  <c:v>0.10591835400000001</c:v>
                </c:pt>
                <c:pt idx="13">
                  <c:v>0.10591835400000001</c:v>
                </c:pt>
                <c:pt idx="14">
                  <c:v>0.10591835400000001</c:v>
                </c:pt>
                <c:pt idx="15">
                  <c:v>0.10591835400000001</c:v>
                </c:pt>
                <c:pt idx="16">
                  <c:v>0.10591835400000001</c:v>
                </c:pt>
                <c:pt idx="17">
                  <c:v>0.10591835400000001</c:v>
                </c:pt>
                <c:pt idx="18">
                  <c:v>0.10591835400000001</c:v>
                </c:pt>
                <c:pt idx="19">
                  <c:v>0.10591835400000001</c:v>
                </c:pt>
                <c:pt idx="20">
                  <c:v>0.10591835400000001</c:v>
                </c:pt>
                <c:pt idx="21">
                  <c:v>0.10591835400000001</c:v>
                </c:pt>
                <c:pt idx="22">
                  <c:v>0.10591835400000001</c:v>
                </c:pt>
                <c:pt idx="23">
                  <c:v>0.10591835400000001</c:v>
                </c:pt>
                <c:pt idx="24">
                  <c:v>0.10591835400000001</c:v>
                </c:pt>
                <c:pt idx="25">
                  <c:v>0.10591835400000001</c:v>
                </c:pt>
                <c:pt idx="26">
                  <c:v>0.10591835400000001</c:v>
                </c:pt>
                <c:pt idx="27">
                  <c:v>0.10591835400000001</c:v>
                </c:pt>
                <c:pt idx="28">
                  <c:v>0.10591835400000001</c:v>
                </c:pt>
                <c:pt idx="29">
                  <c:v>0.10591835400000001</c:v>
                </c:pt>
                <c:pt idx="30">
                  <c:v>0.10591835400000001</c:v>
                </c:pt>
                <c:pt idx="31">
                  <c:v>0.10591835400000001</c:v>
                </c:pt>
                <c:pt idx="32">
                  <c:v>0.10591835400000001</c:v>
                </c:pt>
                <c:pt idx="33">
                  <c:v>0.10591835400000001</c:v>
                </c:pt>
                <c:pt idx="34">
                  <c:v>0.10591835400000001</c:v>
                </c:pt>
                <c:pt idx="35">
                  <c:v>0.10591835400000001</c:v>
                </c:pt>
                <c:pt idx="36">
                  <c:v>0.10591835400000001</c:v>
                </c:pt>
                <c:pt idx="37">
                  <c:v>0.10591835400000001</c:v>
                </c:pt>
                <c:pt idx="38">
                  <c:v>0.10591835400000001</c:v>
                </c:pt>
                <c:pt idx="39">
                  <c:v>0.10591835400000001</c:v>
                </c:pt>
                <c:pt idx="40">
                  <c:v>0.10591835400000001</c:v>
                </c:pt>
                <c:pt idx="41">
                  <c:v>0.10591835400000001</c:v>
                </c:pt>
                <c:pt idx="42">
                  <c:v>0.10591835400000001</c:v>
                </c:pt>
                <c:pt idx="43">
                  <c:v>0.10591835400000001</c:v>
                </c:pt>
                <c:pt idx="44">
                  <c:v>0.10591835400000001</c:v>
                </c:pt>
                <c:pt idx="45">
                  <c:v>0.10591835400000001</c:v>
                </c:pt>
                <c:pt idx="46">
                  <c:v>0.10591835400000001</c:v>
                </c:pt>
                <c:pt idx="47">
                  <c:v>0.10591835400000001</c:v>
                </c:pt>
                <c:pt idx="48">
                  <c:v>0.10591835400000001</c:v>
                </c:pt>
                <c:pt idx="49">
                  <c:v>0.10591835400000001</c:v>
                </c:pt>
                <c:pt idx="50">
                  <c:v>0.10591835400000001</c:v>
                </c:pt>
                <c:pt idx="51">
                  <c:v>0.10591835400000001</c:v>
                </c:pt>
                <c:pt idx="52">
                  <c:v>0.10591835400000001</c:v>
                </c:pt>
                <c:pt idx="53">
                  <c:v>0.10591835400000001</c:v>
                </c:pt>
                <c:pt idx="54">
                  <c:v>0.10591835400000001</c:v>
                </c:pt>
                <c:pt idx="55">
                  <c:v>0.10591835400000001</c:v>
                </c:pt>
                <c:pt idx="56">
                  <c:v>0.10591835400000001</c:v>
                </c:pt>
                <c:pt idx="57">
                  <c:v>0.10591835400000001</c:v>
                </c:pt>
                <c:pt idx="58">
                  <c:v>0.10591835400000001</c:v>
                </c:pt>
                <c:pt idx="59">
                  <c:v>0.10591835400000001</c:v>
                </c:pt>
                <c:pt idx="60">
                  <c:v>0.10591835400000001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F2-45E8-B168-AB787C873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258016"/>
        <c:axId val="2016250528"/>
      </c:lineChart>
      <c:catAx>
        <c:axId val="201625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0528"/>
        <c:crosses val="autoZero"/>
        <c:auto val="0"/>
        <c:lblAlgn val="ctr"/>
        <c:lblOffset val="100"/>
        <c:tickLblSkip val="5"/>
        <c:noMultiLvlLbl val="0"/>
      </c:catAx>
      <c:valAx>
        <c:axId val="20162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kgCO2e/kWh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80% by 2035, 100%</a:t>
            </a:r>
            <a:r>
              <a:rPr lang="en-US" baseline="0"/>
              <a:t> by 2050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'80% by 2035, 100% by 2050'!$B$2</c:f>
              <c:strCache>
                <c:ptCount val="1"/>
                <c:pt idx="0">
                  <c:v>US-Average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'80% by 2035, 100%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'80% by 2035, 100% by 2050'!$B$3:$B$63</c:f>
              <c:numCache>
                <c:formatCode>General</c:formatCode>
                <c:ptCount val="61"/>
                <c:pt idx="0">
                  <c:v>0.37117</c:v>
                </c:pt>
                <c:pt idx="1">
                  <c:v>0.34832876923076922</c:v>
                </c:pt>
                <c:pt idx="2">
                  <c:v>0.32548753846153844</c:v>
                </c:pt>
                <c:pt idx="3">
                  <c:v>0.30264630769230766</c:v>
                </c:pt>
                <c:pt idx="4">
                  <c:v>0.27980507692307688</c:v>
                </c:pt>
                <c:pt idx="5">
                  <c:v>0.2569638461538461</c:v>
                </c:pt>
                <c:pt idx="6">
                  <c:v>0.23412261538461532</c:v>
                </c:pt>
                <c:pt idx="7">
                  <c:v>0.21128138461538454</c:v>
                </c:pt>
                <c:pt idx="8">
                  <c:v>0.18844015384615376</c:v>
                </c:pt>
                <c:pt idx="9">
                  <c:v>0.16559892307692298</c:v>
                </c:pt>
                <c:pt idx="10">
                  <c:v>0.1427576923076922</c:v>
                </c:pt>
                <c:pt idx="11">
                  <c:v>0.11991646153846142</c:v>
                </c:pt>
                <c:pt idx="12">
                  <c:v>9.7075230769230636E-2</c:v>
                </c:pt>
                <c:pt idx="13">
                  <c:v>7.4233999999999856E-2</c:v>
                </c:pt>
                <c:pt idx="14">
                  <c:v>6.9285066666666534E-2</c:v>
                </c:pt>
                <c:pt idx="15">
                  <c:v>6.4336133333333212E-2</c:v>
                </c:pt>
                <c:pt idx="16">
                  <c:v>5.938719999999989E-2</c:v>
                </c:pt>
                <c:pt idx="17">
                  <c:v>5.4438266666666568E-2</c:v>
                </c:pt>
                <c:pt idx="18">
                  <c:v>4.9489333333333246E-2</c:v>
                </c:pt>
                <c:pt idx="19">
                  <c:v>4.4540399999999924E-2</c:v>
                </c:pt>
                <c:pt idx="20">
                  <c:v>3.9591466666666603E-2</c:v>
                </c:pt>
                <c:pt idx="21">
                  <c:v>3.4642533333333281E-2</c:v>
                </c:pt>
                <c:pt idx="22">
                  <c:v>2.9693599999999959E-2</c:v>
                </c:pt>
                <c:pt idx="23">
                  <c:v>2.4744666666666637E-2</c:v>
                </c:pt>
                <c:pt idx="24">
                  <c:v>1.9795733333333315E-2</c:v>
                </c:pt>
                <c:pt idx="25">
                  <c:v>1.4846799999999992E-2</c:v>
                </c:pt>
                <c:pt idx="26">
                  <c:v>9.897866666666668E-3</c:v>
                </c:pt>
                <c:pt idx="27">
                  <c:v>4.9489333333333444E-3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0-425F-8B39-4C0DA713C7D4}"/>
            </c:ext>
          </c:extLst>
        </c:ser>
        <c:ser>
          <c:idx val="1"/>
          <c:order val="1"/>
          <c:tx>
            <c:strRef>
              <c:f>'80% by 2035, 100% by 2050'!$C$2</c:f>
              <c:strCache>
                <c:ptCount val="1"/>
                <c:pt idx="0">
                  <c:v>FRCC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'80% by 2035, 100%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'80% by 2035, 100% by 2050'!$C$3:$C$63</c:f>
              <c:numCache>
                <c:formatCode>General</c:formatCode>
                <c:ptCount val="61"/>
                <c:pt idx="0">
                  <c:v>0.378785916</c:v>
                </c:pt>
                <c:pt idx="1">
                  <c:v>0.35547601347692309</c:v>
                </c:pt>
                <c:pt idx="2">
                  <c:v>0.33216611095384618</c:v>
                </c:pt>
                <c:pt idx="3">
                  <c:v>0.30885620843076927</c:v>
                </c:pt>
                <c:pt idx="4">
                  <c:v>0.28554630590769237</c:v>
                </c:pt>
                <c:pt idx="5">
                  <c:v>0.26223640338461546</c:v>
                </c:pt>
                <c:pt idx="6">
                  <c:v>0.23892650086153852</c:v>
                </c:pt>
                <c:pt idx="7">
                  <c:v>0.21561659833846158</c:v>
                </c:pt>
                <c:pt idx="8">
                  <c:v>0.19230669581538465</c:v>
                </c:pt>
                <c:pt idx="9">
                  <c:v>0.16899679329230771</c:v>
                </c:pt>
                <c:pt idx="10">
                  <c:v>0.14568689076923078</c:v>
                </c:pt>
                <c:pt idx="11">
                  <c:v>0.12237698824615385</c:v>
                </c:pt>
                <c:pt idx="12">
                  <c:v>9.9067085723076931E-2</c:v>
                </c:pt>
                <c:pt idx="13">
                  <c:v>7.5757183200000008E-2</c:v>
                </c:pt>
                <c:pt idx="14">
                  <c:v>7.0706704320000008E-2</c:v>
                </c:pt>
                <c:pt idx="15">
                  <c:v>6.5656225440000007E-2</c:v>
                </c:pt>
                <c:pt idx="16">
                  <c:v>6.0605746560000007E-2</c:v>
                </c:pt>
                <c:pt idx="17">
                  <c:v>5.5555267680000006E-2</c:v>
                </c:pt>
                <c:pt idx="18">
                  <c:v>5.0504788800000006E-2</c:v>
                </c:pt>
                <c:pt idx="19">
                  <c:v>4.5454309920000005E-2</c:v>
                </c:pt>
                <c:pt idx="20">
                  <c:v>4.0403831040000004E-2</c:v>
                </c:pt>
                <c:pt idx="21">
                  <c:v>3.5353352160000004E-2</c:v>
                </c:pt>
                <c:pt idx="22">
                  <c:v>3.0302873280000003E-2</c:v>
                </c:pt>
                <c:pt idx="23">
                  <c:v>2.5252394400000003E-2</c:v>
                </c:pt>
                <c:pt idx="24">
                  <c:v>2.0201915520000002E-2</c:v>
                </c:pt>
                <c:pt idx="25">
                  <c:v>1.5151436640000002E-2</c:v>
                </c:pt>
                <c:pt idx="26">
                  <c:v>1.0100957760000001E-2</c:v>
                </c:pt>
                <c:pt idx="27">
                  <c:v>5.0504788800000006E-3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0-425F-8B39-4C0DA713C7D4}"/>
            </c:ext>
          </c:extLst>
        </c:ser>
        <c:ser>
          <c:idx val="2"/>
          <c:order val="2"/>
          <c:tx>
            <c:strRef>
              <c:f>'80% by 2035, 100% by 2050'!$D$2</c:f>
              <c:strCache>
                <c:ptCount val="1"/>
                <c:pt idx="0">
                  <c:v>CAMX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'80% by 2035, 100%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'80% by 2035, 100% by 2050'!$D$3:$D$63</c:f>
              <c:numCache>
                <c:formatCode>General</c:formatCode>
                <c:ptCount val="61"/>
                <c:pt idx="0">
                  <c:v>0.23290153799999999</c:v>
                </c:pt>
                <c:pt idx="1">
                  <c:v>0.21856913566153846</c:v>
                </c:pt>
                <c:pt idx="2">
                  <c:v>0.20423673332307693</c:v>
                </c:pt>
                <c:pt idx="3">
                  <c:v>0.1899043309846154</c:v>
                </c:pt>
                <c:pt idx="4">
                  <c:v>0.17557192864615387</c:v>
                </c:pt>
                <c:pt idx="5">
                  <c:v>0.16123952630769234</c:v>
                </c:pt>
                <c:pt idx="6">
                  <c:v>0.14690712396923081</c:v>
                </c:pt>
                <c:pt idx="7">
                  <c:v>0.13257472163076928</c:v>
                </c:pt>
                <c:pt idx="8">
                  <c:v>0.11824231929230773</c:v>
                </c:pt>
                <c:pt idx="9">
                  <c:v>0.10390991695384619</c:v>
                </c:pt>
                <c:pt idx="10">
                  <c:v>8.9577514615384643E-2</c:v>
                </c:pt>
                <c:pt idx="11">
                  <c:v>7.5245112276923098E-2</c:v>
                </c:pt>
                <c:pt idx="12">
                  <c:v>6.0912709938461561E-2</c:v>
                </c:pt>
                <c:pt idx="13">
                  <c:v>4.6580307600000023E-2</c:v>
                </c:pt>
                <c:pt idx="14">
                  <c:v>4.3474953760000025E-2</c:v>
                </c:pt>
                <c:pt idx="15">
                  <c:v>4.0369599920000027E-2</c:v>
                </c:pt>
                <c:pt idx="16">
                  <c:v>3.7264246080000028E-2</c:v>
                </c:pt>
                <c:pt idx="17">
                  <c:v>3.415889224000003E-2</c:v>
                </c:pt>
                <c:pt idx="18">
                  <c:v>3.1053538400000028E-2</c:v>
                </c:pt>
                <c:pt idx="19">
                  <c:v>2.7948184560000026E-2</c:v>
                </c:pt>
                <c:pt idx="20">
                  <c:v>2.4842830720000025E-2</c:v>
                </c:pt>
                <c:pt idx="21">
                  <c:v>2.1737476880000023E-2</c:v>
                </c:pt>
                <c:pt idx="22">
                  <c:v>1.8632123040000021E-2</c:v>
                </c:pt>
                <c:pt idx="23">
                  <c:v>1.5526769200000019E-2</c:v>
                </c:pt>
                <c:pt idx="24">
                  <c:v>1.2421415360000018E-2</c:v>
                </c:pt>
                <c:pt idx="25">
                  <c:v>9.3160615200000157E-3</c:v>
                </c:pt>
                <c:pt idx="26">
                  <c:v>6.210707680000014E-3</c:v>
                </c:pt>
                <c:pt idx="27">
                  <c:v>3.1053538400000126E-3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F0-425F-8B39-4C0DA713C7D4}"/>
            </c:ext>
          </c:extLst>
        </c:ser>
        <c:ser>
          <c:idx val="3"/>
          <c:order val="3"/>
          <c:tx>
            <c:strRef>
              <c:f>'80% by 2035, 100% by 2050'!$E$2</c:f>
              <c:strCache>
                <c:ptCount val="1"/>
                <c:pt idx="0">
                  <c:v>NYCW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'80% by 2035, 100%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'80% by 2035, 100% by 2050'!$E$3:$E$63</c:f>
              <c:numCache>
                <c:formatCode>General</c:formatCode>
                <c:ptCount val="61"/>
                <c:pt idx="0">
                  <c:v>0.28785425399999998</c:v>
                </c:pt>
                <c:pt idx="1">
                  <c:v>0.27014014606153847</c:v>
                </c:pt>
                <c:pt idx="2">
                  <c:v>0.25242603812307696</c:v>
                </c:pt>
                <c:pt idx="3">
                  <c:v>0.23471193018461542</c:v>
                </c:pt>
                <c:pt idx="4">
                  <c:v>0.21699782224615388</c:v>
                </c:pt>
                <c:pt idx="5">
                  <c:v>0.19928371430769234</c:v>
                </c:pt>
                <c:pt idx="6">
                  <c:v>0.18156960636923081</c:v>
                </c:pt>
                <c:pt idx="7">
                  <c:v>0.16385549843076927</c:v>
                </c:pt>
                <c:pt idx="8">
                  <c:v>0.14614139049230773</c:v>
                </c:pt>
                <c:pt idx="9">
                  <c:v>0.12842728255384619</c:v>
                </c:pt>
                <c:pt idx="10">
                  <c:v>0.11071317461538466</c:v>
                </c:pt>
                <c:pt idx="11">
                  <c:v>9.299906667692312E-2</c:v>
                </c:pt>
                <c:pt idx="12">
                  <c:v>7.5284958738461583E-2</c:v>
                </c:pt>
                <c:pt idx="13">
                  <c:v>5.7570850800000045E-2</c:v>
                </c:pt>
                <c:pt idx="14">
                  <c:v>5.3732794080000042E-2</c:v>
                </c:pt>
                <c:pt idx="15">
                  <c:v>4.9894737360000038E-2</c:v>
                </c:pt>
                <c:pt idx="16">
                  <c:v>4.6056680640000035E-2</c:v>
                </c:pt>
                <c:pt idx="17">
                  <c:v>4.2218623920000031E-2</c:v>
                </c:pt>
                <c:pt idx="18">
                  <c:v>3.8380567200000028E-2</c:v>
                </c:pt>
                <c:pt idx="19">
                  <c:v>3.4542510480000024E-2</c:v>
                </c:pt>
                <c:pt idx="20">
                  <c:v>3.0704453760000021E-2</c:v>
                </c:pt>
                <c:pt idx="21">
                  <c:v>2.6866397040000017E-2</c:v>
                </c:pt>
                <c:pt idx="22">
                  <c:v>2.3028340320000014E-2</c:v>
                </c:pt>
                <c:pt idx="23">
                  <c:v>1.919028360000001E-2</c:v>
                </c:pt>
                <c:pt idx="24">
                  <c:v>1.5352226880000007E-2</c:v>
                </c:pt>
                <c:pt idx="25">
                  <c:v>1.1514170160000003E-2</c:v>
                </c:pt>
                <c:pt idx="26">
                  <c:v>7.67611344E-3</c:v>
                </c:pt>
                <c:pt idx="27">
                  <c:v>3.838056719999997E-3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F0-425F-8B39-4C0DA713C7D4}"/>
            </c:ext>
          </c:extLst>
        </c:ser>
        <c:ser>
          <c:idx val="4"/>
          <c:order val="4"/>
          <c:tx>
            <c:strRef>
              <c:f>'80% by 2035, 100% by 2050'!$F$2</c:f>
              <c:strCache>
                <c:ptCount val="1"/>
                <c:pt idx="0">
                  <c:v>NYUP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'80% by 2035, 100%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'80% by 2035, 100% by 2050'!$F$3:$F$63</c:f>
              <c:numCache>
                <c:formatCode>General</c:formatCode>
                <c:ptCount val="61"/>
                <c:pt idx="0">
                  <c:v>0.10591835400000001</c:v>
                </c:pt>
                <c:pt idx="1">
                  <c:v>9.9400301446153846E-2</c:v>
                </c:pt>
                <c:pt idx="2">
                  <c:v>9.2882248892307687E-2</c:v>
                </c:pt>
                <c:pt idx="3">
                  <c:v>8.6364196338461527E-2</c:v>
                </c:pt>
                <c:pt idx="4">
                  <c:v>7.9846143784615367E-2</c:v>
                </c:pt>
                <c:pt idx="5">
                  <c:v>7.3328091230769207E-2</c:v>
                </c:pt>
                <c:pt idx="6">
                  <c:v>6.6810038676923048E-2</c:v>
                </c:pt>
                <c:pt idx="7">
                  <c:v>6.0291986123076895E-2</c:v>
                </c:pt>
                <c:pt idx="8">
                  <c:v>5.3773933569230742E-2</c:v>
                </c:pt>
                <c:pt idx="9">
                  <c:v>4.7255881015384589E-2</c:v>
                </c:pt>
                <c:pt idx="10">
                  <c:v>4.0737828461538436E-2</c:v>
                </c:pt>
                <c:pt idx="11">
                  <c:v>3.4219775907692283E-2</c:v>
                </c:pt>
                <c:pt idx="12">
                  <c:v>2.770172335384613E-2</c:v>
                </c:pt>
                <c:pt idx="13">
                  <c:v>2.1183670799999978E-2</c:v>
                </c:pt>
                <c:pt idx="14">
                  <c:v>1.9771426079999981E-2</c:v>
                </c:pt>
                <c:pt idx="15">
                  <c:v>1.8359181359999983E-2</c:v>
                </c:pt>
                <c:pt idx="16">
                  <c:v>1.6946936639999986E-2</c:v>
                </c:pt>
                <c:pt idx="17">
                  <c:v>1.5534691919999987E-2</c:v>
                </c:pt>
                <c:pt idx="18">
                  <c:v>1.4122447199999989E-2</c:v>
                </c:pt>
                <c:pt idx="19">
                  <c:v>1.271020247999999E-2</c:v>
                </c:pt>
                <c:pt idx="20">
                  <c:v>1.1297957759999991E-2</c:v>
                </c:pt>
                <c:pt idx="21">
                  <c:v>9.885713039999992E-3</c:v>
                </c:pt>
                <c:pt idx="22">
                  <c:v>8.4734683199999931E-3</c:v>
                </c:pt>
                <c:pt idx="23">
                  <c:v>7.0612235999999943E-3</c:v>
                </c:pt>
                <c:pt idx="24">
                  <c:v>5.6489788799999954E-3</c:v>
                </c:pt>
                <c:pt idx="25">
                  <c:v>4.2367341599999966E-3</c:v>
                </c:pt>
                <c:pt idx="26">
                  <c:v>2.8244894399999981E-3</c:v>
                </c:pt>
                <c:pt idx="27">
                  <c:v>1.4122447199999997E-3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F0-425F-8B39-4C0DA713C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258016"/>
        <c:axId val="2016250528"/>
      </c:lineChart>
      <c:catAx>
        <c:axId val="201625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0528"/>
        <c:crosses val="autoZero"/>
        <c:auto val="0"/>
        <c:lblAlgn val="ctr"/>
        <c:lblOffset val="100"/>
        <c:tickLblSkip val="5"/>
        <c:noMultiLvlLbl val="0"/>
      </c:catAx>
      <c:valAx>
        <c:axId val="20162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kgCO2e/kWh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US-Average Grid Cumulative Emissions per Decarbonization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5"/>
          <c:order val="0"/>
          <c:tx>
            <c:strRef>
              <c:f>'US-Average'!$G$1</c:f>
              <c:strCache>
                <c:ptCount val="1"/>
                <c:pt idx="0">
                  <c:v>100% by 2035</c:v>
                </c:pt>
              </c:strCache>
            </c:strRef>
          </c:tx>
          <c:spPr>
            <a:solidFill>
              <a:schemeClr val="accent6">
                <a:alpha val="35000"/>
              </a:schemeClr>
            </a:solidFill>
            <a:ln w="9525">
              <a:solidFill>
                <a:schemeClr val="accent6"/>
              </a:solidFill>
            </a:ln>
            <a:effectLst/>
            <a:sp3d contourW="9525">
              <a:contourClr>
                <a:schemeClr val="accent6"/>
              </a:contourClr>
            </a:sp3d>
          </c:spPr>
          <c:cat>
            <c:numRef>
              <c:f>'US-Average'!$A$2:$A$62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'US-Average'!$G$2:$G$62</c:f>
              <c:numCache>
                <c:formatCode>General</c:formatCode>
                <c:ptCount val="61"/>
                <c:pt idx="0">
                  <c:v>0.37117</c:v>
                </c:pt>
                <c:pt idx="1">
                  <c:v>0.34261846153846154</c:v>
                </c:pt>
                <c:pt idx="2">
                  <c:v>0.31406692307692308</c:v>
                </c:pt>
                <c:pt idx="3">
                  <c:v>0.28551538461538462</c:v>
                </c:pt>
                <c:pt idx="4">
                  <c:v>0.25696384615384615</c:v>
                </c:pt>
                <c:pt idx="5">
                  <c:v>0.22841230769230769</c:v>
                </c:pt>
                <c:pt idx="6">
                  <c:v>0.19986076923076923</c:v>
                </c:pt>
                <c:pt idx="7">
                  <c:v>0.17130923076923077</c:v>
                </c:pt>
                <c:pt idx="8">
                  <c:v>0.14275769230769231</c:v>
                </c:pt>
                <c:pt idx="9">
                  <c:v>0.11420615384615385</c:v>
                </c:pt>
                <c:pt idx="10">
                  <c:v>8.5654615384615385E-2</c:v>
                </c:pt>
                <c:pt idx="11">
                  <c:v>5.7103076923076923E-2</c:v>
                </c:pt>
                <c:pt idx="12">
                  <c:v>2.8551538461538462E-2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2C-4899-AC66-61BD870962AE}"/>
            </c:ext>
          </c:extLst>
        </c:ser>
        <c:ser>
          <c:idx val="4"/>
          <c:order val="1"/>
          <c:tx>
            <c:strRef>
              <c:f>'US-Average'!$F$1</c:f>
              <c:strCache>
                <c:ptCount val="1"/>
                <c:pt idx="0">
                  <c:v>80% by 2035, 100% by 2050</c:v>
                </c:pt>
              </c:strCache>
            </c:strRef>
          </c:tx>
          <c:spPr>
            <a:solidFill>
              <a:schemeClr val="accent5">
                <a:alpha val="35000"/>
              </a:schemeClr>
            </a:solidFill>
            <a:ln w="9525">
              <a:solidFill>
                <a:schemeClr val="accent5"/>
              </a:solidFill>
            </a:ln>
            <a:effectLst/>
            <a:sp3d contourW="9525">
              <a:contourClr>
                <a:schemeClr val="accent5"/>
              </a:contourClr>
            </a:sp3d>
          </c:spPr>
          <c:cat>
            <c:numRef>
              <c:f>'US-Average'!$A$2:$A$62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'US-Average'!$F$2:$F$62</c:f>
              <c:numCache>
                <c:formatCode>General</c:formatCode>
                <c:ptCount val="61"/>
                <c:pt idx="0">
                  <c:v>0.37117</c:v>
                </c:pt>
                <c:pt idx="1">
                  <c:v>0.34832876923076922</c:v>
                </c:pt>
                <c:pt idx="2">
                  <c:v>0.32548753846153844</c:v>
                </c:pt>
                <c:pt idx="3">
                  <c:v>0.30264630769230766</c:v>
                </c:pt>
                <c:pt idx="4">
                  <c:v>0.27980507692307688</c:v>
                </c:pt>
                <c:pt idx="5">
                  <c:v>0.2569638461538461</c:v>
                </c:pt>
                <c:pt idx="6">
                  <c:v>0.23412261538461532</c:v>
                </c:pt>
                <c:pt idx="7">
                  <c:v>0.21128138461538454</c:v>
                </c:pt>
                <c:pt idx="8">
                  <c:v>0.18844015384615376</c:v>
                </c:pt>
                <c:pt idx="9">
                  <c:v>0.16559892307692298</c:v>
                </c:pt>
                <c:pt idx="10">
                  <c:v>0.1427576923076922</c:v>
                </c:pt>
                <c:pt idx="11">
                  <c:v>0.11991646153846142</c:v>
                </c:pt>
                <c:pt idx="12">
                  <c:v>9.7075230769230636E-2</c:v>
                </c:pt>
                <c:pt idx="13">
                  <c:v>7.4233999999999856E-2</c:v>
                </c:pt>
                <c:pt idx="14">
                  <c:v>6.9285066666666534E-2</c:v>
                </c:pt>
                <c:pt idx="15">
                  <c:v>6.4336133333333212E-2</c:v>
                </c:pt>
                <c:pt idx="16">
                  <c:v>5.938719999999989E-2</c:v>
                </c:pt>
                <c:pt idx="17">
                  <c:v>5.4438266666666568E-2</c:v>
                </c:pt>
                <c:pt idx="18">
                  <c:v>4.9489333333333246E-2</c:v>
                </c:pt>
                <c:pt idx="19">
                  <c:v>4.4540399999999924E-2</c:v>
                </c:pt>
                <c:pt idx="20">
                  <c:v>3.9591466666666603E-2</c:v>
                </c:pt>
                <c:pt idx="21">
                  <c:v>3.4642533333333281E-2</c:v>
                </c:pt>
                <c:pt idx="22">
                  <c:v>2.9693599999999959E-2</c:v>
                </c:pt>
                <c:pt idx="23">
                  <c:v>2.4744666666666637E-2</c:v>
                </c:pt>
                <c:pt idx="24">
                  <c:v>1.9795733333333315E-2</c:v>
                </c:pt>
                <c:pt idx="25">
                  <c:v>1.4846799999999992E-2</c:v>
                </c:pt>
                <c:pt idx="26">
                  <c:v>9.897866666666668E-3</c:v>
                </c:pt>
                <c:pt idx="27">
                  <c:v>4.9489333333333444E-3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2C-4899-AC66-61BD870962AE}"/>
            </c:ext>
          </c:extLst>
        </c:ser>
        <c:ser>
          <c:idx val="3"/>
          <c:order val="2"/>
          <c:tx>
            <c:strRef>
              <c:f>'US-Average'!$E$1</c:f>
              <c:strCache>
                <c:ptCount val="1"/>
                <c:pt idx="0">
                  <c:v>100% by 2050</c:v>
                </c:pt>
              </c:strCache>
            </c:strRef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  <a:sp3d contourW="9525">
              <a:contourClr>
                <a:schemeClr val="accent4"/>
              </a:contourClr>
            </a:sp3d>
          </c:spPr>
          <c:cat>
            <c:numRef>
              <c:f>'US-Average'!$A$2:$A$62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'US-Average'!$E$2:$E$62</c:f>
              <c:numCache>
                <c:formatCode>General</c:formatCode>
                <c:ptCount val="61"/>
                <c:pt idx="0">
                  <c:v>0.37117</c:v>
                </c:pt>
                <c:pt idx="1">
                  <c:v>0.35791392857142856</c:v>
                </c:pt>
                <c:pt idx="2">
                  <c:v>0.34465785714285713</c:v>
                </c:pt>
                <c:pt idx="3">
                  <c:v>0.33140178571428569</c:v>
                </c:pt>
                <c:pt idx="4">
                  <c:v>0.31814571428571425</c:v>
                </c:pt>
                <c:pt idx="5">
                  <c:v>0.30488964285714282</c:v>
                </c:pt>
                <c:pt idx="6">
                  <c:v>0.29163357142857138</c:v>
                </c:pt>
                <c:pt idx="7">
                  <c:v>0.27837749999999994</c:v>
                </c:pt>
                <c:pt idx="8">
                  <c:v>0.26512142857142851</c:v>
                </c:pt>
                <c:pt idx="9">
                  <c:v>0.25186535714285707</c:v>
                </c:pt>
                <c:pt idx="10">
                  <c:v>0.23860928571428563</c:v>
                </c:pt>
                <c:pt idx="11">
                  <c:v>0.2253532142857142</c:v>
                </c:pt>
                <c:pt idx="12">
                  <c:v>0.21209714285714276</c:v>
                </c:pt>
                <c:pt idx="13">
                  <c:v>0.19884107142857133</c:v>
                </c:pt>
                <c:pt idx="14">
                  <c:v>0.18558499999999989</c:v>
                </c:pt>
                <c:pt idx="15">
                  <c:v>0.17232892857142845</c:v>
                </c:pt>
                <c:pt idx="16">
                  <c:v>0.15907285714285702</c:v>
                </c:pt>
                <c:pt idx="17">
                  <c:v>0.14581678571428558</c:v>
                </c:pt>
                <c:pt idx="18">
                  <c:v>0.13256071428571414</c:v>
                </c:pt>
                <c:pt idx="19">
                  <c:v>0.11930464285714272</c:v>
                </c:pt>
                <c:pt idx="20">
                  <c:v>0.1060485714285713</c:v>
                </c:pt>
                <c:pt idx="21">
                  <c:v>9.2792499999999875E-2</c:v>
                </c:pt>
                <c:pt idx="22">
                  <c:v>7.9536428571428452E-2</c:v>
                </c:pt>
                <c:pt idx="23">
                  <c:v>6.628035714285703E-2</c:v>
                </c:pt>
                <c:pt idx="24">
                  <c:v>5.30242857142856E-2</c:v>
                </c:pt>
                <c:pt idx="25">
                  <c:v>3.9768214285714171E-2</c:v>
                </c:pt>
                <c:pt idx="26">
                  <c:v>2.6512142857142741E-2</c:v>
                </c:pt>
                <c:pt idx="27">
                  <c:v>1.3256071428571313E-2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2C-4899-AC66-61BD870962AE}"/>
            </c:ext>
          </c:extLst>
        </c:ser>
        <c:ser>
          <c:idx val="2"/>
          <c:order val="3"/>
          <c:tx>
            <c:strRef>
              <c:f>'US-Average'!$D$1</c:f>
              <c:strCache>
                <c:ptCount val="1"/>
                <c:pt idx="0">
                  <c:v>80% by 2050</c:v>
                </c:pt>
              </c:strCache>
            </c:strRef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cat>
            <c:numRef>
              <c:f>'US-Average'!$A$2:$A$62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'US-Average'!$D$2:$D$62</c:f>
              <c:numCache>
                <c:formatCode>General</c:formatCode>
                <c:ptCount val="61"/>
                <c:pt idx="0">
                  <c:v>0.37117</c:v>
                </c:pt>
                <c:pt idx="1">
                  <c:v>0.36056514285714286</c:v>
                </c:pt>
                <c:pt idx="2">
                  <c:v>0.34996028571428572</c:v>
                </c:pt>
                <c:pt idx="3">
                  <c:v>0.33935542857142859</c:v>
                </c:pt>
                <c:pt idx="4">
                  <c:v>0.32875057142857145</c:v>
                </c:pt>
                <c:pt idx="5">
                  <c:v>0.31814571428571431</c:v>
                </c:pt>
                <c:pt idx="6">
                  <c:v>0.30754085714285717</c:v>
                </c:pt>
                <c:pt idx="7">
                  <c:v>0.29693600000000003</c:v>
                </c:pt>
                <c:pt idx="8">
                  <c:v>0.2863311428571429</c:v>
                </c:pt>
                <c:pt idx="9">
                  <c:v>0.27572628571428576</c:v>
                </c:pt>
                <c:pt idx="10">
                  <c:v>0.26512142857142862</c:v>
                </c:pt>
                <c:pt idx="11">
                  <c:v>0.25451657142857148</c:v>
                </c:pt>
                <c:pt idx="12">
                  <c:v>0.24391171428571434</c:v>
                </c:pt>
                <c:pt idx="13">
                  <c:v>0.2333068571428572</c:v>
                </c:pt>
                <c:pt idx="14">
                  <c:v>0.22270200000000007</c:v>
                </c:pt>
                <c:pt idx="15">
                  <c:v>0.21209714285714293</c:v>
                </c:pt>
                <c:pt idx="16">
                  <c:v>0.20149228571428579</c:v>
                </c:pt>
                <c:pt idx="17">
                  <c:v>0.19088742857142865</c:v>
                </c:pt>
                <c:pt idx="18">
                  <c:v>0.18028257142857151</c:v>
                </c:pt>
                <c:pt idx="19">
                  <c:v>0.16967771428571438</c:v>
                </c:pt>
                <c:pt idx="20">
                  <c:v>0.15907285714285724</c:v>
                </c:pt>
                <c:pt idx="21">
                  <c:v>0.1484680000000001</c:v>
                </c:pt>
                <c:pt idx="22">
                  <c:v>0.13786314285714296</c:v>
                </c:pt>
                <c:pt idx="23">
                  <c:v>0.12725828571428582</c:v>
                </c:pt>
                <c:pt idx="24">
                  <c:v>0.11665342857142869</c:v>
                </c:pt>
                <c:pt idx="25">
                  <c:v>0.10604857142857155</c:v>
                </c:pt>
                <c:pt idx="26">
                  <c:v>9.5443714285714409E-2</c:v>
                </c:pt>
                <c:pt idx="27">
                  <c:v>8.4838857142857271E-2</c:v>
                </c:pt>
                <c:pt idx="28">
                  <c:v>7.4234000000000133E-2</c:v>
                </c:pt>
                <c:pt idx="29">
                  <c:v>7.4234000000000133E-2</c:v>
                </c:pt>
                <c:pt idx="30">
                  <c:v>7.4234000000000133E-2</c:v>
                </c:pt>
                <c:pt idx="31">
                  <c:v>7.4234000000000133E-2</c:v>
                </c:pt>
                <c:pt idx="32">
                  <c:v>7.4234000000000133E-2</c:v>
                </c:pt>
                <c:pt idx="33">
                  <c:v>7.4234000000000133E-2</c:v>
                </c:pt>
                <c:pt idx="34">
                  <c:v>7.4234000000000133E-2</c:v>
                </c:pt>
                <c:pt idx="35">
                  <c:v>7.4234000000000133E-2</c:v>
                </c:pt>
                <c:pt idx="36">
                  <c:v>7.4234000000000133E-2</c:v>
                </c:pt>
                <c:pt idx="37">
                  <c:v>7.4234000000000133E-2</c:v>
                </c:pt>
                <c:pt idx="38">
                  <c:v>7.4234000000000133E-2</c:v>
                </c:pt>
                <c:pt idx="39">
                  <c:v>7.4234000000000133E-2</c:v>
                </c:pt>
                <c:pt idx="40">
                  <c:v>7.4234000000000133E-2</c:v>
                </c:pt>
                <c:pt idx="41">
                  <c:v>7.4234000000000133E-2</c:v>
                </c:pt>
                <c:pt idx="42">
                  <c:v>7.4234000000000133E-2</c:v>
                </c:pt>
                <c:pt idx="43">
                  <c:v>7.4234000000000133E-2</c:v>
                </c:pt>
                <c:pt idx="44">
                  <c:v>7.4234000000000133E-2</c:v>
                </c:pt>
                <c:pt idx="45">
                  <c:v>7.4234000000000133E-2</c:v>
                </c:pt>
                <c:pt idx="46">
                  <c:v>7.4234000000000133E-2</c:v>
                </c:pt>
                <c:pt idx="47">
                  <c:v>7.4234000000000133E-2</c:v>
                </c:pt>
                <c:pt idx="48">
                  <c:v>7.4234000000000133E-2</c:v>
                </c:pt>
                <c:pt idx="49">
                  <c:v>7.4234000000000133E-2</c:v>
                </c:pt>
                <c:pt idx="50">
                  <c:v>7.4234000000000133E-2</c:v>
                </c:pt>
                <c:pt idx="51">
                  <c:v>7.4234000000000133E-2</c:v>
                </c:pt>
                <c:pt idx="52">
                  <c:v>7.4234000000000133E-2</c:v>
                </c:pt>
                <c:pt idx="53">
                  <c:v>7.4234000000000133E-2</c:v>
                </c:pt>
                <c:pt idx="54">
                  <c:v>7.4234000000000133E-2</c:v>
                </c:pt>
                <c:pt idx="55">
                  <c:v>7.4234000000000133E-2</c:v>
                </c:pt>
                <c:pt idx="56">
                  <c:v>7.4234000000000133E-2</c:v>
                </c:pt>
                <c:pt idx="57">
                  <c:v>7.4234000000000133E-2</c:v>
                </c:pt>
                <c:pt idx="58">
                  <c:v>7.4234000000000133E-2</c:v>
                </c:pt>
                <c:pt idx="59">
                  <c:v>7.4234000000000133E-2</c:v>
                </c:pt>
                <c:pt idx="60">
                  <c:v>7.4234000000000133E-2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C-4899-AC66-61BD870962AE}"/>
            </c:ext>
          </c:extLst>
        </c:ser>
        <c:ser>
          <c:idx val="1"/>
          <c:order val="4"/>
          <c:tx>
            <c:strRef>
              <c:f>'US-Average'!$C$1</c:f>
              <c:strCache>
                <c:ptCount val="1"/>
                <c:pt idx="0">
                  <c:v>50% by 2050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cat>
            <c:numRef>
              <c:f>'US-Average'!$A$2:$A$62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'US-Average'!$C$2:$C$62</c:f>
              <c:numCache>
                <c:formatCode>General</c:formatCode>
                <c:ptCount val="61"/>
                <c:pt idx="0">
                  <c:v>0.37117</c:v>
                </c:pt>
                <c:pt idx="1">
                  <c:v>0.36454196428571428</c:v>
                </c:pt>
                <c:pt idx="2">
                  <c:v>0.35791392857142856</c:v>
                </c:pt>
                <c:pt idx="3">
                  <c:v>0.35128589285714285</c:v>
                </c:pt>
                <c:pt idx="4">
                  <c:v>0.34465785714285713</c:v>
                </c:pt>
                <c:pt idx="5">
                  <c:v>0.33802982142857141</c:v>
                </c:pt>
                <c:pt idx="6">
                  <c:v>0.33140178571428569</c:v>
                </c:pt>
                <c:pt idx="7">
                  <c:v>0.32477374999999997</c:v>
                </c:pt>
                <c:pt idx="8">
                  <c:v>0.31814571428571425</c:v>
                </c:pt>
                <c:pt idx="9">
                  <c:v>0.31151767857142854</c:v>
                </c:pt>
                <c:pt idx="10">
                  <c:v>0.30488964285714282</c:v>
                </c:pt>
                <c:pt idx="11">
                  <c:v>0.2982616071428571</c:v>
                </c:pt>
                <c:pt idx="12">
                  <c:v>0.29163357142857138</c:v>
                </c:pt>
                <c:pt idx="13">
                  <c:v>0.28500553571428566</c:v>
                </c:pt>
                <c:pt idx="14">
                  <c:v>0.27837749999999994</c:v>
                </c:pt>
                <c:pt idx="15">
                  <c:v>0.27174946428571423</c:v>
                </c:pt>
                <c:pt idx="16">
                  <c:v>0.26512142857142851</c:v>
                </c:pt>
                <c:pt idx="17">
                  <c:v>0.25849339285714279</c:v>
                </c:pt>
                <c:pt idx="18">
                  <c:v>0.25186535714285707</c:v>
                </c:pt>
                <c:pt idx="19">
                  <c:v>0.24523732142857135</c:v>
                </c:pt>
                <c:pt idx="20">
                  <c:v>0.23860928571428563</c:v>
                </c:pt>
                <c:pt idx="21">
                  <c:v>0.23198124999999992</c:v>
                </c:pt>
                <c:pt idx="22">
                  <c:v>0.2253532142857142</c:v>
                </c:pt>
                <c:pt idx="23">
                  <c:v>0.21872517857142848</c:v>
                </c:pt>
                <c:pt idx="24">
                  <c:v>0.21209714285714276</c:v>
                </c:pt>
                <c:pt idx="25">
                  <c:v>0.20546910714285704</c:v>
                </c:pt>
                <c:pt idx="26">
                  <c:v>0.19884107142857133</c:v>
                </c:pt>
                <c:pt idx="27">
                  <c:v>0.19221303571428561</c:v>
                </c:pt>
                <c:pt idx="28">
                  <c:v>0.18558499999999989</c:v>
                </c:pt>
                <c:pt idx="29">
                  <c:v>0.18558499999999989</c:v>
                </c:pt>
                <c:pt idx="30">
                  <c:v>0.18558499999999989</c:v>
                </c:pt>
                <c:pt idx="31">
                  <c:v>0.18558499999999989</c:v>
                </c:pt>
                <c:pt idx="32">
                  <c:v>0.18558499999999989</c:v>
                </c:pt>
                <c:pt idx="33">
                  <c:v>0.18558499999999989</c:v>
                </c:pt>
                <c:pt idx="34">
                  <c:v>0.18558499999999989</c:v>
                </c:pt>
                <c:pt idx="35">
                  <c:v>0.18558499999999989</c:v>
                </c:pt>
                <c:pt idx="36">
                  <c:v>0.18558499999999989</c:v>
                </c:pt>
                <c:pt idx="37">
                  <c:v>0.18558499999999989</c:v>
                </c:pt>
                <c:pt idx="38">
                  <c:v>0.18558499999999989</c:v>
                </c:pt>
                <c:pt idx="39">
                  <c:v>0.18558499999999989</c:v>
                </c:pt>
                <c:pt idx="40">
                  <c:v>0.18558499999999989</c:v>
                </c:pt>
                <c:pt idx="41">
                  <c:v>0.18558499999999989</c:v>
                </c:pt>
                <c:pt idx="42">
                  <c:v>0.18558499999999989</c:v>
                </c:pt>
                <c:pt idx="43">
                  <c:v>0.18558499999999989</c:v>
                </c:pt>
                <c:pt idx="44">
                  <c:v>0.18558499999999989</c:v>
                </c:pt>
                <c:pt idx="45">
                  <c:v>0.18558499999999989</c:v>
                </c:pt>
                <c:pt idx="46">
                  <c:v>0.18558499999999989</c:v>
                </c:pt>
                <c:pt idx="47">
                  <c:v>0.18558499999999989</c:v>
                </c:pt>
                <c:pt idx="48">
                  <c:v>0.18558499999999989</c:v>
                </c:pt>
                <c:pt idx="49">
                  <c:v>0.18558499999999989</c:v>
                </c:pt>
                <c:pt idx="50">
                  <c:v>0.18558499999999989</c:v>
                </c:pt>
                <c:pt idx="51">
                  <c:v>0.18558499999999989</c:v>
                </c:pt>
                <c:pt idx="52">
                  <c:v>0.18558499999999989</c:v>
                </c:pt>
                <c:pt idx="53">
                  <c:v>0.18558499999999989</c:v>
                </c:pt>
                <c:pt idx="54">
                  <c:v>0.18558499999999989</c:v>
                </c:pt>
                <c:pt idx="55">
                  <c:v>0.18558499999999989</c:v>
                </c:pt>
                <c:pt idx="56">
                  <c:v>0.18558499999999989</c:v>
                </c:pt>
                <c:pt idx="57">
                  <c:v>0.18558499999999989</c:v>
                </c:pt>
                <c:pt idx="58">
                  <c:v>0.18558499999999989</c:v>
                </c:pt>
                <c:pt idx="59">
                  <c:v>0.18558499999999989</c:v>
                </c:pt>
                <c:pt idx="60">
                  <c:v>0.18558499999999989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C-4899-AC66-61BD870962AE}"/>
            </c:ext>
          </c:extLst>
        </c:ser>
        <c:ser>
          <c:idx val="0"/>
          <c:order val="5"/>
          <c:tx>
            <c:strRef>
              <c:f>'US-Average'!$B$1</c:f>
              <c:strCache>
                <c:ptCount val="1"/>
                <c:pt idx="0">
                  <c:v>Business-as-Usual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cat>
            <c:numRef>
              <c:f>'US-Average'!$A$2:$A$62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'US-Average'!$B$2:$B$62</c:f>
              <c:numCache>
                <c:formatCode>General</c:formatCode>
                <c:ptCount val="61"/>
                <c:pt idx="0">
                  <c:v>0.37117</c:v>
                </c:pt>
                <c:pt idx="1">
                  <c:v>0.37117</c:v>
                </c:pt>
                <c:pt idx="2">
                  <c:v>0.37117</c:v>
                </c:pt>
                <c:pt idx="3">
                  <c:v>0.37117</c:v>
                </c:pt>
                <c:pt idx="4">
                  <c:v>0.37117</c:v>
                </c:pt>
                <c:pt idx="5">
                  <c:v>0.37117</c:v>
                </c:pt>
                <c:pt idx="6">
                  <c:v>0.37117</c:v>
                </c:pt>
                <c:pt idx="7">
                  <c:v>0.37117</c:v>
                </c:pt>
                <c:pt idx="8">
                  <c:v>0.37117</c:v>
                </c:pt>
                <c:pt idx="9">
                  <c:v>0.37117</c:v>
                </c:pt>
                <c:pt idx="10">
                  <c:v>0.37117</c:v>
                </c:pt>
                <c:pt idx="11">
                  <c:v>0.37117</c:v>
                </c:pt>
                <c:pt idx="12">
                  <c:v>0.37117</c:v>
                </c:pt>
                <c:pt idx="13">
                  <c:v>0.37117</c:v>
                </c:pt>
                <c:pt idx="14">
                  <c:v>0.37117</c:v>
                </c:pt>
                <c:pt idx="15">
                  <c:v>0.37117</c:v>
                </c:pt>
                <c:pt idx="16">
                  <c:v>0.37117</c:v>
                </c:pt>
                <c:pt idx="17">
                  <c:v>0.37117</c:v>
                </c:pt>
                <c:pt idx="18">
                  <c:v>0.37117</c:v>
                </c:pt>
                <c:pt idx="19">
                  <c:v>0.37117</c:v>
                </c:pt>
                <c:pt idx="20">
                  <c:v>0.37117</c:v>
                </c:pt>
                <c:pt idx="21">
                  <c:v>0.37117</c:v>
                </c:pt>
                <c:pt idx="22">
                  <c:v>0.37117</c:v>
                </c:pt>
                <c:pt idx="23">
                  <c:v>0.37117</c:v>
                </c:pt>
                <c:pt idx="24">
                  <c:v>0.37117</c:v>
                </c:pt>
                <c:pt idx="25">
                  <c:v>0.37117</c:v>
                </c:pt>
                <c:pt idx="26">
                  <c:v>0.37117</c:v>
                </c:pt>
                <c:pt idx="27">
                  <c:v>0.37117</c:v>
                </c:pt>
                <c:pt idx="28">
                  <c:v>0.37117</c:v>
                </c:pt>
                <c:pt idx="29">
                  <c:v>0.37117</c:v>
                </c:pt>
                <c:pt idx="30">
                  <c:v>0.37117</c:v>
                </c:pt>
                <c:pt idx="31">
                  <c:v>0.37117</c:v>
                </c:pt>
                <c:pt idx="32">
                  <c:v>0.37117</c:v>
                </c:pt>
                <c:pt idx="33">
                  <c:v>0.37117</c:v>
                </c:pt>
                <c:pt idx="34">
                  <c:v>0.37117</c:v>
                </c:pt>
                <c:pt idx="35">
                  <c:v>0.37117</c:v>
                </c:pt>
                <c:pt idx="36">
                  <c:v>0.37117</c:v>
                </c:pt>
                <c:pt idx="37">
                  <c:v>0.37117</c:v>
                </c:pt>
                <c:pt idx="38">
                  <c:v>0.37117</c:v>
                </c:pt>
                <c:pt idx="39">
                  <c:v>0.37117</c:v>
                </c:pt>
                <c:pt idx="40">
                  <c:v>0.37117</c:v>
                </c:pt>
                <c:pt idx="41">
                  <c:v>0.37117</c:v>
                </c:pt>
                <c:pt idx="42">
                  <c:v>0.37117</c:v>
                </c:pt>
                <c:pt idx="43">
                  <c:v>0.37117</c:v>
                </c:pt>
                <c:pt idx="44">
                  <c:v>0.37117</c:v>
                </c:pt>
                <c:pt idx="45">
                  <c:v>0.37117</c:v>
                </c:pt>
                <c:pt idx="46">
                  <c:v>0.37117</c:v>
                </c:pt>
                <c:pt idx="47">
                  <c:v>0.37117</c:v>
                </c:pt>
                <c:pt idx="48">
                  <c:v>0.37117</c:v>
                </c:pt>
                <c:pt idx="49">
                  <c:v>0.37117</c:v>
                </c:pt>
                <c:pt idx="50">
                  <c:v>0.37117</c:v>
                </c:pt>
                <c:pt idx="51">
                  <c:v>0.37117</c:v>
                </c:pt>
                <c:pt idx="52">
                  <c:v>0.37117</c:v>
                </c:pt>
                <c:pt idx="53">
                  <c:v>0.37117</c:v>
                </c:pt>
                <c:pt idx="54">
                  <c:v>0.37117</c:v>
                </c:pt>
                <c:pt idx="55">
                  <c:v>0.37117</c:v>
                </c:pt>
                <c:pt idx="56">
                  <c:v>0.37117</c:v>
                </c:pt>
                <c:pt idx="57">
                  <c:v>0.37117</c:v>
                </c:pt>
                <c:pt idx="58">
                  <c:v>0.37117</c:v>
                </c:pt>
                <c:pt idx="59">
                  <c:v>0.37117</c:v>
                </c:pt>
                <c:pt idx="60">
                  <c:v>0.37117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C-4899-AC66-61BD87096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63679"/>
        <c:axId val="86258271"/>
        <c:axId val="842086879"/>
      </c:area3DChart>
      <c:catAx>
        <c:axId val="8626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8271"/>
        <c:crosses val="autoZero"/>
        <c:auto val="1"/>
        <c:lblAlgn val="ctr"/>
        <c:lblOffset val="100"/>
        <c:noMultiLvlLbl val="0"/>
      </c:catAx>
      <c:valAx>
        <c:axId val="862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kgCO2e/kWh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3679"/>
        <c:crosses val="autoZero"/>
        <c:crossBetween val="midCat"/>
      </c:valAx>
      <c:serAx>
        <c:axId val="842086879"/>
        <c:scaling>
          <c:orientation val="minMax"/>
        </c:scaling>
        <c:delete val="1"/>
        <c:axPos val="b"/>
        <c:majorTickMark val="none"/>
        <c:minorTickMark val="none"/>
        <c:tickLblPos val="nextTo"/>
        <c:crossAx val="862582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'US-Average'!$B$1</c:f>
              <c:strCache>
                <c:ptCount val="1"/>
                <c:pt idx="0">
                  <c:v>Business-as-Usual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'US-Average'!$A$2:$A$62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'US-Average'!$B$2:$B$62</c:f>
              <c:numCache>
                <c:formatCode>General</c:formatCode>
                <c:ptCount val="61"/>
                <c:pt idx="0">
                  <c:v>0.37117</c:v>
                </c:pt>
                <c:pt idx="1">
                  <c:v>0.37117</c:v>
                </c:pt>
                <c:pt idx="2">
                  <c:v>0.37117</c:v>
                </c:pt>
                <c:pt idx="3">
                  <c:v>0.37117</c:v>
                </c:pt>
                <c:pt idx="4">
                  <c:v>0.37117</c:v>
                </c:pt>
                <c:pt idx="5">
                  <c:v>0.37117</c:v>
                </c:pt>
                <c:pt idx="6">
                  <c:v>0.37117</c:v>
                </c:pt>
                <c:pt idx="7">
                  <c:v>0.37117</c:v>
                </c:pt>
                <c:pt idx="8">
                  <c:v>0.37117</c:v>
                </c:pt>
                <c:pt idx="9">
                  <c:v>0.37117</c:v>
                </c:pt>
                <c:pt idx="10">
                  <c:v>0.37117</c:v>
                </c:pt>
                <c:pt idx="11">
                  <c:v>0.37117</c:v>
                </c:pt>
                <c:pt idx="12">
                  <c:v>0.37117</c:v>
                </c:pt>
                <c:pt idx="13">
                  <c:v>0.37117</c:v>
                </c:pt>
                <c:pt idx="14">
                  <c:v>0.37117</c:v>
                </c:pt>
                <c:pt idx="15">
                  <c:v>0.37117</c:v>
                </c:pt>
                <c:pt idx="16">
                  <c:v>0.37117</c:v>
                </c:pt>
                <c:pt idx="17">
                  <c:v>0.37117</c:v>
                </c:pt>
                <c:pt idx="18">
                  <c:v>0.37117</c:v>
                </c:pt>
                <c:pt idx="19">
                  <c:v>0.37117</c:v>
                </c:pt>
                <c:pt idx="20">
                  <c:v>0.37117</c:v>
                </c:pt>
                <c:pt idx="21">
                  <c:v>0.37117</c:v>
                </c:pt>
                <c:pt idx="22">
                  <c:v>0.37117</c:v>
                </c:pt>
                <c:pt idx="23">
                  <c:v>0.37117</c:v>
                </c:pt>
                <c:pt idx="24">
                  <c:v>0.37117</c:v>
                </c:pt>
                <c:pt idx="25">
                  <c:v>0.37117</c:v>
                </c:pt>
                <c:pt idx="26">
                  <c:v>0.37117</c:v>
                </c:pt>
                <c:pt idx="27">
                  <c:v>0.37117</c:v>
                </c:pt>
                <c:pt idx="28">
                  <c:v>0.37117</c:v>
                </c:pt>
                <c:pt idx="29">
                  <c:v>0.37117</c:v>
                </c:pt>
                <c:pt idx="30">
                  <c:v>0.37117</c:v>
                </c:pt>
                <c:pt idx="31">
                  <c:v>0.37117</c:v>
                </c:pt>
                <c:pt idx="32">
                  <c:v>0.37117</c:v>
                </c:pt>
                <c:pt idx="33">
                  <c:v>0.37117</c:v>
                </c:pt>
                <c:pt idx="34">
                  <c:v>0.37117</c:v>
                </c:pt>
                <c:pt idx="35">
                  <c:v>0.37117</c:v>
                </c:pt>
                <c:pt idx="36">
                  <c:v>0.37117</c:v>
                </c:pt>
                <c:pt idx="37">
                  <c:v>0.37117</c:v>
                </c:pt>
                <c:pt idx="38">
                  <c:v>0.37117</c:v>
                </c:pt>
                <c:pt idx="39">
                  <c:v>0.37117</c:v>
                </c:pt>
                <c:pt idx="40">
                  <c:v>0.37117</c:v>
                </c:pt>
                <c:pt idx="41">
                  <c:v>0.37117</c:v>
                </c:pt>
                <c:pt idx="42">
                  <c:v>0.37117</c:v>
                </c:pt>
                <c:pt idx="43">
                  <c:v>0.37117</c:v>
                </c:pt>
                <c:pt idx="44">
                  <c:v>0.37117</c:v>
                </c:pt>
                <c:pt idx="45">
                  <c:v>0.37117</c:v>
                </c:pt>
                <c:pt idx="46">
                  <c:v>0.37117</c:v>
                </c:pt>
                <c:pt idx="47">
                  <c:v>0.37117</c:v>
                </c:pt>
                <c:pt idx="48">
                  <c:v>0.37117</c:v>
                </c:pt>
                <c:pt idx="49">
                  <c:v>0.37117</c:v>
                </c:pt>
                <c:pt idx="50">
                  <c:v>0.37117</c:v>
                </c:pt>
                <c:pt idx="51">
                  <c:v>0.37117</c:v>
                </c:pt>
                <c:pt idx="52">
                  <c:v>0.37117</c:v>
                </c:pt>
                <c:pt idx="53">
                  <c:v>0.37117</c:v>
                </c:pt>
                <c:pt idx="54">
                  <c:v>0.37117</c:v>
                </c:pt>
                <c:pt idx="55">
                  <c:v>0.37117</c:v>
                </c:pt>
                <c:pt idx="56">
                  <c:v>0.37117</c:v>
                </c:pt>
                <c:pt idx="57">
                  <c:v>0.37117</c:v>
                </c:pt>
                <c:pt idx="58">
                  <c:v>0.37117</c:v>
                </c:pt>
                <c:pt idx="59">
                  <c:v>0.37117</c:v>
                </c:pt>
                <c:pt idx="60">
                  <c:v>0.37117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9-4B4B-A4C7-C8EF9BE24B27}"/>
            </c:ext>
          </c:extLst>
        </c:ser>
        <c:ser>
          <c:idx val="1"/>
          <c:order val="1"/>
          <c:tx>
            <c:strRef>
              <c:f>'US-Average'!$C$1</c:f>
              <c:strCache>
                <c:ptCount val="1"/>
                <c:pt idx="0">
                  <c:v>50% by 2050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'US-Average'!$A$2:$A$62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'US-Average'!$C$2:$C$62</c:f>
              <c:numCache>
                <c:formatCode>General</c:formatCode>
                <c:ptCount val="61"/>
                <c:pt idx="0">
                  <c:v>0.37117</c:v>
                </c:pt>
                <c:pt idx="1">
                  <c:v>0.36454196428571428</c:v>
                </c:pt>
                <c:pt idx="2">
                  <c:v>0.35791392857142856</c:v>
                </c:pt>
                <c:pt idx="3">
                  <c:v>0.35128589285714285</c:v>
                </c:pt>
                <c:pt idx="4">
                  <c:v>0.34465785714285713</c:v>
                </c:pt>
                <c:pt idx="5">
                  <c:v>0.33802982142857141</c:v>
                </c:pt>
                <c:pt idx="6">
                  <c:v>0.33140178571428569</c:v>
                </c:pt>
                <c:pt idx="7">
                  <c:v>0.32477374999999997</c:v>
                </c:pt>
                <c:pt idx="8">
                  <c:v>0.31814571428571425</c:v>
                </c:pt>
                <c:pt idx="9">
                  <c:v>0.31151767857142854</c:v>
                </c:pt>
                <c:pt idx="10">
                  <c:v>0.30488964285714282</c:v>
                </c:pt>
                <c:pt idx="11">
                  <c:v>0.2982616071428571</c:v>
                </c:pt>
                <c:pt idx="12">
                  <c:v>0.29163357142857138</c:v>
                </c:pt>
                <c:pt idx="13">
                  <c:v>0.28500553571428566</c:v>
                </c:pt>
                <c:pt idx="14">
                  <c:v>0.27837749999999994</c:v>
                </c:pt>
                <c:pt idx="15">
                  <c:v>0.27174946428571423</c:v>
                </c:pt>
                <c:pt idx="16">
                  <c:v>0.26512142857142851</c:v>
                </c:pt>
                <c:pt idx="17">
                  <c:v>0.25849339285714279</c:v>
                </c:pt>
                <c:pt idx="18">
                  <c:v>0.25186535714285707</c:v>
                </c:pt>
                <c:pt idx="19">
                  <c:v>0.24523732142857135</c:v>
                </c:pt>
                <c:pt idx="20">
                  <c:v>0.23860928571428563</c:v>
                </c:pt>
                <c:pt idx="21">
                  <c:v>0.23198124999999992</c:v>
                </c:pt>
                <c:pt idx="22">
                  <c:v>0.2253532142857142</c:v>
                </c:pt>
                <c:pt idx="23">
                  <c:v>0.21872517857142848</c:v>
                </c:pt>
                <c:pt idx="24">
                  <c:v>0.21209714285714276</c:v>
                </c:pt>
                <c:pt idx="25">
                  <c:v>0.20546910714285704</c:v>
                </c:pt>
                <c:pt idx="26">
                  <c:v>0.19884107142857133</c:v>
                </c:pt>
                <c:pt idx="27">
                  <c:v>0.19221303571428561</c:v>
                </c:pt>
                <c:pt idx="28">
                  <c:v>0.18558499999999989</c:v>
                </c:pt>
                <c:pt idx="29">
                  <c:v>0.18558499999999989</c:v>
                </c:pt>
                <c:pt idx="30">
                  <c:v>0.18558499999999989</c:v>
                </c:pt>
                <c:pt idx="31">
                  <c:v>0.18558499999999989</c:v>
                </c:pt>
                <c:pt idx="32">
                  <c:v>0.18558499999999989</c:v>
                </c:pt>
                <c:pt idx="33">
                  <c:v>0.18558499999999989</c:v>
                </c:pt>
                <c:pt idx="34">
                  <c:v>0.18558499999999989</c:v>
                </c:pt>
                <c:pt idx="35">
                  <c:v>0.18558499999999989</c:v>
                </c:pt>
                <c:pt idx="36">
                  <c:v>0.18558499999999989</c:v>
                </c:pt>
                <c:pt idx="37">
                  <c:v>0.18558499999999989</c:v>
                </c:pt>
                <c:pt idx="38">
                  <c:v>0.18558499999999989</c:v>
                </c:pt>
                <c:pt idx="39">
                  <c:v>0.18558499999999989</c:v>
                </c:pt>
                <c:pt idx="40">
                  <c:v>0.18558499999999989</c:v>
                </c:pt>
                <c:pt idx="41">
                  <c:v>0.18558499999999989</c:v>
                </c:pt>
                <c:pt idx="42">
                  <c:v>0.18558499999999989</c:v>
                </c:pt>
                <c:pt idx="43">
                  <c:v>0.18558499999999989</c:v>
                </c:pt>
                <c:pt idx="44">
                  <c:v>0.18558499999999989</c:v>
                </c:pt>
                <c:pt idx="45">
                  <c:v>0.18558499999999989</c:v>
                </c:pt>
                <c:pt idx="46">
                  <c:v>0.18558499999999989</c:v>
                </c:pt>
                <c:pt idx="47">
                  <c:v>0.18558499999999989</c:v>
                </c:pt>
                <c:pt idx="48">
                  <c:v>0.18558499999999989</c:v>
                </c:pt>
                <c:pt idx="49">
                  <c:v>0.18558499999999989</c:v>
                </c:pt>
                <c:pt idx="50">
                  <c:v>0.18558499999999989</c:v>
                </c:pt>
                <c:pt idx="51">
                  <c:v>0.18558499999999989</c:v>
                </c:pt>
                <c:pt idx="52">
                  <c:v>0.18558499999999989</c:v>
                </c:pt>
                <c:pt idx="53">
                  <c:v>0.18558499999999989</c:v>
                </c:pt>
                <c:pt idx="54">
                  <c:v>0.18558499999999989</c:v>
                </c:pt>
                <c:pt idx="55">
                  <c:v>0.18558499999999989</c:v>
                </c:pt>
                <c:pt idx="56">
                  <c:v>0.18558499999999989</c:v>
                </c:pt>
                <c:pt idx="57">
                  <c:v>0.18558499999999989</c:v>
                </c:pt>
                <c:pt idx="58">
                  <c:v>0.18558499999999989</c:v>
                </c:pt>
                <c:pt idx="59">
                  <c:v>0.18558499999999989</c:v>
                </c:pt>
                <c:pt idx="60">
                  <c:v>0.18558499999999989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9-4B4B-A4C7-C8EF9BE24B27}"/>
            </c:ext>
          </c:extLst>
        </c:ser>
        <c:ser>
          <c:idx val="2"/>
          <c:order val="2"/>
          <c:tx>
            <c:strRef>
              <c:f>'US-Average'!$D$1</c:f>
              <c:strCache>
                <c:ptCount val="1"/>
                <c:pt idx="0">
                  <c:v>80% by 2050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'US-Average'!$A$2:$A$62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'US-Average'!$D$2:$D$62</c:f>
              <c:numCache>
                <c:formatCode>General</c:formatCode>
                <c:ptCount val="61"/>
                <c:pt idx="0">
                  <c:v>0.37117</c:v>
                </c:pt>
                <c:pt idx="1">
                  <c:v>0.36056514285714286</c:v>
                </c:pt>
                <c:pt idx="2">
                  <c:v>0.34996028571428572</c:v>
                </c:pt>
                <c:pt idx="3">
                  <c:v>0.33935542857142859</c:v>
                </c:pt>
                <c:pt idx="4">
                  <c:v>0.32875057142857145</c:v>
                </c:pt>
                <c:pt idx="5">
                  <c:v>0.31814571428571431</c:v>
                </c:pt>
                <c:pt idx="6">
                  <c:v>0.30754085714285717</c:v>
                </c:pt>
                <c:pt idx="7">
                  <c:v>0.29693600000000003</c:v>
                </c:pt>
                <c:pt idx="8">
                  <c:v>0.2863311428571429</c:v>
                </c:pt>
                <c:pt idx="9">
                  <c:v>0.27572628571428576</c:v>
                </c:pt>
                <c:pt idx="10">
                  <c:v>0.26512142857142862</c:v>
                </c:pt>
                <c:pt idx="11">
                  <c:v>0.25451657142857148</c:v>
                </c:pt>
                <c:pt idx="12">
                  <c:v>0.24391171428571434</c:v>
                </c:pt>
                <c:pt idx="13">
                  <c:v>0.2333068571428572</c:v>
                </c:pt>
                <c:pt idx="14">
                  <c:v>0.22270200000000007</c:v>
                </c:pt>
                <c:pt idx="15">
                  <c:v>0.21209714285714293</c:v>
                </c:pt>
                <c:pt idx="16">
                  <c:v>0.20149228571428579</c:v>
                </c:pt>
                <c:pt idx="17">
                  <c:v>0.19088742857142865</c:v>
                </c:pt>
                <c:pt idx="18">
                  <c:v>0.18028257142857151</c:v>
                </c:pt>
                <c:pt idx="19">
                  <c:v>0.16967771428571438</c:v>
                </c:pt>
                <c:pt idx="20">
                  <c:v>0.15907285714285724</c:v>
                </c:pt>
                <c:pt idx="21">
                  <c:v>0.1484680000000001</c:v>
                </c:pt>
                <c:pt idx="22">
                  <c:v>0.13786314285714296</c:v>
                </c:pt>
                <c:pt idx="23">
                  <c:v>0.12725828571428582</c:v>
                </c:pt>
                <c:pt idx="24">
                  <c:v>0.11665342857142869</c:v>
                </c:pt>
                <c:pt idx="25">
                  <c:v>0.10604857142857155</c:v>
                </c:pt>
                <c:pt idx="26">
                  <c:v>9.5443714285714409E-2</c:v>
                </c:pt>
                <c:pt idx="27">
                  <c:v>8.4838857142857271E-2</c:v>
                </c:pt>
                <c:pt idx="28">
                  <c:v>7.4234000000000133E-2</c:v>
                </c:pt>
                <c:pt idx="29">
                  <c:v>7.4234000000000133E-2</c:v>
                </c:pt>
                <c:pt idx="30">
                  <c:v>7.4234000000000133E-2</c:v>
                </c:pt>
                <c:pt idx="31">
                  <c:v>7.4234000000000133E-2</c:v>
                </c:pt>
                <c:pt idx="32">
                  <c:v>7.4234000000000133E-2</c:v>
                </c:pt>
                <c:pt idx="33">
                  <c:v>7.4234000000000133E-2</c:v>
                </c:pt>
                <c:pt idx="34">
                  <c:v>7.4234000000000133E-2</c:v>
                </c:pt>
                <c:pt idx="35">
                  <c:v>7.4234000000000133E-2</c:v>
                </c:pt>
                <c:pt idx="36">
                  <c:v>7.4234000000000133E-2</c:v>
                </c:pt>
                <c:pt idx="37">
                  <c:v>7.4234000000000133E-2</c:v>
                </c:pt>
                <c:pt idx="38">
                  <c:v>7.4234000000000133E-2</c:v>
                </c:pt>
                <c:pt idx="39">
                  <c:v>7.4234000000000133E-2</c:v>
                </c:pt>
                <c:pt idx="40">
                  <c:v>7.4234000000000133E-2</c:v>
                </c:pt>
                <c:pt idx="41">
                  <c:v>7.4234000000000133E-2</c:v>
                </c:pt>
                <c:pt idx="42">
                  <c:v>7.4234000000000133E-2</c:v>
                </c:pt>
                <c:pt idx="43">
                  <c:v>7.4234000000000133E-2</c:v>
                </c:pt>
                <c:pt idx="44">
                  <c:v>7.4234000000000133E-2</c:v>
                </c:pt>
                <c:pt idx="45">
                  <c:v>7.4234000000000133E-2</c:v>
                </c:pt>
                <c:pt idx="46">
                  <c:v>7.4234000000000133E-2</c:v>
                </c:pt>
                <c:pt idx="47">
                  <c:v>7.4234000000000133E-2</c:v>
                </c:pt>
                <c:pt idx="48">
                  <c:v>7.4234000000000133E-2</c:v>
                </c:pt>
                <c:pt idx="49">
                  <c:v>7.4234000000000133E-2</c:v>
                </c:pt>
                <c:pt idx="50">
                  <c:v>7.4234000000000133E-2</c:v>
                </c:pt>
                <c:pt idx="51">
                  <c:v>7.4234000000000133E-2</c:v>
                </c:pt>
                <c:pt idx="52">
                  <c:v>7.4234000000000133E-2</c:v>
                </c:pt>
                <c:pt idx="53">
                  <c:v>7.4234000000000133E-2</c:v>
                </c:pt>
                <c:pt idx="54">
                  <c:v>7.4234000000000133E-2</c:v>
                </c:pt>
                <c:pt idx="55">
                  <c:v>7.4234000000000133E-2</c:v>
                </c:pt>
                <c:pt idx="56">
                  <c:v>7.4234000000000133E-2</c:v>
                </c:pt>
                <c:pt idx="57">
                  <c:v>7.4234000000000133E-2</c:v>
                </c:pt>
                <c:pt idx="58">
                  <c:v>7.4234000000000133E-2</c:v>
                </c:pt>
                <c:pt idx="59">
                  <c:v>7.4234000000000133E-2</c:v>
                </c:pt>
                <c:pt idx="60">
                  <c:v>7.4234000000000133E-2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9-4B4B-A4C7-C8EF9BE24B27}"/>
            </c:ext>
          </c:extLst>
        </c:ser>
        <c:ser>
          <c:idx val="3"/>
          <c:order val="3"/>
          <c:tx>
            <c:strRef>
              <c:f>'US-Average'!$E$1</c:f>
              <c:strCache>
                <c:ptCount val="1"/>
                <c:pt idx="0">
                  <c:v>100% by 2050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'US-Average'!$A$2:$A$62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'US-Average'!$E$2:$E$62</c:f>
              <c:numCache>
                <c:formatCode>General</c:formatCode>
                <c:ptCount val="61"/>
                <c:pt idx="0">
                  <c:v>0.37117</c:v>
                </c:pt>
                <c:pt idx="1">
                  <c:v>0.35791392857142856</c:v>
                </c:pt>
                <c:pt idx="2">
                  <c:v>0.34465785714285713</c:v>
                </c:pt>
                <c:pt idx="3">
                  <c:v>0.33140178571428569</c:v>
                </c:pt>
                <c:pt idx="4">
                  <c:v>0.31814571428571425</c:v>
                </c:pt>
                <c:pt idx="5">
                  <c:v>0.30488964285714282</c:v>
                </c:pt>
                <c:pt idx="6">
                  <c:v>0.29163357142857138</c:v>
                </c:pt>
                <c:pt idx="7">
                  <c:v>0.27837749999999994</c:v>
                </c:pt>
                <c:pt idx="8">
                  <c:v>0.26512142857142851</c:v>
                </c:pt>
                <c:pt idx="9">
                  <c:v>0.25186535714285707</c:v>
                </c:pt>
                <c:pt idx="10">
                  <c:v>0.23860928571428563</c:v>
                </c:pt>
                <c:pt idx="11">
                  <c:v>0.2253532142857142</c:v>
                </c:pt>
                <c:pt idx="12">
                  <c:v>0.21209714285714276</c:v>
                </c:pt>
                <c:pt idx="13">
                  <c:v>0.19884107142857133</c:v>
                </c:pt>
                <c:pt idx="14">
                  <c:v>0.18558499999999989</c:v>
                </c:pt>
                <c:pt idx="15">
                  <c:v>0.17232892857142845</c:v>
                </c:pt>
                <c:pt idx="16">
                  <c:v>0.15907285714285702</c:v>
                </c:pt>
                <c:pt idx="17">
                  <c:v>0.14581678571428558</c:v>
                </c:pt>
                <c:pt idx="18">
                  <c:v>0.13256071428571414</c:v>
                </c:pt>
                <c:pt idx="19">
                  <c:v>0.11930464285714272</c:v>
                </c:pt>
                <c:pt idx="20">
                  <c:v>0.1060485714285713</c:v>
                </c:pt>
                <c:pt idx="21">
                  <c:v>9.2792499999999875E-2</c:v>
                </c:pt>
                <c:pt idx="22">
                  <c:v>7.9536428571428452E-2</c:v>
                </c:pt>
                <c:pt idx="23">
                  <c:v>6.628035714285703E-2</c:v>
                </c:pt>
                <c:pt idx="24">
                  <c:v>5.30242857142856E-2</c:v>
                </c:pt>
                <c:pt idx="25">
                  <c:v>3.9768214285714171E-2</c:v>
                </c:pt>
                <c:pt idx="26">
                  <c:v>2.6512142857142741E-2</c:v>
                </c:pt>
                <c:pt idx="27">
                  <c:v>1.3256071428571313E-2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9-4B4B-A4C7-C8EF9BE24B27}"/>
            </c:ext>
          </c:extLst>
        </c:ser>
        <c:ser>
          <c:idx val="4"/>
          <c:order val="4"/>
          <c:tx>
            <c:strRef>
              <c:f>'US-Average'!$F$1</c:f>
              <c:strCache>
                <c:ptCount val="1"/>
                <c:pt idx="0">
                  <c:v>80% by 2035, 100% by 2050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'US-Average'!$A$2:$A$62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'US-Average'!$F$2:$F$62</c:f>
              <c:numCache>
                <c:formatCode>General</c:formatCode>
                <c:ptCount val="61"/>
                <c:pt idx="0">
                  <c:v>0.37117</c:v>
                </c:pt>
                <c:pt idx="1">
                  <c:v>0.34832876923076922</c:v>
                </c:pt>
                <c:pt idx="2">
                  <c:v>0.32548753846153844</c:v>
                </c:pt>
                <c:pt idx="3">
                  <c:v>0.30264630769230766</c:v>
                </c:pt>
                <c:pt idx="4">
                  <c:v>0.27980507692307688</c:v>
                </c:pt>
                <c:pt idx="5">
                  <c:v>0.2569638461538461</c:v>
                </c:pt>
                <c:pt idx="6">
                  <c:v>0.23412261538461532</c:v>
                </c:pt>
                <c:pt idx="7">
                  <c:v>0.21128138461538454</c:v>
                </c:pt>
                <c:pt idx="8">
                  <c:v>0.18844015384615376</c:v>
                </c:pt>
                <c:pt idx="9">
                  <c:v>0.16559892307692298</c:v>
                </c:pt>
                <c:pt idx="10">
                  <c:v>0.1427576923076922</c:v>
                </c:pt>
                <c:pt idx="11">
                  <c:v>0.11991646153846142</c:v>
                </c:pt>
                <c:pt idx="12">
                  <c:v>9.7075230769230636E-2</c:v>
                </c:pt>
                <c:pt idx="13">
                  <c:v>7.4233999999999856E-2</c:v>
                </c:pt>
                <c:pt idx="14">
                  <c:v>6.9285066666666534E-2</c:v>
                </c:pt>
                <c:pt idx="15">
                  <c:v>6.4336133333333212E-2</c:v>
                </c:pt>
                <c:pt idx="16">
                  <c:v>5.938719999999989E-2</c:v>
                </c:pt>
                <c:pt idx="17">
                  <c:v>5.4438266666666568E-2</c:v>
                </c:pt>
                <c:pt idx="18">
                  <c:v>4.9489333333333246E-2</c:v>
                </c:pt>
                <c:pt idx="19">
                  <c:v>4.4540399999999924E-2</c:v>
                </c:pt>
                <c:pt idx="20">
                  <c:v>3.9591466666666603E-2</c:v>
                </c:pt>
                <c:pt idx="21">
                  <c:v>3.4642533333333281E-2</c:v>
                </c:pt>
                <c:pt idx="22">
                  <c:v>2.9693599999999959E-2</c:v>
                </c:pt>
                <c:pt idx="23">
                  <c:v>2.4744666666666637E-2</c:v>
                </c:pt>
                <c:pt idx="24">
                  <c:v>1.9795733333333315E-2</c:v>
                </c:pt>
                <c:pt idx="25">
                  <c:v>1.4846799999999992E-2</c:v>
                </c:pt>
                <c:pt idx="26">
                  <c:v>9.897866666666668E-3</c:v>
                </c:pt>
                <c:pt idx="27">
                  <c:v>4.9489333333333444E-3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29-4B4B-A4C7-C8EF9BE24B27}"/>
            </c:ext>
          </c:extLst>
        </c:ser>
        <c:ser>
          <c:idx val="5"/>
          <c:order val="5"/>
          <c:tx>
            <c:strRef>
              <c:f>'US-Average'!$G$1</c:f>
              <c:strCache>
                <c:ptCount val="1"/>
                <c:pt idx="0">
                  <c:v>100% by 2035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'US-Average'!$A$2:$A$62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'US-Average'!$G$2:$G$62</c:f>
              <c:numCache>
                <c:formatCode>General</c:formatCode>
                <c:ptCount val="61"/>
                <c:pt idx="0">
                  <c:v>0.37117</c:v>
                </c:pt>
                <c:pt idx="1">
                  <c:v>0.34261846153846154</c:v>
                </c:pt>
                <c:pt idx="2">
                  <c:v>0.31406692307692308</c:v>
                </c:pt>
                <c:pt idx="3">
                  <c:v>0.28551538461538462</c:v>
                </c:pt>
                <c:pt idx="4">
                  <c:v>0.25696384615384615</c:v>
                </c:pt>
                <c:pt idx="5">
                  <c:v>0.22841230769230769</c:v>
                </c:pt>
                <c:pt idx="6">
                  <c:v>0.19986076923076923</c:v>
                </c:pt>
                <c:pt idx="7">
                  <c:v>0.17130923076923077</c:v>
                </c:pt>
                <c:pt idx="8">
                  <c:v>0.14275769230769231</c:v>
                </c:pt>
                <c:pt idx="9">
                  <c:v>0.11420615384615385</c:v>
                </c:pt>
                <c:pt idx="10">
                  <c:v>8.5654615384615385E-2</c:v>
                </c:pt>
                <c:pt idx="11">
                  <c:v>5.7103076923076923E-2</c:v>
                </c:pt>
                <c:pt idx="12">
                  <c:v>2.8551538461538462E-2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29-4B4B-A4C7-C8EF9BE2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63679"/>
        <c:axId val="86258271"/>
      </c:areaChart>
      <c:catAx>
        <c:axId val="86263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8271"/>
        <c:crosses val="autoZero"/>
        <c:auto val="1"/>
        <c:lblAlgn val="ctr"/>
        <c:lblOffset val="100"/>
        <c:noMultiLvlLbl val="0"/>
      </c:catAx>
      <c:valAx>
        <c:axId val="862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80% by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'80% by 2050'!$B$2</c:f>
              <c:strCache>
                <c:ptCount val="1"/>
                <c:pt idx="0">
                  <c:v>US-Average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'80% by 2050'!$B$3:$B$63</c:f>
              <c:numCache>
                <c:formatCode>General</c:formatCode>
                <c:ptCount val="61"/>
                <c:pt idx="0">
                  <c:v>0.37117</c:v>
                </c:pt>
                <c:pt idx="1">
                  <c:v>0.36056514285714286</c:v>
                </c:pt>
                <c:pt idx="2">
                  <c:v>0.34996028571428572</c:v>
                </c:pt>
                <c:pt idx="3">
                  <c:v>0.33935542857142859</c:v>
                </c:pt>
                <c:pt idx="4">
                  <c:v>0.32875057142857145</c:v>
                </c:pt>
                <c:pt idx="5">
                  <c:v>0.31814571428571431</c:v>
                </c:pt>
                <c:pt idx="6">
                  <c:v>0.30754085714285717</c:v>
                </c:pt>
                <c:pt idx="7">
                  <c:v>0.29693600000000003</c:v>
                </c:pt>
                <c:pt idx="8">
                  <c:v>0.2863311428571429</c:v>
                </c:pt>
                <c:pt idx="9">
                  <c:v>0.27572628571428576</c:v>
                </c:pt>
                <c:pt idx="10">
                  <c:v>0.26512142857142862</c:v>
                </c:pt>
                <c:pt idx="11">
                  <c:v>0.25451657142857148</c:v>
                </c:pt>
                <c:pt idx="12">
                  <c:v>0.24391171428571434</c:v>
                </c:pt>
                <c:pt idx="13">
                  <c:v>0.2333068571428572</c:v>
                </c:pt>
                <c:pt idx="14">
                  <c:v>0.22270200000000007</c:v>
                </c:pt>
                <c:pt idx="15">
                  <c:v>0.21209714285714293</c:v>
                </c:pt>
                <c:pt idx="16">
                  <c:v>0.20149228571428579</c:v>
                </c:pt>
                <c:pt idx="17">
                  <c:v>0.19088742857142865</c:v>
                </c:pt>
                <c:pt idx="18">
                  <c:v>0.18028257142857151</c:v>
                </c:pt>
                <c:pt idx="19">
                  <c:v>0.16967771428571438</c:v>
                </c:pt>
                <c:pt idx="20">
                  <c:v>0.15907285714285724</c:v>
                </c:pt>
                <c:pt idx="21">
                  <c:v>0.1484680000000001</c:v>
                </c:pt>
                <c:pt idx="22">
                  <c:v>0.13786314285714296</c:v>
                </c:pt>
                <c:pt idx="23">
                  <c:v>0.12725828571428582</c:v>
                </c:pt>
                <c:pt idx="24">
                  <c:v>0.11665342857142869</c:v>
                </c:pt>
                <c:pt idx="25">
                  <c:v>0.10604857142857155</c:v>
                </c:pt>
                <c:pt idx="26">
                  <c:v>9.5443714285714409E-2</c:v>
                </c:pt>
                <c:pt idx="27">
                  <c:v>8.4838857142857271E-2</c:v>
                </c:pt>
                <c:pt idx="28">
                  <c:v>7.4234000000000133E-2</c:v>
                </c:pt>
                <c:pt idx="29">
                  <c:v>7.4234000000000133E-2</c:v>
                </c:pt>
                <c:pt idx="30">
                  <c:v>7.4234000000000133E-2</c:v>
                </c:pt>
                <c:pt idx="31">
                  <c:v>7.4234000000000133E-2</c:v>
                </c:pt>
                <c:pt idx="32">
                  <c:v>7.4234000000000133E-2</c:v>
                </c:pt>
                <c:pt idx="33">
                  <c:v>7.4234000000000133E-2</c:v>
                </c:pt>
                <c:pt idx="34">
                  <c:v>7.4234000000000133E-2</c:v>
                </c:pt>
                <c:pt idx="35">
                  <c:v>7.4234000000000133E-2</c:v>
                </c:pt>
                <c:pt idx="36">
                  <c:v>7.4234000000000133E-2</c:v>
                </c:pt>
                <c:pt idx="37">
                  <c:v>7.4234000000000133E-2</c:v>
                </c:pt>
                <c:pt idx="38">
                  <c:v>7.4234000000000133E-2</c:v>
                </c:pt>
                <c:pt idx="39">
                  <c:v>7.4234000000000133E-2</c:v>
                </c:pt>
                <c:pt idx="40">
                  <c:v>7.4234000000000133E-2</c:v>
                </c:pt>
                <c:pt idx="41">
                  <c:v>7.4234000000000133E-2</c:v>
                </c:pt>
                <c:pt idx="42">
                  <c:v>7.4234000000000133E-2</c:v>
                </c:pt>
                <c:pt idx="43">
                  <c:v>7.4234000000000133E-2</c:v>
                </c:pt>
                <c:pt idx="44">
                  <c:v>7.4234000000000133E-2</c:v>
                </c:pt>
                <c:pt idx="45">
                  <c:v>7.4234000000000133E-2</c:v>
                </c:pt>
                <c:pt idx="46">
                  <c:v>7.4234000000000133E-2</c:v>
                </c:pt>
                <c:pt idx="47">
                  <c:v>7.4234000000000133E-2</c:v>
                </c:pt>
                <c:pt idx="48">
                  <c:v>7.4234000000000133E-2</c:v>
                </c:pt>
                <c:pt idx="49">
                  <c:v>7.4234000000000133E-2</c:v>
                </c:pt>
                <c:pt idx="50">
                  <c:v>7.4234000000000133E-2</c:v>
                </c:pt>
                <c:pt idx="51">
                  <c:v>7.4234000000000133E-2</c:v>
                </c:pt>
                <c:pt idx="52">
                  <c:v>7.4234000000000133E-2</c:v>
                </c:pt>
                <c:pt idx="53">
                  <c:v>7.4234000000000133E-2</c:v>
                </c:pt>
                <c:pt idx="54">
                  <c:v>7.4234000000000133E-2</c:v>
                </c:pt>
                <c:pt idx="55">
                  <c:v>7.4234000000000133E-2</c:v>
                </c:pt>
                <c:pt idx="56">
                  <c:v>7.4234000000000133E-2</c:v>
                </c:pt>
                <c:pt idx="57">
                  <c:v>7.4234000000000133E-2</c:v>
                </c:pt>
                <c:pt idx="58">
                  <c:v>7.4234000000000133E-2</c:v>
                </c:pt>
                <c:pt idx="59">
                  <c:v>7.4234000000000133E-2</c:v>
                </c:pt>
                <c:pt idx="60">
                  <c:v>7.4234000000000133E-2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8-4EDC-9103-4B8EAB11A7BE}"/>
            </c:ext>
          </c:extLst>
        </c:ser>
        <c:ser>
          <c:idx val="1"/>
          <c:order val="1"/>
          <c:tx>
            <c:strRef>
              <c:f>'80% by 2050'!$C$2</c:f>
              <c:strCache>
                <c:ptCount val="1"/>
                <c:pt idx="0">
                  <c:v>FRCC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'80% by 2050'!$C$3:$C$63</c:f>
              <c:numCache>
                <c:formatCode>General</c:formatCode>
                <c:ptCount val="61"/>
                <c:pt idx="0">
                  <c:v>0.378785916</c:v>
                </c:pt>
                <c:pt idx="1">
                  <c:v>0.36796346125714285</c:v>
                </c:pt>
                <c:pt idx="2">
                  <c:v>0.35714100651428571</c:v>
                </c:pt>
                <c:pt idx="3">
                  <c:v>0.34631855177142856</c:v>
                </c:pt>
                <c:pt idx="4">
                  <c:v>0.33549609702857142</c:v>
                </c:pt>
                <c:pt idx="5">
                  <c:v>0.32467364228571427</c:v>
                </c:pt>
                <c:pt idx="6">
                  <c:v>0.31385118754285712</c:v>
                </c:pt>
                <c:pt idx="7">
                  <c:v>0.30302873279999998</c:v>
                </c:pt>
                <c:pt idx="8">
                  <c:v>0.29220627805714283</c:v>
                </c:pt>
                <c:pt idx="9">
                  <c:v>0.28138382331428569</c:v>
                </c:pt>
                <c:pt idx="10">
                  <c:v>0.27056136857142854</c:v>
                </c:pt>
                <c:pt idx="11">
                  <c:v>0.25973891382857139</c:v>
                </c:pt>
                <c:pt idx="12">
                  <c:v>0.24891645908571425</c:v>
                </c:pt>
                <c:pt idx="13">
                  <c:v>0.2380940043428571</c:v>
                </c:pt>
                <c:pt idx="14">
                  <c:v>0.22727154959999996</c:v>
                </c:pt>
                <c:pt idx="15">
                  <c:v>0.21644909485714281</c:v>
                </c:pt>
                <c:pt idx="16">
                  <c:v>0.20562664011428566</c:v>
                </c:pt>
                <c:pt idx="17">
                  <c:v>0.19480418537142852</c:v>
                </c:pt>
                <c:pt idx="18">
                  <c:v>0.18398173062857137</c:v>
                </c:pt>
                <c:pt idx="19">
                  <c:v>0.17315927588571423</c:v>
                </c:pt>
                <c:pt idx="20">
                  <c:v>0.16233682114285708</c:v>
                </c:pt>
                <c:pt idx="21">
                  <c:v>0.15151436639999993</c:v>
                </c:pt>
                <c:pt idx="22">
                  <c:v>0.14069191165714279</c:v>
                </c:pt>
                <c:pt idx="23">
                  <c:v>0.12986945691428564</c:v>
                </c:pt>
                <c:pt idx="24">
                  <c:v>0.1190470021714285</c:v>
                </c:pt>
                <c:pt idx="25">
                  <c:v>0.10822454742857135</c:v>
                </c:pt>
                <c:pt idx="26">
                  <c:v>9.7402092685714203E-2</c:v>
                </c:pt>
                <c:pt idx="27">
                  <c:v>8.6579637942857057E-2</c:v>
                </c:pt>
                <c:pt idx="28">
                  <c:v>7.5757183199999911E-2</c:v>
                </c:pt>
                <c:pt idx="29">
                  <c:v>7.5757183199999911E-2</c:v>
                </c:pt>
                <c:pt idx="30">
                  <c:v>7.5757183199999911E-2</c:v>
                </c:pt>
                <c:pt idx="31">
                  <c:v>7.5757183199999911E-2</c:v>
                </c:pt>
                <c:pt idx="32">
                  <c:v>7.5757183199999911E-2</c:v>
                </c:pt>
                <c:pt idx="33">
                  <c:v>7.5757183199999911E-2</c:v>
                </c:pt>
                <c:pt idx="34">
                  <c:v>7.5757183199999911E-2</c:v>
                </c:pt>
                <c:pt idx="35">
                  <c:v>7.5757183199999911E-2</c:v>
                </c:pt>
                <c:pt idx="36">
                  <c:v>7.5757183199999911E-2</c:v>
                </c:pt>
                <c:pt idx="37">
                  <c:v>7.5757183199999911E-2</c:v>
                </c:pt>
                <c:pt idx="38">
                  <c:v>7.5757183199999911E-2</c:v>
                </c:pt>
                <c:pt idx="39">
                  <c:v>7.5757183199999911E-2</c:v>
                </c:pt>
                <c:pt idx="40">
                  <c:v>7.5757183199999911E-2</c:v>
                </c:pt>
                <c:pt idx="41">
                  <c:v>7.5757183199999911E-2</c:v>
                </c:pt>
                <c:pt idx="42">
                  <c:v>7.5757183199999911E-2</c:v>
                </c:pt>
                <c:pt idx="43">
                  <c:v>7.5757183199999911E-2</c:v>
                </c:pt>
                <c:pt idx="44">
                  <c:v>7.5757183199999911E-2</c:v>
                </c:pt>
                <c:pt idx="45">
                  <c:v>7.5757183199999911E-2</c:v>
                </c:pt>
                <c:pt idx="46">
                  <c:v>7.5757183199999911E-2</c:v>
                </c:pt>
                <c:pt idx="47">
                  <c:v>7.5757183199999911E-2</c:v>
                </c:pt>
                <c:pt idx="48">
                  <c:v>7.5757183199999911E-2</c:v>
                </c:pt>
                <c:pt idx="49">
                  <c:v>7.5757183199999911E-2</c:v>
                </c:pt>
                <c:pt idx="50">
                  <c:v>7.5757183199999911E-2</c:v>
                </c:pt>
                <c:pt idx="51">
                  <c:v>7.5757183199999911E-2</c:v>
                </c:pt>
                <c:pt idx="52">
                  <c:v>7.5757183199999911E-2</c:v>
                </c:pt>
                <c:pt idx="53">
                  <c:v>7.5757183199999911E-2</c:v>
                </c:pt>
                <c:pt idx="54">
                  <c:v>7.5757183199999911E-2</c:v>
                </c:pt>
                <c:pt idx="55">
                  <c:v>7.5757183199999911E-2</c:v>
                </c:pt>
                <c:pt idx="56">
                  <c:v>7.5757183199999911E-2</c:v>
                </c:pt>
                <c:pt idx="57">
                  <c:v>7.5757183199999911E-2</c:v>
                </c:pt>
                <c:pt idx="58">
                  <c:v>7.5757183199999911E-2</c:v>
                </c:pt>
                <c:pt idx="59">
                  <c:v>7.5757183199999911E-2</c:v>
                </c:pt>
                <c:pt idx="60">
                  <c:v>7.5757183199999911E-2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8-4EDC-9103-4B8EAB11A7BE}"/>
            </c:ext>
          </c:extLst>
        </c:ser>
        <c:ser>
          <c:idx val="2"/>
          <c:order val="2"/>
          <c:tx>
            <c:strRef>
              <c:f>'80% by 2050'!$D$2</c:f>
              <c:strCache>
                <c:ptCount val="1"/>
                <c:pt idx="0">
                  <c:v>CAMX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'80% by 2050'!$D$3:$D$63</c:f>
              <c:numCache>
                <c:formatCode>General</c:formatCode>
                <c:ptCount val="61"/>
                <c:pt idx="0">
                  <c:v>0.23290153799999999</c:v>
                </c:pt>
                <c:pt idx="1">
                  <c:v>0.22624720834285714</c:v>
                </c:pt>
                <c:pt idx="2">
                  <c:v>0.21959287868571428</c:v>
                </c:pt>
                <c:pt idx="3">
                  <c:v>0.21293854902857143</c:v>
                </c:pt>
                <c:pt idx="4">
                  <c:v>0.20628421937142857</c:v>
                </c:pt>
                <c:pt idx="5">
                  <c:v>0.19962988971428572</c:v>
                </c:pt>
                <c:pt idx="6">
                  <c:v>0.19297556005714286</c:v>
                </c:pt>
                <c:pt idx="7">
                  <c:v>0.18632123040000001</c:v>
                </c:pt>
                <c:pt idx="8">
                  <c:v>0.17966690074285716</c:v>
                </c:pt>
                <c:pt idx="9">
                  <c:v>0.1730125710857143</c:v>
                </c:pt>
                <c:pt idx="10">
                  <c:v>0.16635824142857145</c:v>
                </c:pt>
                <c:pt idx="11">
                  <c:v>0.15970391177142859</c:v>
                </c:pt>
                <c:pt idx="12">
                  <c:v>0.15304958211428574</c:v>
                </c:pt>
                <c:pt idx="13">
                  <c:v>0.14639525245714288</c:v>
                </c:pt>
                <c:pt idx="14">
                  <c:v>0.13974092280000003</c:v>
                </c:pt>
                <c:pt idx="15">
                  <c:v>0.13308659314285717</c:v>
                </c:pt>
                <c:pt idx="16">
                  <c:v>0.12643226348571432</c:v>
                </c:pt>
                <c:pt idx="17">
                  <c:v>0.11977793382857146</c:v>
                </c:pt>
                <c:pt idx="18">
                  <c:v>0.11312360417142861</c:v>
                </c:pt>
                <c:pt idx="19">
                  <c:v>0.10646927451428576</c:v>
                </c:pt>
                <c:pt idx="20">
                  <c:v>9.9814944857142901E-2</c:v>
                </c:pt>
                <c:pt idx="21">
                  <c:v>9.3160615200000046E-2</c:v>
                </c:pt>
                <c:pt idx="22">
                  <c:v>8.6506285542857192E-2</c:v>
                </c:pt>
                <c:pt idx="23">
                  <c:v>7.9851955885714337E-2</c:v>
                </c:pt>
                <c:pt idx="24">
                  <c:v>7.3197626228571483E-2</c:v>
                </c:pt>
                <c:pt idx="25">
                  <c:v>6.6543296571428628E-2</c:v>
                </c:pt>
                <c:pt idx="26">
                  <c:v>5.9888966914285774E-2</c:v>
                </c:pt>
                <c:pt idx="27">
                  <c:v>5.3234637257142919E-2</c:v>
                </c:pt>
                <c:pt idx="28">
                  <c:v>4.6580307600000065E-2</c:v>
                </c:pt>
                <c:pt idx="29">
                  <c:v>4.6580307600000065E-2</c:v>
                </c:pt>
                <c:pt idx="30">
                  <c:v>4.6580307600000065E-2</c:v>
                </c:pt>
                <c:pt idx="31">
                  <c:v>4.6580307600000065E-2</c:v>
                </c:pt>
                <c:pt idx="32">
                  <c:v>4.6580307600000065E-2</c:v>
                </c:pt>
                <c:pt idx="33">
                  <c:v>4.6580307600000065E-2</c:v>
                </c:pt>
                <c:pt idx="34">
                  <c:v>4.6580307600000065E-2</c:v>
                </c:pt>
                <c:pt idx="35">
                  <c:v>4.6580307600000065E-2</c:v>
                </c:pt>
                <c:pt idx="36">
                  <c:v>4.6580307600000065E-2</c:v>
                </c:pt>
                <c:pt idx="37">
                  <c:v>4.6580307600000065E-2</c:v>
                </c:pt>
                <c:pt idx="38">
                  <c:v>4.6580307600000065E-2</c:v>
                </c:pt>
                <c:pt idx="39">
                  <c:v>4.6580307600000065E-2</c:v>
                </c:pt>
                <c:pt idx="40">
                  <c:v>4.6580307600000065E-2</c:v>
                </c:pt>
                <c:pt idx="41">
                  <c:v>4.6580307600000065E-2</c:v>
                </c:pt>
                <c:pt idx="42">
                  <c:v>4.6580307600000065E-2</c:v>
                </c:pt>
                <c:pt idx="43">
                  <c:v>4.6580307600000065E-2</c:v>
                </c:pt>
                <c:pt idx="44">
                  <c:v>4.6580307600000065E-2</c:v>
                </c:pt>
                <c:pt idx="45">
                  <c:v>4.6580307600000065E-2</c:v>
                </c:pt>
                <c:pt idx="46">
                  <c:v>4.6580307600000065E-2</c:v>
                </c:pt>
                <c:pt idx="47">
                  <c:v>4.6580307600000065E-2</c:v>
                </c:pt>
                <c:pt idx="48">
                  <c:v>4.6580307600000065E-2</c:v>
                </c:pt>
                <c:pt idx="49">
                  <c:v>4.6580307600000065E-2</c:v>
                </c:pt>
                <c:pt idx="50">
                  <c:v>4.6580307600000065E-2</c:v>
                </c:pt>
                <c:pt idx="51">
                  <c:v>4.6580307600000065E-2</c:v>
                </c:pt>
                <c:pt idx="52">
                  <c:v>4.6580307600000065E-2</c:v>
                </c:pt>
                <c:pt idx="53">
                  <c:v>4.6580307600000065E-2</c:v>
                </c:pt>
                <c:pt idx="54">
                  <c:v>4.6580307600000065E-2</c:v>
                </c:pt>
                <c:pt idx="55">
                  <c:v>4.6580307600000065E-2</c:v>
                </c:pt>
                <c:pt idx="56">
                  <c:v>4.6580307600000065E-2</c:v>
                </c:pt>
                <c:pt idx="57">
                  <c:v>4.6580307600000065E-2</c:v>
                </c:pt>
                <c:pt idx="58">
                  <c:v>4.6580307600000065E-2</c:v>
                </c:pt>
                <c:pt idx="59">
                  <c:v>4.6580307600000065E-2</c:v>
                </c:pt>
                <c:pt idx="60">
                  <c:v>4.6580307600000065E-2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8-4EDC-9103-4B8EAB11A7BE}"/>
            </c:ext>
          </c:extLst>
        </c:ser>
        <c:ser>
          <c:idx val="3"/>
          <c:order val="3"/>
          <c:tx>
            <c:strRef>
              <c:f>'80% by 2050'!$E$2</c:f>
              <c:strCache>
                <c:ptCount val="1"/>
                <c:pt idx="0">
                  <c:v>NYCW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'80% by 2050'!$E$3:$E$63</c:f>
              <c:numCache>
                <c:formatCode>General</c:formatCode>
                <c:ptCount val="61"/>
                <c:pt idx="0">
                  <c:v>0.28785425399999998</c:v>
                </c:pt>
                <c:pt idx="1">
                  <c:v>0.27962984674285712</c:v>
                </c:pt>
                <c:pt idx="2">
                  <c:v>0.27140543948571427</c:v>
                </c:pt>
                <c:pt idx="3">
                  <c:v>0.26318103222857142</c:v>
                </c:pt>
                <c:pt idx="4">
                  <c:v>0.25495662497142857</c:v>
                </c:pt>
                <c:pt idx="5">
                  <c:v>0.24673221771428572</c:v>
                </c:pt>
                <c:pt idx="6">
                  <c:v>0.23850781045714287</c:v>
                </c:pt>
                <c:pt idx="7">
                  <c:v>0.23028340320000001</c:v>
                </c:pt>
                <c:pt idx="8">
                  <c:v>0.22205899594285716</c:v>
                </c:pt>
                <c:pt idx="9">
                  <c:v>0.21383458868571431</c:v>
                </c:pt>
                <c:pt idx="10">
                  <c:v>0.20561018142857146</c:v>
                </c:pt>
                <c:pt idx="11">
                  <c:v>0.19738577417142861</c:v>
                </c:pt>
                <c:pt idx="12">
                  <c:v>0.18916136691428576</c:v>
                </c:pt>
                <c:pt idx="13">
                  <c:v>0.1809369596571429</c:v>
                </c:pt>
                <c:pt idx="14">
                  <c:v>0.17271255240000005</c:v>
                </c:pt>
                <c:pt idx="15">
                  <c:v>0.1644881451428572</c:v>
                </c:pt>
                <c:pt idx="16">
                  <c:v>0.15626373788571435</c:v>
                </c:pt>
                <c:pt idx="17">
                  <c:v>0.1480393306285715</c:v>
                </c:pt>
                <c:pt idx="18">
                  <c:v>0.13981492337142865</c:v>
                </c:pt>
                <c:pt idx="19">
                  <c:v>0.13159051611428579</c:v>
                </c:pt>
                <c:pt idx="20">
                  <c:v>0.12336610885714294</c:v>
                </c:pt>
                <c:pt idx="21">
                  <c:v>0.11514170160000009</c:v>
                </c:pt>
                <c:pt idx="22">
                  <c:v>0.10691729434285724</c:v>
                </c:pt>
                <c:pt idx="23">
                  <c:v>9.8692887085714387E-2</c:v>
                </c:pt>
                <c:pt idx="24">
                  <c:v>9.0468479828571535E-2</c:v>
                </c:pt>
                <c:pt idx="25">
                  <c:v>8.2244072571428684E-2</c:v>
                </c:pt>
                <c:pt idx="26">
                  <c:v>7.4019665314285832E-2</c:v>
                </c:pt>
                <c:pt idx="27">
                  <c:v>6.579525805714298E-2</c:v>
                </c:pt>
                <c:pt idx="28">
                  <c:v>5.7570850800000122E-2</c:v>
                </c:pt>
                <c:pt idx="29">
                  <c:v>5.7570850800000122E-2</c:v>
                </c:pt>
                <c:pt idx="30">
                  <c:v>5.7570850800000122E-2</c:v>
                </c:pt>
                <c:pt idx="31">
                  <c:v>5.7570850800000122E-2</c:v>
                </c:pt>
                <c:pt idx="32">
                  <c:v>5.7570850800000122E-2</c:v>
                </c:pt>
                <c:pt idx="33">
                  <c:v>5.7570850800000122E-2</c:v>
                </c:pt>
                <c:pt idx="34">
                  <c:v>5.7570850800000122E-2</c:v>
                </c:pt>
                <c:pt idx="35">
                  <c:v>5.7570850800000122E-2</c:v>
                </c:pt>
                <c:pt idx="36">
                  <c:v>5.7570850800000122E-2</c:v>
                </c:pt>
                <c:pt idx="37">
                  <c:v>5.7570850800000122E-2</c:v>
                </c:pt>
                <c:pt idx="38">
                  <c:v>5.7570850800000122E-2</c:v>
                </c:pt>
                <c:pt idx="39">
                  <c:v>5.7570850800000122E-2</c:v>
                </c:pt>
                <c:pt idx="40">
                  <c:v>5.7570850800000122E-2</c:v>
                </c:pt>
                <c:pt idx="41">
                  <c:v>5.7570850800000122E-2</c:v>
                </c:pt>
                <c:pt idx="42">
                  <c:v>5.7570850800000122E-2</c:v>
                </c:pt>
                <c:pt idx="43">
                  <c:v>5.7570850800000122E-2</c:v>
                </c:pt>
                <c:pt idx="44">
                  <c:v>5.7570850800000122E-2</c:v>
                </c:pt>
                <c:pt idx="45">
                  <c:v>5.7570850800000122E-2</c:v>
                </c:pt>
                <c:pt idx="46">
                  <c:v>5.7570850800000122E-2</c:v>
                </c:pt>
                <c:pt idx="47">
                  <c:v>5.7570850800000122E-2</c:v>
                </c:pt>
                <c:pt idx="48">
                  <c:v>5.7570850800000122E-2</c:v>
                </c:pt>
                <c:pt idx="49">
                  <c:v>5.7570850800000122E-2</c:v>
                </c:pt>
                <c:pt idx="50">
                  <c:v>5.7570850800000122E-2</c:v>
                </c:pt>
                <c:pt idx="51">
                  <c:v>5.7570850800000122E-2</c:v>
                </c:pt>
                <c:pt idx="52">
                  <c:v>5.7570850800000122E-2</c:v>
                </c:pt>
                <c:pt idx="53">
                  <c:v>5.7570850800000122E-2</c:v>
                </c:pt>
                <c:pt idx="54">
                  <c:v>5.7570850800000122E-2</c:v>
                </c:pt>
                <c:pt idx="55">
                  <c:v>5.7570850800000122E-2</c:v>
                </c:pt>
                <c:pt idx="56">
                  <c:v>5.7570850800000122E-2</c:v>
                </c:pt>
                <c:pt idx="57">
                  <c:v>5.7570850800000122E-2</c:v>
                </c:pt>
                <c:pt idx="58">
                  <c:v>5.7570850800000122E-2</c:v>
                </c:pt>
                <c:pt idx="59">
                  <c:v>5.7570850800000122E-2</c:v>
                </c:pt>
                <c:pt idx="60">
                  <c:v>5.7570850800000122E-2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B8-4EDC-9103-4B8EAB11A7BE}"/>
            </c:ext>
          </c:extLst>
        </c:ser>
        <c:ser>
          <c:idx val="4"/>
          <c:order val="4"/>
          <c:tx>
            <c:strRef>
              <c:f>'80% by 2050'!$F$2</c:f>
              <c:strCache>
                <c:ptCount val="1"/>
                <c:pt idx="0">
                  <c:v>NYUP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'80% by 2050'!$F$3:$F$63</c:f>
              <c:numCache>
                <c:formatCode>General</c:formatCode>
                <c:ptCount val="61"/>
                <c:pt idx="0">
                  <c:v>0.10591835400000001</c:v>
                </c:pt>
                <c:pt idx="1">
                  <c:v>0.10289211531428571</c:v>
                </c:pt>
                <c:pt idx="2">
                  <c:v>9.9865876628571423E-2</c:v>
                </c:pt>
                <c:pt idx="3">
                  <c:v>9.6839637942857132E-2</c:v>
                </c:pt>
                <c:pt idx="4">
                  <c:v>9.381339925714284E-2</c:v>
                </c:pt>
                <c:pt idx="5">
                  <c:v>9.0787160571428549E-2</c:v>
                </c:pt>
                <c:pt idx="6">
                  <c:v>8.7760921885714258E-2</c:v>
                </c:pt>
                <c:pt idx="7">
                  <c:v>8.4734683199999966E-2</c:v>
                </c:pt>
                <c:pt idx="8">
                  <c:v>8.1708444514285675E-2</c:v>
                </c:pt>
                <c:pt idx="9">
                  <c:v>7.8682205828571383E-2</c:v>
                </c:pt>
                <c:pt idx="10">
                  <c:v>7.5655967142857092E-2</c:v>
                </c:pt>
                <c:pt idx="11">
                  <c:v>7.26297284571428E-2</c:v>
                </c:pt>
                <c:pt idx="12">
                  <c:v>6.9603489771428509E-2</c:v>
                </c:pt>
                <c:pt idx="13">
                  <c:v>6.6577251085714217E-2</c:v>
                </c:pt>
                <c:pt idx="14">
                  <c:v>6.3551012399999926E-2</c:v>
                </c:pt>
                <c:pt idx="15">
                  <c:v>6.0524773714285642E-2</c:v>
                </c:pt>
                <c:pt idx="16">
                  <c:v>5.7498535028571357E-2</c:v>
                </c:pt>
                <c:pt idx="17">
                  <c:v>5.4472296342857073E-2</c:v>
                </c:pt>
                <c:pt idx="18">
                  <c:v>5.1446057657142788E-2</c:v>
                </c:pt>
                <c:pt idx="19">
                  <c:v>4.8419818971428503E-2</c:v>
                </c:pt>
                <c:pt idx="20">
                  <c:v>4.5393580285714219E-2</c:v>
                </c:pt>
                <c:pt idx="21">
                  <c:v>4.2367341599999934E-2</c:v>
                </c:pt>
                <c:pt idx="22">
                  <c:v>3.934110291428565E-2</c:v>
                </c:pt>
                <c:pt idx="23">
                  <c:v>3.6314864228571365E-2</c:v>
                </c:pt>
                <c:pt idx="24">
                  <c:v>3.3288625542857081E-2</c:v>
                </c:pt>
                <c:pt idx="25">
                  <c:v>3.0262386857142796E-2</c:v>
                </c:pt>
                <c:pt idx="26">
                  <c:v>2.7236148171428512E-2</c:v>
                </c:pt>
                <c:pt idx="27">
                  <c:v>2.4209909485714227E-2</c:v>
                </c:pt>
                <c:pt idx="28">
                  <c:v>2.1183670799999943E-2</c:v>
                </c:pt>
                <c:pt idx="29">
                  <c:v>2.1183670799999943E-2</c:v>
                </c:pt>
                <c:pt idx="30">
                  <c:v>2.1183670799999943E-2</c:v>
                </c:pt>
                <c:pt idx="31">
                  <c:v>2.1183670799999943E-2</c:v>
                </c:pt>
                <c:pt idx="32">
                  <c:v>2.1183670799999943E-2</c:v>
                </c:pt>
                <c:pt idx="33">
                  <c:v>2.1183670799999943E-2</c:v>
                </c:pt>
                <c:pt idx="34">
                  <c:v>2.1183670799999943E-2</c:v>
                </c:pt>
                <c:pt idx="35">
                  <c:v>2.1183670799999943E-2</c:v>
                </c:pt>
                <c:pt idx="36">
                  <c:v>2.1183670799999943E-2</c:v>
                </c:pt>
                <c:pt idx="37">
                  <c:v>2.1183670799999943E-2</c:v>
                </c:pt>
                <c:pt idx="38">
                  <c:v>2.1183670799999943E-2</c:v>
                </c:pt>
                <c:pt idx="39">
                  <c:v>2.1183670799999943E-2</c:v>
                </c:pt>
                <c:pt idx="40">
                  <c:v>2.1183670799999943E-2</c:v>
                </c:pt>
                <c:pt idx="41">
                  <c:v>2.1183670799999943E-2</c:v>
                </c:pt>
                <c:pt idx="42">
                  <c:v>2.1183670799999943E-2</c:v>
                </c:pt>
                <c:pt idx="43">
                  <c:v>2.1183670799999943E-2</c:v>
                </c:pt>
                <c:pt idx="44">
                  <c:v>2.1183670799999943E-2</c:v>
                </c:pt>
                <c:pt idx="45">
                  <c:v>2.1183670799999943E-2</c:v>
                </c:pt>
                <c:pt idx="46">
                  <c:v>2.1183670799999943E-2</c:v>
                </c:pt>
                <c:pt idx="47">
                  <c:v>2.1183670799999943E-2</c:v>
                </c:pt>
                <c:pt idx="48">
                  <c:v>2.1183670799999943E-2</c:v>
                </c:pt>
                <c:pt idx="49">
                  <c:v>2.1183670799999943E-2</c:v>
                </c:pt>
                <c:pt idx="50">
                  <c:v>2.1183670799999943E-2</c:v>
                </c:pt>
                <c:pt idx="51">
                  <c:v>2.1183670799999943E-2</c:v>
                </c:pt>
                <c:pt idx="52">
                  <c:v>2.1183670799999943E-2</c:v>
                </c:pt>
                <c:pt idx="53">
                  <c:v>2.1183670799999943E-2</c:v>
                </c:pt>
                <c:pt idx="54">
                  <c:v>2.1183670799999943E-2</c:v>
                </c:pt>
                <c:pt idx="55">
                  <c:v>2.1183670799999943E-2</c:v>
                </c:pt>
                <c:pt idx="56">
                  <c:v>2.1183670799999943E-2</c:v>
                </c:pt>
                <c:pt idx="57">
                  <c:v>2.1183670799999943E-2</c:v>
                </c:pt>
                <c:pt idx="58">
                  <c:v>2.1183670799999943E-2</c:v>
                </c:pt>
                <c:pt idx="59">
                  <c:v>2.1183670799999943E-2</c:v>
                </c:pt>
                <c:pt idx="60">
                  <c:v>2.1183670799999943E-2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B8-4EDC-9103-4B8EAB11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258016"/>
        <c:axId val="2016250528"/>
      </c:lineChart>
      <c:catAx>
        <c:axId val="20162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0528"/>
        <c:crosses val="autoZero"/>
        <c:auto val="0"/>
        <c:lblAlgn val="ctr"/>
        <c:lblOffset val="100"/>
        <c:tickLblSkip val="5"/>
        <c:noMultiLvlLbl val="0"/>
      </c:catAx>
      <c:valAx>
        <c:axId val="20162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by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'100% by 2050'!$B$2</c:f>
              <c:strCache>
                <c:ptCount val="1"/>
                <c:pt idx="0">
                  <c:v>US-Average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'100% by 2050'!$B$3:$B$63</c:f>
              <c:numCache>
                <c:formatCode>General</c:formatCode>
                <c:ptCount val="61"/>
                <c:pt idx="0">
                  <c:v>0.37117</c:v>
                </c:pt>
                <c:pt idx="1">
                  <c:v>0.35791392857142856</c:v>
                </c:pt>
                <c:pt idx="2">
                  <c:v>0.34465785714285713</c:v>
                </c:pt>
                <c:pt idx="3">
                  <c:v>0.33140178571428569</c:v>
                </c:pt>
                <c:pt idx="4">
                  <c:v>0.31814571428571425</c:v>
                </c:pt>
                <c:pt idx="5">
                  <c:v>0.30488964285714282</c:v>
                </c:pt>
                <c:pt idx="6">
                  <c:v>0.29163357142857138</c:v>
                </c:pt>
                <c:pt idx="7">
                  <c:v>0.27837749999999994</c:v>
                </c:pt>
                <c:pt idx="8">
                  <c:v>0.26512142857142851</c:v>
                </c:pt>
                <c:pt idx="9">
                  <c:v>0.25186535714285707</c:v>
                </c:pt>
                <c:pt idx="10">
                  <c:v>0.23860928571428563</c:v>
                </c:pt>
                <c:pt idx="11">
                  <c:v>0.2253532142857142</c:v>
                </c:pt>
                <c:pt idx="12">
                  <c:v>0.21209714285714276</c:v>
                </c:pt>
                <c:pt idx="13">
                  <c:v>0.19884107142857133</c:v>
                </c:pt>
                <c:pt idx="14">
                  <c:v>0.18558499999999989</c:v>
                </c:pt>
                <c:pt idx="15">
                  <c:v>0.17232892857142845</c:v>
                </c:pt>
                <c:pt idx="16">
                  <c:v>0.15907285714285702</c:v>
                </c:pt>
                <c:pt idx="17">
                  <c:v>0.14581678571428558</c:v>
                </c:pt>
                <c:pt idx="18">
                  <c:v>0.13256071428571414</c:v>
                </c:pt>
                <c:pt idx="19">
                  <c:v>0.11930464285714272</c:v>
                </c:pt>
                <c:pt idx="20">
                  <c:v>0.1060485714285713</c:v>
                </c:pt>
                <c:pt idx="21">
                  <c:v>9.2792499999999875E-2</c:v>
                </c:pt>
                <c:pt idx="22">
                  <c:v>7.9536428571428452E-2</c:v>
                </c:pt>
                <c:pt idx="23">
                  <c:v>6.628035714285703E-2</c:v>
                </c:pt>
                <c:pt idx="24">
                  <c:v>5.30242857142856E-2</c:v>
                </c:pt>
                <c:pt idx="25">
                  <c:v>3.9768214285714171E-2</c:v>
                </c:pt>
                <c:pt idx="26">
                  <c:v>2.6512142857142741E-2</c:v>
                </c:pt>
                <c:pt idx="27">
                  <c:v>1.3256071428571313E-2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6-4FB6-B7E4-A6B9053631CF}"/>
            </c:ext>
          </c:extLst>
        </c:ser>
        <c:ser>
          <c:idx val="1"/>
          <c:order val="1"/>
          <c:tx>
            <c:strRef>
              <c:f>'100% by 2050'!$C$2</c:f>
              <c:strCache>
                <c:ptCount val="1"/>
                <c:pt idx="0">
                  <c:v>FRCC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'100% by 2050'!$C$3:$C$63</c:f>
              <c:numCache>
                <c:formatCode>General</c:formatCode>
                <c:ptCount val="61"/>
                <c:pt idx="0">
                  <c:v>0.378785916</c:v>
                </c:pt>
                <c:pt idx="1">
                  <c:v>0.3652578475714286</c:v>
                </c:pt>
                <c:pt idx="2">
                  <c:v>0.35172977914285719</c:v>
                </c:pt>
                <c:pt idx="3">
                  <c:v>0.33820171071428579</c:v>
                </c:pt>
                <c:pt idx="4">
                  <c:v>0.32467364228571438</c:v>
                </c:pt>
                <c:pt idx="5">
                  <c:v>0.31114557385714298</c:v>
                </c:pt>
                <c:pt idx="6">
                  <c:v>0.29761750542857157</c:v>
                </c:pt>
                <c:pt idx="7">
                  <c:v>0.28408943700000017</c:v>
                </c:pt>
                <c:pt idx="8">
                  <c:v>0.27056136857142876</c:v>
                </c:pt>
                <c:pt idx="9">
                  <c:v>0.25703330014285736</c:v>
                </c:pt>
                <c:pt idx="10">
                  <c:v>0.24350523171428592</c:v>
                </c:pt>
                <c:pt idx="11">
                  <c:v>0.22997716328571449</c:v>
                </c:pt>
                <c:pt idx="12">
                  <c:v>0.21644909485714306</c:v>
                </c:pt>
                <c:pt idx="13">
                  <c:v>0.20292102642857163</c:v>
                </c:pt>
                <c:pt idx="14">
                  <c:v>0.18939295800000019</c:v>
                </c:pt>
                <c:pt idx="15">
                  <c:v>0.17586488957142876</c:v>
                </c:pt>
                <c:pt idx="16">
                  <c:v>0.16233682114285733</c:v>
                </c:pt>
                <c:pt idx="17">
                  <c:v>0.1488087527142859</c:v>
                </c:pt>
                <c:pt idx="18">
                  <c:v>0.13528068428571446</c:v>
                </c:pt>
                <c:pt idx="19">
                  <c:v>0.12175261585714303</c:v>
                </c:pt>
                <c:pt idx="20">
                  <c:v>0.1082245474285716</c:v>
                </c:pt>
                <c:pt idx="21">
                  <c:v>9.4696479000000167E-2</c:v>
                </c:pt>
                <c:pt idx="22">
                  <c:v>8.1168410571428734E-2</c:v>
                </c:pt>
                <c:pt idx="23">
                  <c:v>6.7640342142857302E-2</c:v>
                </c:pt>
                <c:pt idx="24">
                  <c:v>5.4112273714285869E-2</c:v>
                </c:pt>
                <c:pt idx="25">
                  <c:v>4.0584205285714436E-2</c:v>
                </c:pt>
                <c:pt idx="26">
                  <c:v>2.7056136857143007E-2</c:v>
                </c:pt>
                <c:pt idx="27">
                  <c:v>1.3528068428571578E-2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6-4FB6-B7E4-A6B9053631CF}"/>
            </c:ext>
          </c:extLst>
        </c:ser>
        <c:ser>
          <c:idx val="2"/>
          <c:order val="2"/>
          <c:tx>
            <c:strRef>
              <c:f>'100% by 2050'!$D$2</c:f>
              <c:strCache>
                <c:ptCount val="1"/>
                <c:pt idx="0">
                  <c:v>CAMX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'100% by 2050'!$D$3:$D$63</c:f>
              <c:numCache>
                <c:formatCode>General</c:formatCode>
                <c:ptCount val="61"/>
                <c:pt idx="0">
                  <c:v>0.23290153799999999</c:v>
                </c:pt>
                <c:pt idx="1">
                  <c:v>0.22458362592857142</c:v>
                </c:pt>
                <c:pt idx="2">
                  <c:v>0.21626571385714286</c:v>
                </c:pt>
                <c:pt idx="3">
                  <c:v>0.20794780178571429</c:v>
                </c:pt>
                <c:pt idx="4">
                  <c:v>0.19962988971428572</c:v>
                </c:pt>
                <c:pt idx="5">
                  <c:v>0.19131197764285715</c:v>
                </c:pt>
                <c:pt idx="6">
                  <c:v>0.18299406557142858</c:v>
                </c:pt>
                <c:pt idx="7">
                  <c:v>0.17467615350000001</c:v>
                </c:pt>
                <c:pt idx="8">
                  <c:v>0.16635824142857145</c:v>
                </c:pt>
                <c:pt idx="9">
                  <c:v>0.15804032935714288</c:v>
                </c:pt>
                <c:pt idx="10">
                  <c:v>0.14972241728571431</c:v>
                </c:pt>
                <c:pt idx="11">
                  <c:v>0.14140450521428574</c:v>
                </c:pt>
                <c:pt idx="12">
                  <c:v>0.13308659314285717</c:v>
                </c:pt>
                <c:pt idx="13">
                  <c:v>0.12476868107142861</c:v>
                </c:pt>
                <c:pt idx="14">
                  <c:v>0.11645076900000004</c:v>
                </c:pt>
                <c:pt idx="15">
                  <c:v>0.10813285692857147</c:v>
                </c:pt>
                <c:pt idx="16">
                  <c:v>9.9814944857142901E-2</c:v>
                </c:pt>
                <c:pt idx="17">
                  <c:v>9.1497032785714333E-2</c:v>
                </c:pt>
                <c:pt idx="18">
                  <c:v>8.3179120714285765E-2</c:v>
                </c:pt>
                <c:pt idx="19">
                  <c:v>7.4861208642857197E-2</c:v>
                </c:pt>
                <c:pt idx="20">
                  <c:v>6.6543296571428628E-2</c:v>
                </c:pt>
                <c:pt idx="21">
                  <c:v>5.822538450000006E-2</c:v>
                </c:pt>
                <c:pt idx="22">
                  <c:v>4.9907472428571492E-2</c:v>
                </c:pt>
                <c:pt idx="23">
                  <c:v>4.1589560357142924E-2</c:v>
                </c:pt>
                <c:pt idx="24">
                  <c:v>3.3271648285714356E-2</c:v>
                </c:pt>
                <c:pt idx="25">
                  <c:v>2.4953736214285784E-2</c:v>
                </c:pt>
                <c:pt idx="26">
                  <c:v>1.6635824142857213E-2</c:v>
                </c:pt>
                <c:pt idx="27">
                  <c:v>8.317912071428641E-3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46-4FB6-B7E4-A6B9053631CF}"/>
            </c:ext>
          </c:extLst>
        </c:ser>
        <c:ser>
          <c:idx val="3"/>
          <c:order val="3"/>
          <c:tx>
            <c:strRef>
              <c:f>'100% by 2050'!$E$2</c:f>
              <c:strCache>
                <c:ptCount val="1"/>
                <c:pt idx="0">
                  <c:v>NYCW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'100% by 2050'!$E$3:$E$63</c:f>
              <c:numCache>
                <c:formatCode>General</c:formatCode>
                <c:ptCount val="61"/>
                <c:pt idx="0">
                  <c:v>0.28785425399999998</c:v>
                </c:pt>
                <c:pt idx="1">
                  <c:v>0.2775737449285714</c:v>
                </c:pt>
                <c:pt idx="2">
                  <c:v>0.26729323585714282</c:v>
                </c:pt>
                <c:pt idx="3">
                  <c:v>0.25701272678571424</c:v>
                </c:pt>
                <c:pt idx="4">
                  <c:v>0.24673221771428566</c:v>
                </c:pt>
                <c:pt idx="5">
                  <c:v>0.23645170864285708</c:v>
                </c:pt>
                <c:pt idx="6">
                  <c:v>0.22617119957142851</c:v>
                </c:pt>
                <c:pt idx="7">
                  <c:v>0.21589069049999993</c:v>
                </c:pt>
                <c:pt idx="8">
                  <c:v>0.20561018142857135</c:v>
                </c:pt>
                <c:pt idx="9">
                  <c:v>0.19532967235714277</c:v>
                </c:pt>
                <c:pt idx="10">
                  <c:v>0.18504916328571419</c:v>
                </c:pt>
                <c:pt idx="11">
                  <c:v>0.17476865421428561</c:v>
                </c:pt>
                <c:pt idx="12">
                  <c:v>0.16448814514285703</c:v>
                </c:pt>
                <c:pt idx="13">
                  <c:v>0.15420763607142846</c:v>
                </c:pt>
                <c:pt idx="14">
                  <c:v>0.14392712699999988</c:v>
                </c:pt>
                <c:pt idx="15">
                  <c:v>0.1336466179285713</c:v>
                </c:pt>
                <c:pt idx="16">
                  <c:v>0.12336610885714273</c:v>
                </c:pt>
                <c:pt idx="17">
                  <c:v>0.11308559978571417</c:v>
                </c:pt>
                <c:pt idx="18">
                  <c:v>0.1028050907142856</c:v>
                </c:pt>
                <c:pt idx="19">
                  <c:v>9.252458164285704E-2</c:v>
                </c:pt>
                <c:pt idx="20">
                  <c:v>8.2244072571428475E-2</c:v>
                </c:pt>
                <c:pt idx="21">
                  <c:v>7.1963563499999911E-2</c:v>
                </c:pt>
                <c:pt idx="22">
                  <c:v>6.1683054428571339E-2</c:v>
                </c:pt>
                <c:pt idx="23">
                  <c:v>5.1402545357142768E-2</c:v>
                </c:pt>
                <c:pt idx="24">
                  <c:v>4.1122036285714196E-2</c:v>
                </c:pt>
                <c:pt idx="25">
                  <c:v>3.0841527214285624E-2</c:v>
                </c:pt>
                <c:pt idx="26">
                  <c:v>2.0561018142857053E-2</c:v>
                </c:pt>
                <c:pt idx="27">
                  <c:v>1.0280509071428483E-2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46-4FB6-B7E4-A6B9053631CF}"/>
            </c:ext>
          </c:extLst>
        </c:ser>
        <c:ser>
          <c:idx val="4"/>
          <c:order val="4"/>
          <c:tx>
            <c:strRef>
              <c:f>'100% by 2050'!$F$2</c:f>
              <c:strCache>
                <c:ptCount val="1"/>
                <c:pt idx="0">
                  <c:v>NYUP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'100% by 2050'!$F$3:$F$63</c:f>
              <c:numCache>
                <c:formatCode>General</c:formatCode>
                <c:ptCount val="61"/>
                <c:pt idx="0">
                  <c:v>0.10591835400000001</c:v>
                </c:pt>
                <c:pt idx="1">
                  <c:v>0.10213555564285715</c:v>
                </c:pt>
                <c:pt idx="2">
                  <c:v>9.8352757285714285E-2</c:v>
                </c:pt>
                <c:pt idx="3">
                  <c:v>9.4569958928571424E-2</c:v>
                </c:pt>
                <c:pt idx="4">
                  <c:v>9.0787160571428563E-2</c:v>
                </c:pt>
                <c:pt idx="5">
                  <c:v>8.7004362214285702E-2</c:v>
                </c:pt>
                <c:pt idx="6">
                  <c:v>8.3221563857142841E-2</c:v>
                </c:pt>
                <c:pt idx="7">
                  <c:v>7.943876549999998E-2</c:v>
                </c:pt>
                <c:pt idx="8">
                  <c:v>7.565596714285712E-2</c:v>
                </c:pt>
                <c:pt idx="9">
                  <c:v>7.1873168785714259E-2</c:v>
                </c:pt>
                <c:pt idx="10">
                  <c:v>6.8090370428571398E-2</c:v>
                </c:pt>
                <c:pt idx="11">
                  <c:v>6.4307572071428537E-2</c:v>
                </c:pt>
                <c:pt idx="12">
                  <c:v>6.0524773714285676E-2</c:v>
                </c:pt>
                <c:pt idx="13">
                  <c:v>5.6741975357142815E-2</c:v>
                </c:pt>
                <c:pt idx="14">
                  <c:v>5.2959176999999955E-2</c:v>
                </c:pt>
                <c:pt idx="15">
                  <c:v>4.9176378642857094E-2</c:v>
                </c:pt>
                <c:pt idx="16">
                  <c:v>4.5393580285714233E-2</c:v>
                </c:pt>
                <c:pt idx="17">
                  <c:v>4.1610781928571372E-2</c:v>
                </c:pt>
                <c:pt idx="18">
                  <c:v>3.7827983571428511E-2</c:v>
                </c:pt>
                <c:pt idx="19">
                  <c:v>3.404518521428565E-2</c:v>
                </c:pt>
                <c:pt idx="20">
                  <c:v>3.0262386857142793E-2</c:v>
                </c:pt>
                <c:pt idx="21">
                  <c:v>2.6479588499999936E-2</c:v>
                </c:pt>
                <c:pt idx="22">
                  <c:v>2.2696790142857078E-2</c:v>
                </c:pt>
                <c:pt idx="23">
                  <c:v>1.8913991785714221E-2</c:v>
                </c:pt>
                <c:pt idx="24">
                  <c:v>1.5131193428571364E-2</c:v>
                </c:pt>
                <c:pt idx="25">
                  <c:v>1.1348395071428506E-2</c:v>
                </c:pt>
                <c:pt idx="26">
                  <c:v>7.5655967142856488E-3</c:v>
                </c:pt>
                <c:pt idx="27">
                  <c:v>3.7827983571427914E-3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46-4FB6-B7E4-A6B905363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438512"/>
        <c:axId val="2031454320"/>
      </c:lineChart>
      <c:catAx>
        <c:axId val="20314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54320"/>
        <c:crosses val="autoZero"/>
        <c:auto val="1"/>
        <c:lblAlgn val="ctr"/>
        <c:lblOffset val="100"/>
        <c:noMultiLvlLbl val="0"/>
      </c:catAx>
      <c:valAx>
        <c:axId val="2031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3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'Base - Gas'!$A$2</c:f>
              <c:strCache>
                <c:ptCount val="1"/>
                <c:pt idx="0">
                  <c:v>SFE - 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'Base - Gas'!$B$1:$E$1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'Base - Gas'!$B$2:$E$2</c:f>
              <c:numCache>
                <c:formatCode>#,##0.00</c:formatCode>
                <c:ptCount val="4"/>
                <c:pt idx="0">
                  <c:v>405.76596678377535</c:v>
                </c:pt>
                <c:pt idx="1">
                  <c:v>407.2460370488663</c:v>
                </c:pt>
                <c:pt idx="2">
                  <c:v>409.08383966783788</c:v>
                </c:pt>
                <c:pt idx="3">
                  <c:v>409.08371830086247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D-47B3-B0E6-E26EF563B031}"/>
            </c:ext>
          </c:extLst>
        </c:ser>
        <c:ser>
          <c:idx val="1"/>
          <c:order val="1"/>
          <c:tx>
            <c:strRef>
              <c:f>'Base - Gas'!$A$4</c:f>
              <c:strCache>
                <c:ptCount val="1"/>
                <c:pt idx="0">
                  <c:v>MEP - EC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'Base - Gas'!$B$1:$E$1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'Base - Gas'!$B$4:$E$4</c:f>
              <c:numCache>
                <c:formatCode>#,##0.00</c:formatCode>
                <c:ptCount val="4"/>
                <c:pt idx="0">
                  <c:v>186.38959287767483</c:v>
                </c:pt>
                <c:pt idx="1">
                  <c:v>186.38959287767486</c:v>
                </c:pt>
                <c:pt idx="2">
                  <c:v>185.14821632066429</c:v>
                </c:pt>
                <c:pt idx="3">
                  <c:v>185.14821632066429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D-47B3-B0E6-E26EF563B031}"/>
            </c:ext>
          </c:extLst>
        </c:ser>
        <c:ser>
          <c:idx val="2"/>
          <c:order val="2"/>
          <c:tx>
            <c:strRef>
              <c:f>'Base - Gas'!$A$3</c:f>
              <c:strCache>
                <c:ptCount val="1"/>
                <c:pt idx="0">
                  <c:v>Refrigerants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'Base - Gas'!$B$3:$E$3</c:f>
              <c:numCache>
                <c:formatCode>#,##0.00</c:formatCode>
                <c:ptCount val="4"/>
                <c:pt idx="0">
                  <c:v>365.60359952178851</c:v>
                </c:pt>
                <c:pt idx="1">
                  <c:v>365.60359952178851</c:v>
                </c:pt>
                <c:pt idx="2">
                  <c:v>365.60359952178851</c:v>
                </c:pt>
                <c:pt idx="3">
                  <c:v>365.60359952178851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7-4F3C-81F2-D0292912B6B6}"/>
            </c:ext>
          </c:extLst>
        </c:ser>
        <c:ser>
          <c:idx val="4"/>
          <c:order val="3"/>
          <c:tx>
            <c:strRef>
              <c:f>'Base - Gas'!$A$12</c:f>
              <c:strCache>
                <c:ptCount val="1"/>
                <c:pt idx="0">
                  <c:v>Total - OC (kgCO2e) - Raw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 - Gas'!$B$1:$E$1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'Base - Gas'!$B$12:$E$12</c:f>
            </c:numRef>
          </c:val>
          <c:extLst>
            <c:ext xmlns:c16="http://schemas.microsoft.com/office/drawing/2014/chart" uri="{C3380CC4-5D6E-409C-BE32-E72D297353CC}">
              <c16:uniqueId val="{00000005-91CD-47B3-B0E6-E26EF563B031}"/>
            </c:ext>
          </c:extLst>
        </c:ser>
        <c:ser>
          <c:idx val="3"/>
          <c:order val="4"/>
          <c:tx>
            <c:strRef>
              <c:f>'Base - Gas'!$A$13</c:f>
              <c:strCache>
                <c:ptCount val="1"/>
                <c:pt idx="0">
                  <c:v>Total - OC (kgCO2e)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'Base - Gas'!$B$13:$E$13</c:f>
              <c:numCache>
                <c:formatCode>#,##0.00</c:formatCode>
                <c:ptCount val="4"/>
                <c:pt idx="0">
                  <c:v>1632.6871921244015</c:v>
                </c:pt>
                <c:pt idx="1">
                  <c:v>1376.2392312560107</c:v>
                </c:pt>
                <c:pt idx="2">
                  <c:v>2189.6809033896939</c:v>
                </c:pt>
                <c:pt idx="3">
                  <c:v>2399.6051095447192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6-4C82-8D5B-C101DEB7A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97455"/>
        <c:axId val="126804111"/>
      </c:barChart>
      <c:catAx>
        <c:axId val="12679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Climate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4111"/>
        <c:crosses val="autoZero"/>
        <c:auto val="1"/>
        <c:lblAlgn val="ctr"/>
        <c:lblOffset val="100"/>
        <c:noMultiLvlLbl val="0"/>
      </c:catAx>
      <c:valAx>
        <c:axId val="1268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kgCO2e/m2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50% by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'50% by 2050'!$B$2</c:f>
              <c:strCache>
                <c:ptCount val="1"/>
                <c:pt idx="0">
                  <c:v>US-Average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'50% by 2050'!$B$3:$B$63</c:f>
              <c:numCache>
                <c:formatCode>General</c:formatCode>
                <c:ptCount val="61"/>
                <c:pt idx="0">
                  <c:v>0.37117</c:v>
                </c:pt>
                <c:pt idx="1">
                  <c:v>0.36454196428571428</c:v>
                </c:pt>
                <c:pt idx="2">
                  <c:v>0.35791392857142856</c:v>
                </c:pt>
                <c:pt idx="3">
                  <c:v>0.35128589285714285</c:v>
                </c:pt>
                <c:pt idx="4">
                  <c:v>0.34465785714285713</c:v>
                </c:pt>
                <c:pt idx="5">
                  <c:v>0.33802982142857141</c:v>
                </c:pt>
                <c:pt idx="6">
                  <c:v>0.33140178571428569</c:v>
                </c:pt>
                <c:pt idx="7">
                  <c:v>0.32477374999999997</c:v>
                </c:pt>
                <c:pt idx="8">
                  <c:v>0.31814571428571425</c:v>
                </c:pt>
                <c:pt idx="9">
                  <c:v>0.31151767857142854</c:v>
                </c:pt>
                <c:pt idx="10">
                  <c:v>0.30488964285714282</c:v>
                </c:pt>
                <c:pt idx="11">
                  <c:v>0.2982616071428571</c:v>
                </c:pt>
                <c:pt idx="12">
                  <c:v>0.29163357142857138</c:v>
                </c:pt>
                <c:pt idx="13">
                  <c:v>0.28500553571428566</c:v>
                </c:pt>
                <c:pt idx="14">
                  <c:v>0.27837749999999994</c:v>
                </c:pt>
                <c:pt idx="15">
                  <c:v>0.27174946428571423</c:v>
                </c:pt>
                <c:pt idx="16">
                  <c:v>0.26512142857142851</c:v>
                </c:pt>
                <c:pt idx="17">
                  <c:v>0.25849339285714279</c:v>
                </c:pt>
                <c:pt idx="18">
                  <c:v>0.25186535714285707</c:v>
                </c:pt>
                <c:pt idx="19">
                  <c:v>0.24523732142857135</c:v>
                </c:pt>
                <c:pt idx="20">
                  <c:v>0.23860928571428563</c:v>
                </c:pt>
                <c:pt idx="21">
                  <c:v>0.23198124999999992</c:v>
                </c:pt>
                <c:pt idx="22">
                  <c:v>0.2253532142857142</c:v>
                </c:pt>
                <c:pt idx="23">
                  <c:v>0.21872517857142848</c:v>
                </c:pt>
                <c:pt idx="24">
                  <c:v>0.21209714285714276</c:v>
                </c:pt>
                <c:pt idx="25">
                  <c:v>0.20546910714285704</c:v>
                </c:pt>
                <c:pt idx="26">
                  <c:v>0.19884107142857133</c:v>
                </c:pt>
                <c:pt idx="27">
                  <c:v>0.19221303571428561</c:v>
                </c:pt>
                <c:pt idx="28">
                  <c:v>0.18558499999999989</c:v>
                </c:pt>
                <c:pt idx="29">
                  <c:v>0.18558499999999989</c:v>
                </c:pt>
                <c:pt idx="30">
                  <c:v>0.18558499999999989</c:v>
                </c:pt>
                <c:pt idx="31">
                  <c:v>0.18558499999999989</c:v>
                </c:pt>
                <c:pt idx="32">
                  <c:v>0.18558499999999989</c:v>
                </c:pt>
                <c:pt idx="33">
                  <c:v>0.18558499999999989</c:v>
                </c:pt>
                <c:pt idx="34">
                  <c:v>0.18558499999999989</c:v>
                </c:pt>
                <c:pt idx="35">
                  <c:v>0.18558499999999989</c:v>
                </c:pt>
                <c:pt idx="36">
                  <c:v>0.18558499999999989</c:v>
                </c:pt>
                <c:pt idx="37">
                  <c:v>0.18558499999999989</c:v>
                </c:pt>
                <c:pt idx="38">
                  <c:v>0.18558499999999989</c:v>
                </c:pt>
                <c:pt idx="39">
                  <c:v>0.18558499999999989</c:v>
                </c:pt>
                <c:pt idx="40">
                  <c:v>0.18558499999999989</c:v>
                </c:pt>
                <c:pt idx="41">
                  <c:v>0.18558499999999989</c:v>
                </c:pt>
                <c:pt idx="42">
                  <c:v>0.18558499999999989</c:v>
                </c:pt>
                <c:pt idx="43">
                  <c:v>0.18558499999999989</c:v>
                </c:pt>
                <c:pt idx="44">
                  <c:v>0.18558499999999989</c:v>
                </c:pt>
                <c:pt idx="45">
                  <c:v>0.18558499999999989</c:v>
                </c:pt>
                <c:pt idx="46">
                  <c:v>0.18558499999999989</c:v>
                </c:pt>
                <c:pt idx="47">
                  <c:v>0.18558499999999989</c:v>
                </c:pt>
                <c:pt idx="48">
                  <c:v>0.18558499999999989</c:v>
                </c:pt>
                <c:pt idx="49">
                  <c:v>0.18558499999999989</c:v>
                </c:pt>
                <c:pt idx="50">
                  <c:v>0.18558499999999989</c:v>
                </c:pt>
                <c:pt idx="51">
                  <c:v>0.18558499999999989</c:v>
                </c:pt>
                <c:pt idx="52">
                  <c:v>0.18558499999999989</c:v>
                </c:pt>
                <c:pt idx="53">
                  <c:v>0.18558499999999989</c:v>
                </c:pt>
                <c:pt idx="54">
                  <c:v>0.18558499999999989</c:v>
                </c:pt>
                <c:pt idx="55">
                  <c:v>0.18558499999999989</c:v>
                </c:pt>
                <c:pt idx="56">
                  <c:v>0.18558499999999989</c:v>
                </c:pt>
                <c:pt idx="57">
                  <c:v>0.18558499999999989</c:v>
                </c:pt>
                <c:pt idx="58">
                  <c:v>0.18558499999999989</c:v>
                </c:pt>
                <c:pt idx="59">
                  <c:v>0.18558499999999989</c:v>
                </c:pt>
                <c:pt idx="60">
                  <c:v>0.18558499999999989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4-4D9D-824B-6E56ED56CEB0}"/>
            </c:ext>
          </c:extLst>
        </c:ser>
        <c:ser>
          <c:idx val="1"/>
          <c:order val="1"/>
          <c:tx>
            <c:strRef>
              <c:f>'50% by 2050'!$C$2</c:f>
              <c:strCache>
                <c:ptCount val="1"/>
                <c:pt idx="0">
                  <c:v>FRCC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'50% by 2050'!$C$3:$C$63</c:f>
              <c:numCache>
                <c:formatCode>General</c:formatCode>
                <c:ptCount val="61"/>
                <c:pt idx="0">
                  <c:v>0.378785916</c:v>
                </c:pt>
                <c:pt idx="1">
                  <c:v>0.37202188178571427</c:v>
                </c:pt>
                <c:pt idx="2">
                  <c:v>0.36525784757142854</c:v>
                </c:pt>
                <c:pt idx="3">
                  <c:v>0.35849381335714281</c:v>
                </c:pt>
                <c:pt idx="4">
                  <c:v>0.35172977914285708</c:v>
                </c:pt>
                <c:pt idx="5">
                  <c:v>0.34496574492857135</c:v>
                </c:pt>
                <c:pt idx="6">
                  <c:v>0.33820171071428562</c:v>
                </c:pt>
                <c:pt idx="7">
                  <c:v>0.33143767649999989</c:v>
                </c:pt>
                <c:pt idx="8">
                  <c:v>0.32467364228571416</c:v>
                </c:pt>
                <c:pt idx="9">
                  <c:v>0.31790960807142843</c:v>
                </c:pt>
                <c:pt idx="10">
                  <c:v>0.3111455738571427</c:v>
                </c:pt>
                <c:pt idx="11">
                  <c:v>0.30438153964285697</c:v>
                </c:pt>
                <c:pt idx="12">
                  <c:v>0.29761750542857124</c:v>
                </c:pt>
                <c:pt idx="13">
                  <c:v>0.29085347121428551</c:v>
                </c:pt>
                <c:pt idx="14">
                  <c:v>0.28408943699999978</c:v>
                </c:pt>
                <c:pt idx="15">
                  <c:v>0.27732540278571405</c:v>
                </c:pt>
                <c:pt idx="16">
                  <c:v>0.27056136857142832</c:v>
                </c:pt>
                <c:pt idx="17">
                  <c:v>0.26379733435714259</c:v>
                </c:pt>
                <c:pt idx="18">
                  <c:v>0.25703330014285686</c:v>
                </c:pt>
                <c:pt idx="19">
                  <c:v>0.25026926592857113</c:v>
                </c:pt>
                <c:pt idx="20">
                  <c:v>0.24350523171428543</c:v>
                </c:pt>
                <c:pt idx="21">
                  <c:v>0.23674119749999972</c:v>
                </c:pt>
                <c:pt idx="22">
                  <c:v>0.22997716328571402</c:v>
                </c:pt>
                <c:pt idx="23">
                  <c:v>0.22321312907142832</c:v>
                </c:pt>
                <c:pt idx="24">
                  <c:v>0.21644909485714262</c:v>
                </c:pt>
                <c:pt idx="25">
                  <c:v>0.20968506064285691</c:v>
                </c:pt>
                <c:pt idx="26">
                  <c:v>0.20292102642857121</c:v>
                </c:pt>
                <c:pt idx="27">
                  <c:v>0.19615699221428551</c:v>
                </c:pt>
                <c:pt idx="28">
                  <c:v>0.18939295799999981</c:v>
                </c:pt>
                <c:pt idx="29">
                  <c:v>0.18939295799999981</c:v>
                </c:pt>
                <c:pt idx="30">
                  <c:v>0.18939295799999981</c:v>
                </c:pt>
                <c:pt idx="31">
                  <c:v>0.18939295799999981</c:v>
                </c:pt>
                <c:pt idx="32">
                  <c:v>0.18939295799999981</c:v>
                </c:pt>
                <c:pt idx="33">
                  <c:v>0.18939295799999981</c:v>
                </c:pt>
                <c:pt idx="34">
                  <c:v>0.18939295799999981</c:v>
                </c:pt>
                <c:pt idx="35">
                  <c:v>0.18939295799999981</c:v>
                </c:pt>
                <c:pt idx="36">
                  <c:v>0.18939295799999981</c:v>
                </c:pt>
                <c:pt idx="37">
                  <c:v>0.18939295799999981</c:v>
                </c:pt>
                <c:pt idx="38">
                  <c:v>0.18939295799999981</c:v>
                </c:pt>
                <c:pt idx="39">
                  <c:v>0.18939295799999981</c:v>
                </c:pt>
                <c:pt idx="40">
                  <c:v>0.18939295799999981</c:v>
                </c:pt>
                <c:pt idx="41">
                  <c:v>0.18939295799999981</c:v>
                </c:pt>
                <c:pt idx="42">
                  <c:v>0.18939295799999981</c:v>
                </c:pt>
                <c:pt idx="43">
                  <c:v>0.18939295799999981</c:v>
                </c:pt>
                <c:pt idx="44">
                  <c:v>0.18939295799999981</c:v>
                </c:pt>
                <c:pt idx="45">
                  <c:v>0.18939295799999981</c:v>
                </c:pt>
                <c:pt idx="46">
                  <c:v>0.18939295799999981</c:v>
                </c:pt>
                <c:pt idx="47">
                  <c:v>0.18939295799999981</c:v>
                </c:pt>
                <c:pt idx="48">
                  <c:v>0.18939295799999981</c:v>
                </c:pt>
                <c:pt idx="49">
                  <c:v>0.18939295799999981</c:v>
                </c:pt>
                <c:pt idx="50">
                  <c:v>0.18939295799999981</c:v>
                </c:pt>
                <c:pt idx="51">
                  <c:v>0.18939295799999981</c:v>
                </c:pt>
                <c:pt idx="52">
                  <c:v>0.18939295799999981</c:v>
                </c:pt>
                <c:pt idx="53">
                  <c:v>0.18939295799999981</c:v>
                </c:pt>
                <c:pt idx="54">
                  <c:v>0.18939295799999981</c:v>
                </c:pt>
                <c:pt idx="55">
                  <c:v>0.18939295799999981</c:v>
                </c:pt>
                <c:pt idx="56">
                  <c:v>0.18939295799999981</c:v>
                </c:pt>
                <c:pt idx="57">
                  <c:v>0.18939295799999981</c:v>
                </c:pt>
                <c:pt idx="58">
                  <c:v>0.18939295799999981</c:v>
                </c:pt>
                <c:pt idx="59">
                  <c:v>0.18939295799999981</c:v>
                </c:pt>
                <c:pt idx="60">
                  <c:v>0.18939295799999981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4-4D9D-824B-6E56ED56CEB0}"/>
            </c:ext>
          </c:extLst>
        </c:ser>
        <c:ser>
          <c:idx val="2"/>
          <c:order val="2"/>
          <c:tx>
            <c:strRef>
              <c:f>'50% by 2050'!$D$2</c:f>
              <c:strCache>
                <c:ptCount val="1"/>
                <c:pt idx="0">
                  <c:v>CAMX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'50% by 2050'!$D$3:$D$63</c:f>
              <c:numCache>
                <c:formatCode>General</c:formatCode>
                <c:ptCount val="61"/>
                <c:pt idx="0">
                  <c:v>0.23290153799999999</c:v>
                </c:pt>
                <c:pt idx="1">
                  <c:v>0.22874258196428571</c:v>
                </c:pt>
                <c:pt idx="2">
                  <c:v>0.22458362592857142</c:v>
                </c:pt>
                <c:pt idx="3">
                  <c:v>0.22042466989285714</c:v>
                </c:pt>
                <c:pt idx="4">
                  <c:v>0.21626571385714286</c:v>
                </c:pt>
                <c:pt idx="5">
                  <c:v>0.21210675782142857</c:v>
                </c:pt>
                <c:pt idx="6">
                  <c:v>0.20794780178571429</c:v>
                </c:pt>
                <c:pt idx="7">
                  <c:v>0.20378884575</c:v>
                </c:pt>
                <c:pt idx="8">
                  <c:v>0.19962988971428572</c:v>
                </c:pt>
                <c:pt idx="9">
                  <c:v>0.19547093367857143</c:v>
                </c:pt>
                <c:pt idx="10">
                  <c:v>0.19131197764285715</c:v>
                </c:pt>
                <c:pt idx="11">
                  <c:v>0.18715302160714287</c:v>
                </c:pt>
                <c:pt idx="12">
                  <c:v>0.18299406557142858</c:v>
                </c:pt>
                <c:pt idx="13">
                  <c:v>0.1788351095357143</c:v>
                </c:pt>
                <c:pt idx="14">
                  <c:v>0.17467615350000001</c:v>
                </c:pt>
                <c:pt idx="15">
                  <c:v>0.17051719746428573</c:v>
                </c:pt>
                <c:pt idx="16">
                  <c:v>0.16635824142857145</c:v>
                </c:pt>
                <c:pt idx="17">
                  <c:v>0.16219928539285716</c:v>
                </c:pt>
                <c:pt idx="18">
                  <c:v>0.15804032935714288</c:v>
                </c:pt>
                <c:pt idx="19">
                  <c:v>0.15388137332142859</c:v>
                </c:pt>
                <c:pt idx="20">
                  <c:v>0.14972241728571431</c:v>
                </c:pt>
                <c:pt idx="21">
                  <c:v>0.14556346125000003</c:v>
                </c:pt>
                <c:pt idx="22">
                  <c:v>0.14140450521428574</c:v>
                </c:pt>
                <c:pt idx="23">
                  <c:v>0.13724554917857146</c:v>
                </c:pt>
                <c:pt idx="24">
                  <c:v>0.13308659314285717</c:v>
                </c:pt>
                <c:pt idx="25">
                  <c:v>0.12892763710714289</c:v>
                </c:pt>
                <c:pt idx="26">
                  <c:v>0.12476868107142861</c:v>
                </c:pt>
                <c:pt idx="27">
                  <c:v>0.12060972503571432</c:v>
                </c:pt>
                <c:pt idx="28">
                  <c:v>0.11645076900000004</c:v>
                </c:pt>
                <c:pt idx="29">
                  <c:v>0.11645076900000004</c:v>
                </c:pt>
                <c:pt idx="30">
                  <c:v>0.11645076900000004</c:v>
                </c:pt>
                <c:pt idx="31">
                  <c:v>0.11645076900000004</c:v>
                </c:pt>
                <c:pt idx="32">
                  <c:v>0.11645076900000004</c:v>
                </c:pt>
                <c:pt idx="33">
                  <c:v>0.11645076900000004</c:v>
                </c:pt>
                <c:pt idx="34">
                  <c:v>0.11645076900000004</c:v>
                </c:pt>
                <c:pt idx="35">
                  <c:v>0.11645076900000004</c:v>
                </c:pt>
                <c:pt idx="36">
                  <c:v>0.11645076900000004</c:v>
                </c:pt>
                <c:pt idx="37">
                  <c:v>0.11645076900000004</c:v>
                </c:pt>
                <c:pt idx="38">
                  <c:v>0.11645076900000004</c:v>
                </c:pt>
                <c:pt idx="39">
                  <c:v>0.11645076900000004</c:v>
                </c:pt>
                <c:pt idx="40">
                  <c:v>0.11645076900000004</c:v>
                </c:pt>
                <c:pt idx="41">
                  <c:v>0.11645076900000004</c:v>
                </c:pt>
                <c:pt idx="42">
                  <c:v>0.11645076900000004</c:v>
                </c:pt>
                <c:pt idx="43">
                  <c:v>0.11645076900000004</c:v>
                </c:pt>
                <c:pt idx="44">
                  <c:v>0.11645076900000004</c:v>
                </c:pt>
                <c:pt idx="45">
                  <c:v>0.11645076900000004</c:v>
                </c:pt>
                <c:pt idx="46">
                  <c:v>0.11645076900000004</c:v>
                </c:pt>
                <c:pt idx="47">
                  <c:v>0.11645076900000004</c:v>
                </c:pt>
                <c:pt idx="48">
                  <c:v>0.11645076900000004</c:v>
                </c:pt>
                <c:pt idx="49">
                  <c:v>0.11645076900000004</c:v>
                </c:pt>
                <c:pt idx="50">
                  <c:v>0.11645076900000004</c:v>
                </c:pt>
                <c:pt idx="51">
                  <c:v>0.11645076900000004</c:v>
                </c:pt>
                <c:pt idx="52">
                  <c:v>0.11645076900000004</c:v>
                </c:pt>
                <c:pt idx="53">
                  <c:v>0.11645076900000004</c:v>
                </c:pt>
                <c:pt idx="54">
                  <c:v>0.11645076900000004</c:v>
                </c:pt>
                <c:pt idx="55">
                  <c:v>0.11645076900000004</c:v>
                </c:pt>
                <c:pt idx="56">
                  <c:v>0.11645076900000004</c:v>
                </c:pt>
                <c:pt idx="57">
                  <c:v>0.11645076900000004</c:v>
                </c:pt>
                <c:pt idx="58">
                  <c:v>0.11645076900000004</c:v>
                </c:pt>
                <c:pt idx="59">
                  <c:v>0.11645076900000004</c:v>
                </c:pt>
                <c:pt idx="60">
                  <c:v>0.11645076900000004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E4-4D9D-824B-6E56ED56CEB0}"/>
            </c:ext>
          </c:extLst>
        </c:ser>
        <c:ser>
          <c:idx val="3"/>
          <c:order val="3"/>
          <c:tx>
            <c:strRef>
              <c:f>'50% by 2050'!$E$2</c:f>
              <c:strCache>
                <c:ptCount val="1"/>
                <c:pt idx="0">
                  <c:v>NYCW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'50% by 2050'!$E$3:$E$63</c:f>
              <c:numCache>
                <c:formatCode>General</c:formatCode>
                <c:ptCount val="61"/>
                <c:pt idx="0">
                  <c:v>0.28785425399999998</c:v>
                </c:pt>
                <c:pt idx="1">
                  <c:v>0.28271399946428571</c:v>
                </c:pt>
                <c:pt idx="2">
                  <c:v>0.27757374492857145</c:v>
                </c:pt>
                <c:pt idx="3">
                  <c:v>0.27243349039285719</c:v>
                </c:pt>
                <c:pt idx="4">
                  <c:v>0.26729323585714293</c:v>
                </c:pt>
                <c:pt idx="5">
                  <c:v>0.26215298132142867</c:v>
                </c:pt>
                <c:pt idx="6">
                  <c:v>0.25701272678571441</c:v>
                </c:pt>
                <c:pt idx="7">
                  <c:v>0.25187247225000015</c:v>
                </c:pt>
                <c:pt idx="8">
                  <c:v>0.24673221771428586</c:v>
                </c:pt>
                <c:pt idx="9">
                  <c:v>0.24159196317857157</c:v>
                </c:pt>
                <c:pt idx="10">
                  <c:v>0.23645170864285728</c:v>
                </c:pt>
                <c:pt idx="11">
                  <c:v>0.23131145410714299</c:v>
                </c:pt>
                <c:pt idx="12">
                  <c:v>0.2261711995714287</c:v>
                </c:pt>
                <c:pt idx="13">
                  <c:v>0.22103094503571441</c:v>
                </c:pt>
                <c:pt idx="14">
                  <c:v>0.21589069050000012</c:v>
                </c:pt>
                <c:pt idx="15">
                  <c:v>0.21075043596428583</c:v>
                </c:pt>
                <c:pt idx="16">
                  <c:v>0.20561018142857154</c:v>
                </c:pt>
                <c:pt idx="17">
                  <c:v>0.20046992689285725</c:v>
                </c:pt>
                <c:pt idx="18">
                  <c:v>0.19532967235714296</c:v>
                </c:pt>
                <c:pt idx="19">
                  <c:v>0.19018941782142867</c:v>
                </c:pt>
                <c:pt idx="20">
                  <c:v>0.18504916328571439</c:v>
                </c:pt>
                <c:pt idx="21">
                  <c:v>0.1799089087500001</c:v>
                </c:pt>
                <c:pt idx="22">
                  <c:v>0.17476865421428581</c:v>
                </c:pt>
                <c:pt idx="23">
                  <c:v>0.16962839967857152</c:v>
                </c:pt>
                <c:pt idx="24">
                  <c:v>0.16448814514285723</c:v>
                </c:pt>
                <c:pt idx="25">
                  <c:v>0.15934789060714294</c:v>
                </c:pt>
                <c:pt idx="26">
                  <c:v>0.15420763607142865</c:v>
                </c:pt>
                <c:pt idx="27">
                  <c:v>0.14906738153571436</c:v>
                </c:pt>
                <c:pt idx="28">
                  <c:v>0.14392712700000007</c:v>
                </c:pt>
                <c:pt idx="29">
                  <c:v>0.14392712700000007</c:v>
                </c:pt>
                <c:pt idx="30">
                  <c:v>0.14392712700000007</c:v>
                </c:pt>
                <c:pt idx="31">
                  <c:v>0.14392712700000007</c:v>
                </c:pt>
                <c:pt idx="32">
                  <c:v>0.14392712700000007</c:v>
                </c:pt>
                <c:pt idx="33">
                  <c:v>0.14392712700000007</c:v>
                </c:pt>
                <c:pt idx="34">
                  <c:v>0.14392712700000007</c:v>
                </c:pt>
                <c:pt idx="35">
                  <c:v>0.14392712700000007</c:v>
                </c:pt>
                <c:pt idx="36">
                  <c:v>0.14392712700000007</c:v>
                </c:pt>
                <c:pt idx="37">
                  <c:v>0.14392712700000007</c:v>
                </c:pt>
                <c:pt idx="38">
                  <c:v>0.14392712700000007</c:v>
                </c:pt>
                <c:pt idx="39">
                  <c:v>0.14392712700000007</c:v>
                </c:pt>
                <c:pt idx="40">
                  <c:v>0.14392712700000007</c:v>
                </c:pt>
                <c:pt idx="41">
                  <c:v>0.14392712700000007</c:v>
                </c:pt>
                <c:pt idx="42">
                  <c:v>0.14392712700000007</c:v>
                </c:pt>
                <c:pt idx="43">
                  <c:v>0.14392712700000007</c:v>
                </c:pt>
                <c:pt idx="44">
                  <c:v>0.14392712700000007</c:v>
                </c:pt>
                <c:pt idx="45">
                  <c:v>0.14392712700000007</c:v>
                </c:pt>
                <c:pt idx="46">
                  <c:v>0.14392712700000007</c:v>
                </c:pt>
                <c:pt idx="47">
                  <c:v>0.14392712700000007</c:v>
                </c:pt>
                <c:pt idx="48">
                  <c:v>0.14392712700000007</c:v>
                </c:pt>
                <c:pt idx="49">
                  <c:v>0.14392712700000007</c:v>
                </c:pt>
                <c:pt idx="50">
                  <c:v>0.14392712700000007</c:v>
                </c:pt>
                <c:pt idx="51">
                  <c:v>0.14392712700000007</c:v>
                </c:pt>
                <c:pt idx="52">
                  <c:v>0.14392712700000007</c:v>
                </c:pt>
                <c:pt idx="53">
                  <c:v>0.14392712700000007</c:v>
                </c:pt>
                <c:pt idx="54">
                  <c:v>0.14392712700000007</c:v>
                </c:pt>
                <c:pt idx="55">
                  <c:v>0.14392712700000007</c:v>
                </c:pt>
                <c:pt idx="56">
                  <c:v>0.14392712700000007</c:v>
                </c:pt>
                <c:pt idx="57">
                  <c:v>0.14392712700000007</c:v>
                </c:pt>
                <c:pt idx="58">
                  <c:v>0.14392712700000007</c:v>
                </c:pt>
                <c:pt idx="59">
                  <c:v>0.14392712700000007</c:v>
                </c:pt>
                <c:pt idx="60">
                  <c:v>0.14392712700000007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E4-4D9D-824B-6E56ED56CEB0}"/>
            </c:ext>
          </c:extLst>
        </c:ser>
        <c:ser>
          <c:idx val="4"/>
          <c:order val="4"/>
          <c:tx>
            <c:strRef>
              <c:f>'50% by 2050'!$F$2</c:f>
              <c:strCache>
                <c:ptCount val="1"/>
                <c:pt idx="0">
                  <c:v>NYUP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'50% by 2050'!$F$3:$F$63</c:f>
              <c:numCache>
                <c:formatCode>General</c:formatCode>
                <c:ptCount val="61"/>
                <c:pt idx="0">
                  <c:v>0.10591835400000001</c:v>
                </c:pt>
                <c:pt idx="1">
                  <c:v>0.10402695482142858</c:v>
                </c:pt>
                <c:pt idx="2">
                  <c:v>0.10213555564285716</c:v>
                </c:pt>
                <c:pt idx="3">
                  <c:v>0.10024415646428574</c:v>
                </c:pt>
                <c:pt idx="4">
                  <c:v>9.8352757285714312E-2</c:v>
                </c:pt>
                <c:pt idx="5">
                  <c:v>9.6461358107142889E-2</c:v>
                </c:pt>
                <c:pt idx="6">
                  <c:v>9.4569958928571465E-2</c:v>
                </c:pt>
                <c:pt idx="7">
                  <c:v>9.2678559750000042E-2</c:v>
                </c:pt>
                <c:pt idx="8">
                  <c:v>9.0787160571428618E-2</c:v>
                </c:pt>
                <c:pt idx="9">
                  <c:v>8.8895761392857195E-2</c:v>
                </c:pt>
                <c:pt idx="10">
                  <c:v>8.7004362214285771E-2</c:v>
                </c:pt>
                <c:pt idx="11">
                  <c:v>8.5112963035714348E-2</c:v>
                </c:pt>
                <c:pt idx="12">
                  <c:v>8.3221563857142924E-2</c:v>
                </c:pt>
                <c:pt idx="13">
                  <c:v>8.1330164678571501E-2</c:v>
                </c:pt>
                <c:pt idx="14">
                  <c:v>7.9438765500000078E-2</c:v>
                </c:pt>
                <c:pt idx="15">
                  <c:v>7.7547366321428654E-2</c:v>
                </c:pt>
                <c:pt idx="16">
                  <c:v>7.5655967142857231E-2</c:v>
                </c:pt>
                <c:pt idx="17">
                  <c:v>7.3764567964285807E-2</c:v>
                </c:pt>
                <c:pt idx="18">
                  <c:v>7.1873168785714384E-2</c:v>
                </c:pt>
                <c:pt idx="19">
                  <c:v>6.998176960714296E-2</c:v>
                </c:pt>
                <c:pt idx="20">
                  <c:v>6.8090370428571537E-2</c:v>
                </c:pt>
                <c:pt idx="21">
                  <c:v>6.6198971250000113E-2</c:v>
                </c:pt>
                <c:pt idx="22">
                  <c:v>6.430757207142869E-2</c:v>
                </c:pt>
                <c:pt idx="23">
                  <c:v>6.2416172892857259E-2</c:v>
                </c:pt>
                <c:pt idx="24">
                  <c:v>6.0524773714285829E-2</c:v>
                </c:pt>
                <c:pt idx="25">
                  <c:v>5.8633374535714398E-2</c:v>
                </c:pt>
                <c:pt idx="26">
                  <c:v>5.6741975357142968E-2</c:v>
                </c:pt>
                <c:pt idx="27">
                  <c:v>5.4850576178571538E-2</c:v>
                </c:pt>
                <c:pt idx="28">
                  <c:v>5.2959177000000107E-2</c:v>
                </c:pt>
                <c:pt idx="29">
                  <c:v>5.2959177000000107E-2</c:v>
                </c:pt>
                <c:pt idx="30">
                  <c:v>5.2959177000000107E-2</c:v>
                </c:pt>
                <c:pt idx="31">
                  <c:v>5.2959177000000107E-2</c:v>
                </c:pt>
                <c:pt idx="32">
                  <c:v>5.2959177000000107E-2</c:v>
                </c:pt>
                <c:pt idx="33">
                  <c:v>5.2959177000000107E-2</c:v>
                </c:pt>
                <c:pt idx="34">
                  <c:v>5.2959177000000107E-2</c:v>
                </c:pt>
                <c:pt idx="35">
                  <c:v>5.2959177000000107E-2</c:v>
                </c:pt>
                <c:pt idx="36">
                  <c:v>5.2959177000000107E-2</c:v>
                </c:pt>
                <c:pt idx="37">
                  <c:v>5.2959177000000107E-2</c:v>
                </c:pt>
                <c:pt idx="38">
                  <c:v>5.2959177000000107E-2</c:v>
                </c:pt>
                <c:pt idx="39">
                  <c:v>5.2959177000000107E-2</c:v>
                </c:pt>
                <c:pt idx="40">
                  <c:v>5.2959177000000107E-2</c:v>
                </c:pt>
                <c:pt idx="41">
                  <c:v>5.2959177000000107E-2</c:v>
                </c:pt>
                <c:pt idx="42">
                  <c:v>5.2959177000000107E-2</c:v>
                </c:pt>
                <c:pt idx="43">
                  <c:v>5.2959177000000107E-2</c:v>
                </c:pt>
                <c:pt idx="44">
                  <c:v>5.2959177000000107E-2</c:v>
                </c:pt>
                <c:pt idx="45">
                  <c:v>5.2959177000000107E-2</c:v>
                </c:pt>
                <c:pt idx="46">
                  <c:v>5.2959177000000107E-2</c:v>
                </c:pt>
                <c:pt idx="47">
                  <c:v>5.2959177000000107E-2</c:v>
                </c:pt>
                <c:pt idx="48">
                  <c:v>5.2959177000000107E-2</c:v>
                </c:pt>
                <c:pt idx="49">
                  <c:v>5.2959177000000107E-2</c:v>
                </c:pt>
                <c:pt idx="50">
                  <c:v>5.2959177000000107E-2</c:v>
                </c:pt>
                <c:pt idx="51">
                  <c:v>5.2959177000000107E-2</c:v>
                </c:pt>
                <c:pt idx="52">
                  <c:v>5.2959177000000107E-2</c:v>
                </c:pt>
                <c:pt idx="53">
                  <c:v>5.2959177000000107E-2</c:v>
                </c:pt>
                <c:pt idx="54">
                  <c:v>5.2959177000000107E-2</c:v>
                </c:pt>
                <c:pt idx="55">
                  <c:v>5.2959177000000107E-2</c:v>
                </c:pt>
                <c:pt idx="56">
                  <c:v>5.2959177000000107E-2</c:v>
                </c:pt>
                <c:pt idx="57">
                  <c:v>5.2959177000000107E-2</c:v>
                </c:pt>
                <c:pt idx="58">
                  <c:v>5.2959177000000107E-2</c:v>
                </c:pt>
                <c:pt idx="59">
                  <c:v>5.2959177000000107E-2</c:v>
                </c:pt>
                <c:pt idx="60">
                  <c:v>5.2959177000000107E-2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E4-4D9D-824B-6E56ED56C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258016"/>
        <c:axId val="2016250528"/>
      </c:lineChart>
      <c:catAx>
        <c:axId val="20162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0528"/>
        <c:crosses val="autoZero"/>
        <c:auto val="0"/>
        <c:lblAlgn val="ctr"/>
        <c:lblOffset val="100"/>
        <c:tickLblSkip val="5"/>
        <c:noMultiLvlLbl val="0"/>
      </c:catAx>
      <c:valAx>
        <c:axId val="20162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by 2035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'100% by 2035'!$B$2</c:f>
              <c:strCache>
                <c:ptCount val="1"/>
                <c:pt idx="0">
                  <c:v>US-Average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'100% by 2035'!$A$3:$A$63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'100% by 2035'!$B$3:$B$63</c:f>
              <c:numCache>
                <c:formatCode>General</c:formatCode>
                <c:ptCount val="61"/>
                <c:pt idx="0">
                  <c:v>0.37117</c:v>
                </c:pt>
                <c:pt idx="1">
                  <c:v>0.34261846153846154</c:v>
                </c:pt>
                <c:pt idx="2">
                  <c:v>0.31406692307692308</c:v>
                </c:pt>
                <c:pt idx="3">
                  <c:v>0.28551538461538462</c:v>
                </c:pt>
                <c:pt idx="4">
                  <c:v>0.25696384615384615</c:v>
                </c:pt>
                <c:pt idx="5">
                  <c:v>0.22841230769230769</c:v>
                </c:pt>
                <c:pt idx="6">
                  <c:v>0.19986076923076923</c:v>
                </c:pt>
                <c:pt idx="7">
                  <c:v>0.17130923076923077</c:v>
                </c:pt>
                <c:pt idx="8">
                  <c:v>0.14275769230769231</c:v>
                </c:pt>
                <c:pt idx="9">
                  <c:v>0.11420615384615385</c:v>
                </c:pt>
                <c:pt idx="10">
                  <c:v>8.5654615384615385E-2</c:v>
                </c:pt>
                <c:pt idx="11">
                  <c:v>5.7103076923076923E-2</c:v>
                </c:pt>
                <c:pt idx="12">
                  <c:v>2.8551538461538462E-2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2-4DDD-A051-D3038DE021CB}"/>
            </c:ext>
          </c:extLst>
        </c:ser>
        <c:ser>
          <c:idx val="1"/>
          <c:order val="1"/>
          <c:tx>
            <c:strRef>
              <c:f>'100% by 2035'!$C$2</c:f>
              <c:strCache>
                <c:ptCount val="1"/>
                <c:pt idx="0">
                  <c:v>FRCC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'100% by 2035'!$A$3:$A$63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'100% by 2035'!$C$3:$C$63</c:f>
              <c:numCache>
                <c:formatCode>General</c:formatCode>
                <c:ptCount val="61"/>
                <c:pt idx="0">
                  <c:v>0.378785916</c:v>
                </c:pt>
                <c:pt idx="1">
                  <c:v>0.34964853784615385</c:v>
                </c:pt>
                <c:pt idx="2">
                  <c:v>0.3205111596923077</c:v>
                </c:pt>
                <c:pt idx="3">
                  <c:v>0.29137378153846155</c:v>
                </c:pt>
                <c:pt idx="4">
                  <c:v>0.2622364033846154</c:v>
                </c:pt>
                <c:pt idx="5">
                  <c:v>0.23309902523076925</c:v>
                </c:pt>
                <c:pt idx="6">
                  <c:v>0.2039616470769231</c:v>
                </c:pt>
                <c:pt idx="7">
                  <c:v>0.17482426892307695</c:v>
                </c:pt>
                <c:pt idx="8">
                  <c:v>0.1456868907692308</c:v>
                </c:pt>
                <c:pt idx="9">
                  <c:v>0.11654951261538465</c:v>
                </c:pt>
                <c:pt idx="10">
                  <c:v>8.7412134461538504E-2</c:v>
                </c:pt>
                <c:pt idx="11">
                  <c:v>5.8274756307692355E-2</c:v>
                </c:pt>
                <c:pt idx="12">
                  <c:v>2.9137378153846202E-2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2-4DDD-A051-D3038DE021CB}"/>
            </c:ext>
          </c:extLst>
        </c:ser>
        <c:ser>
          <c:idx val="2"/>
          <c:order val="2"/>
          <c:tx>
            <c:strRef>
              <c:f>'100% by 2035'!$D$2</c:f>
              <c:strCache>
                <c:ptCount val="1"/>
                <c:pt idx="0">
                  <c:v>CAMX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'100% by 2035'!$A$3:$A$63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'100% by 2035'!$D$3:$D$63</c:f>
              <c:numCache>
                <c:formatCode>General</c:formatCode>
                <c:ptCount val="61"/>
                <c:pt idx="0">
                  <c:v>0.23290153799999999</c:v>
                </c:pt>
                <c:pt idx="1">
                  <c:v>0.21498603507692307</c:v>
                </c:pt>
                <c:pt idx="2">
                  <c:v>0.19707053215384615</c:v>
                </c:pt>
                <c:pt idx="3">
                  <c:v>0.17915502923076923</c:v>
                </c:pt>
                <c:pt idx="4">
                  <c:v>0.16123952630769231</c:v>
                </c:pt>
                <c:pt idx="5">
                  <c:v>0.14332402338461539</c:v>
                </c:pt>
                <c:pt idx="6">
                  <c:v>0.12540852046153847</c:v>
                </c:pt>
                <c:pt idx="7">
                  <c:v>0.10749301753846155</c:v>
                </c:pt>
                <c:pt idx="8">
                  <c:v>8.9577514615384629E-2</c:v>
                </c:pt>
                <c:pt idx="9">
                  <c:v>7.1662011692307709E-2</c:v>
                </c:pt>
                <c:pt idx="10">
                  <c:v>5.3746508769230789E-2</c:v>
                </c:pt>
                <c:pt idx="11">
                  <c:v>3.5831005846153868E-2</c:v>
                </c:pt>
                <c:pt idx="12">
                  <c:v>1.7915502923076945E-2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2-4DDD-A051-D3038DE021CB}"/>
            </c:ext>
          </c:extLst>
        </c:ser>
        <c:ser>
          <c:idx val="3"/>
          <c:order val="3"/>
          <c:tx>
            <c:strRef>
              <c:f>'100% by 2035'!$E$2</c:f>
              <c:strCache>
                <c:ptCount val="1"/>
                <c:pt idx="0">
                  <c:v>NYCW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'100% by 2035'!$A$3:$A$63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'100% by 2035'!$E$3:$E$63</c:f>
              <c:numCache>
                <c:formatCode>General</c:formatCode>
                <c:ptCount val="61"/>
                <c:pt idx="0">
                  <c:v>0.28785425399999998</c:v>
                </c:pt>
                <c:pt idx="1">
                  <c:v>0.26571161907692303</c:v>
                </c:pt>
                <c:pt idx="2">
                  <c:v>0.24356898415384612</c:v>
                </c:pt>
                <c:pt idx="3">
                  <c:v>0.2214263492307692</c:v>
                </c:pt>
                <c:pt idx="4">
                  <c:v>0.19928371430769229</c:v>
                </c:pt>
                <c:pt idx="5">
                  <c:v>0.17714107938461537</c:v>
                </c:pt>
                <c:pt idx="6">
                  <c:v>0.15499844446153846</c:v>
                </c:pt>
                <c:pt idx="7">
                  <c:v>0.13285580953846154</c:v>
                </c:pt>
                <c:pt idx="8">
                  <c:v>0.11071317461538463</c:v>
                </c:pt>
                <c:pt idx="9">
                  <c:v>8.8570539692307715E-2</c:v>
                </c:pt>
                <c:pt idx="10">
                  <c:v>6.64279047692308E-2</c:v>
                </c:pt>
                <c:pt idx="11">
                  <c:v>4.4285269846153878E-2</c:v>
                </c:pt>
                <c:pt idx="12">
                  <c:v>2.2142634923076956E-2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2-4DDD-A051-D3038DE021CB}"/>
            </c:ext>
          </c:extLst>
        </c:ser>
        <c:ser>
          <c:idx val="4"/>
          <c:order val="4"/>
          <c:tx>
            <c:strRef>
              <c:f>'100% by 2035'!$F$2</c:f>
              <c:strCache>
                <c:ptCount val="1"/>
                <c:pt idx="0">
                  <c:v>NYUP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'100% by 2035'!$A$3:$A$63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'100% by 2035'!$F$3:$F$63</c:f>
              <c:numCache>
                <c:formatCode>General</c:formatCode>
                <c:ptCount val="61"/>
                <c:pt idx="0">
                  <c:v>0.10591835400000001</c:v>
                </c:pt>
                <c:pt idx="1">
                  <c:v>9.7770788307692313E-2</c:v>
                </c:pt>
                <c:pt idx="2">
                  <c:v>8.9623222615384621E-2</c:v>
                </c:pt>
                <c:pt idx="3">
                  <c:v>8.1475656923076928E-2</c:v>
                </c:pt>
                <c:pt idx="4">
                  <c:v>7.3328091230769235E-2</c:v>
                </c:pt>
                <c:pt idx="5">
                  <c:v>6.5180525538461542E-2</c:v>
                </c:pt>
                <c:pt idx="6">
                  <c:v>5.703295984615385E-2</c:v>
                </c:pt>
                <c:pt idx="7">
                  <c:v>4.8885394153846157E-2</c:v>
                </c:pt>
                <c:pt idx="8">
                  <c:v>4.0737828461538464E-2</c:v>
                </c:pt>
                <c:pt idx="9">
                  <c:v>3.2590262769230771E-2</c:v>
                </c:pt>
                <c:pt idx="10">
                  <c:v>2.4442697076923078E-2</c:v>
                </c:pt>
                <c:pt idx="11">
                  <c:v>1.6295131384615386E-2</c:v>
                </c:pt>
                <c:pt idx="12">
                  <c:v>8.1475656923076928E-3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2-4DDD-A051-D3038DE02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258016"/>
        <c:axId val="2016250528"/>
      </c:lineChart>
      <c:catAx>
        <c:axId val="20162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0528"/>
        <c:crosses val="autoZero"/>
        <c:auto val="0"/>
        <c:lblAlgn val="ctr"/>
        <c:lblOffset val="100"/>
        <c:tickLblSkip val="5"/>
        <c:noMultiLvlLbl val="0"/>
      </c:catAx>
      <c:valAx>
        <c:axId val="20162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80% by 2035, 100%</a:t>
            </a:r>
            <a:r>
              <a:rPr lang="en-US" baseline="0"/>
              <a:t> by 2050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'80% by 2035, 100% by 2050'!$B$2</c:f>
              <c:strCache>
                <c:ptCount val="1"/>
                <c:pt idx="0">
                  <c:v>US-Average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'80% by 2035, 100%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'80% by 2035, 100% by 2050'!$B$3:$B$63</c:f>
              <c:numCache>
                <c:formatCode>General</c:formatCode>
                <c:ptCount val="61"/>
                <c:pt idx="0">
                  <c:v>0.37117</c:v>
                </c:pt>
                <c:pt idx="1">
                  <c:v>0.34832876923076922</c:v>
                </c:pt>
                <c:pt idx="2">
                  <c:v>0.32548753846153844</c:v>
                </c:pt>
                <c:pt idx="3">
                  <c:v>0.30264630769230766</c:v>
                </c:pt>
                <c:pt idx="4">
                  <c:v>0.27980507692307688</c:v>
                </c:pt>
                <c:pt idx="5">
                  <c:v>0.2569638461538461</c:v>
                </c:pt>
                <c:pt idx="6">
                  <c:v>0.23412261538461532</c:v>
                </c:pt>
                <c:pt idx="7">
                  <c:v>0.21128138461538454</c:v>
                </c:pt>
                <c:pt idx="8">
                  <c:v>0.18844015384615376</c:v>
                </c:pt>
                <c:pt idx="9">
                  <c:v>0.16559892307692298</c:v>
                </c:pt>
                <c:pt idx="10">
                  <c:v>0.1427576923076922</c:v>
                </c:pt>
                <c:pt idx="11">
                  <c:v>0.11991646153846142</c:v>
                </c:pt>
                <c:pt idx="12">
                  <c:v>9.7075230769230636E-2</c:v>
                </c:pt>
                <c:pt idx="13">
                  <c:v>7.4233999999999856E-2</c:v>
                </c:pt>
                <c:pt idx="14">
                  <c:v>6.9285066666666534E-2</c:v>
                </c:pt>
                <c:pt idx="15">
                  <c:v>6.4336133333333212E-2</c:v>
                </c:pt>
                <c:pt idx="16">
                  <c:v>5.938719999999989E-2</c:v>
                </c:pt>
                <c:pt idx="17">
                  <c:v>5.4438266666666568E-2</c:v>
                </c:pt>
                <c:pt idx="18">
                  <c:v>4.9489333333333246E-2</c:v>
                </c:pt>
                <c:pt idx="19">
                  <c:v>4.4540399999999924E-2</c:v>
                </c:pt>
                <c:pt idx="20">
                  <c:v>3.9591466666666603E-2</c:v>
                </c:pt>
                <c:pt idx="21">
                  <c:v>3.4642533333333281E-2</c:v>
                </c:pt>
                <c:pt idx="22">
                  <c:v>2.9693599999999959E-2</c:v>
                </c:pt>
                <c:pt idx="23">
                  <c:v>2.4744666666666637E-2</c:v>
                </c:pt>
                <c:pt idx="24">
                  <c:v>1.9795733333333315E-2</c:v>
                </c:pt>
                <c:pt idx="25">
                  <c:v>1.4846799999999992E-2</c:v>
                </c:pt>
                <c:pt idx="26">
                  <c:v>9.897866666666668E-3</c:v>
                </c:pt>
                <c:pt idx="27">
                  <c:v>4.9489333333333444E-3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8-4488-9BC1-3475423E44EC}"/>
            </c:ext>
          </c:extLst>
        </c:ser>
        <c:ser>
          <c:idx val="1"/>
          <c:order val="1"/>
          <c:tx>
            <c:strRef>
              <c:f>'80% by 2035, 100% by 2050'!$C$2</c:f>
              <c:strCache>
                <c:ptCount val="1"/>
                <c:pt idx="0">
                  <c:v>FRCC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'80% by 2035, 100%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'80% by 2035, 100% by 2050'!$C$3:$C$63</c:f>
              <c:numCache>
                <c:formatCode>General</c:formatCode>
                <c:ptCount val="61"/>
                <c:pt idx="0">
                  <c:v>0.378785916</c:v>
                </c:pt>
                <c:pt idx="1">
                  <c:v>0.35547601347692309</c:v>
                </c:pt>
                <c:pt idx="2">
                  <c:v>0.33216611095384618</c:v>
                </c:pt>
                <c:pt idx="3">
                  <c:v>0.30885620843076927</c:v>
                </c:pt>
                <c:pt idx="4">
                  <c:v>0.28554630590769237</c:v>
                </c:pt>
                <c:pt idx="5">
                  <c:v>0.26223640338461546</c:v>
                </c:pt>
                <c:pt idx="6">
                  <c:v>0.23892650086153852</c:v>
                </c:pt>
                <c:pt idx="7">
                  <c:v>0.21561659833846158</c:v>
                </c:pt>
                <c:pt idx="8">
                  <c:v>0.19230669581538465</c:v>
                </c:pt>
                <c:pt idx="9">
                  <c:v>0.16899679329230771</c:v>
                </c:pt>
                <c:pt idx="10">
                  <c:v>0.14568689076923078</c:v>
                </c:pt>
                <c:pt idx="11">
                  <c:v>0.12237698824615385</c:v>
                </c:pt>
                <c:pt idx="12">
                  <c:v>9.9067085723076931E-2</c:v>
                </c:pt>
                <c:pt idx="13">
                  <c:v>7.5757183200000008E-2</c:v>
                </c:pt>
                <c:pt idx="14">
                  <c:v>7.0706704320000008E-2</c:v>
                </c:pt>
                <c:pt idx="15">
                  <c:v>6.5656225440000007E-2</c:v>
                </c:pt>
                <c:pt idx="16">
                  <c:v>6.0605746560000007E-2</c:v>
                </c:pt>
                <c:pt idx="17">
                  <c:v>5.5555267680000006E-2</c:v>
                </c:pt>
                <c:pt idx="18">
                  <c:v>5.0504788800000006E-2</c:v>
                </c:pt>
                <c:pt idx="19">
                  <c:v>4.5454309920000005E-2</c:v>
                </c:pt>
                <c:pt idx="20">
                  <c:v>4.0403831040000004E-2</c:v>
                </c:pt>
                <c:pt idx="21">
                  <c:v>3.5353352160000004E-2</c:v>
                </c:pt>
                <c:pt idx="22">
                  <c:v>3.0302873280000003E-2</c:v>
                </c:pt>
                <c:pt idx="23">
                  <c:v>2.5252394400000003E-2</c:v>
                </c:pt>
                <c:pt idx="24">
                  <c:v>2.0201915520000002E-2</c:v>
                </c:pt>
                <c:pt idx="25">
                  <c:v>1.5151436640000002E-2</c:v>
                </c:pt>
                <c:pt idx="26">
                  <c:v>1.0100957760000001E-2</c:v>
                </c:pt>
                <c:pt idx="27">
                  <c:v>5.0504788800000006E-3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8-4488-9BC1-3475423E44EC}"/>
            </c:ext>
          </c:extLst>
        </c:ser>
        <c:ser>
          <c:idx val="2"/>
          <c:order val="2"/>
          <c:tx>
            <c:strRef>
              <c:f>'80% by 2035, 100% by 2050'!$D$2</c:f>
              <c:strCache>
                <c:ptCount val="1"/>
                <c:pt idx="0">
                  <c:v>CAMX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'80% by 2035, 100%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'80% by 2035, 100% by 2050'!$D$3:$D$63</c:f>
              <c:numCache>
                <c:formatCode>General</c:formatCode>
                <c:ptCount val="61"/>
                <c:pt idx="0">
                  <c:v>0.23290153799999999</c:v>
                </c:pt>
                <c:pt idx="1">
                  <c:v>0.21856913566153846</c:v>
                </c:pt>
                <c:pt idx="2">
                  <c:v>0.20423673332307693</c:v>
                </c:pt>
                <c:pt idx="3">
                  <c:v>0.1899043309846154</c:v>
                </c:pt>
                <c:pt idx="4">
                  <c:v>0.17557192864615387</c:v>
                </c:pt>
                <c:pt idx="5">
                  <c:v>0.16123952630769234</c:v>
                </c:pt>
                <c:pt idx="6">
                  <c:v>0.14690712396923081</c:v>
                </c:pt>
                <c:pt idx="7">
                  <c:v>0.13257472163076928</c:v>
                </c:pt>
                <c:pt idx="8">
                  <c:v>0.11824231929230773</c:v>
                </c:pt>
                <c:pt idx="9">
                  <c:v>0.10390991695384619</c:v>
                </c:pt>
                <c:pt idx="10">
                  <c:v>8.9577514615384643E-2</c:v>
                </c:pt>
                <c:pt idx="11">
                  <c:v>7.5245112276923098E-2</c:v>
                </c:pt>
                <c:pt idx="12">
                  <c:v>6.0912709938461561E-2</c:v>
                </c:pt>
                <c:pt idx="13">
                  <c:v>4.6580307600000023E-2</c:v>
                </c:pt>
                <c:pt idx="14">
                  <c:v>4.3474953760000025E-2</c:v>
                </c:pt>
                <c:pt idx="15">
                  <c:v>4.0369599920000027E-2</c:v>
                </c:pt>
                <c:pt idx="16">
                  <c:v>3.7264246080000028E-2</c:v>
                </c:pt>
                <c:pt idx="17">
                  <c:v>3.415889224000003E-2</c:v>
                </c:pt>
                <c:pt idx="18">
                  <c:v>3.1053538400000028E-2</c:v>
                </c:pt>
                <c:pt idx="19">
                  <c:v>2.7948184560000026E-2</c:v>
                </c:pt>
                <c:pt idx="20">
                  <c:v>2.4842830720000025E-2</c:v>
                </c:pt>
                <c:pt idx="21">
                  <c:v>2.1737476880000023E-2</c:v>
                </c:pt>
                <c:pt idx="22">
                  <c:v>1.8632123040000021E-2</c:v>
                </c:pt>
                <c:pt idx="23">
                  <c:v>1.5526769200000019E-2</c:v>
                </c:pt>
                <c:pt idx="24">
                  <c:v>1.2421415360000018E-2</c:v>
                </c:pt>
                <c:pt idx="25">
                  <c:v>9.3160615200000157E-3</c:v>
                </c:pt>
                <c:pt idx="26">
                  <c:v>6.210707680000014E-3</c:v>
                </c:pt>
                <c:pt idx="27">
                  <c:v>3.1053538400000126E-3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8-4488-9BC1-3475423E44EC}"/>
            </c:ext>
          </c:extLst>
        </c:ser>
        <c:ser>
          <c:idx val="3"/>
          <c:order val="3"/>
          <c:tx>
            <c:strRef>
              <c:f>'80% by 2035, 100% by 2050'!$E$2</c:f>
              <c:strCache>
                <c:ptCount val="1"/>
                <c:pt idx="0">
                  <c:v>NYCW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'80% by 2035, 100%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'80% by 2035, 100% by 2050'!$E$3:$E$63</c:f>
              <c:numCache>
                <c:formatCode>General</c:formatCode>
                <c:ptCount val="61"/>
                <c:pt idx="0">
                  <c:v>0.28785425399999998</c:v>
                </c:pt>
                <c:pt idx="1">
                  <c:v>0.27014014606153847</c:v>
                </c:pt>
                <c:pt idx="2">
                  <c:v>0.25242603812307696</c:v>
                </c:pt>
                <c:pt idx="3">
                  <c:v>0.23471193018461542</c:v>
                </c:pt>
                <c:pt idx="4">
                  <c:v>0.21699782224615388</c:v>
                </c:pt>
                <c:pt idx="5">
                  <c:v>0.19928371430769234</c:v>
                </c:pt>
                <c:pt idx="6">
                  <c:v>0.18156960636923081</c:v>
                </c:pt>
                <c:pt idx="7">
                  <c:v>0.16385549843076927</c:v>
                </c:pt>
                <c:pt idx="8">
                  <c:v>0.14614139049230773</c:v>
                </c:pt>
                <c:pt idx="9">
                  <c:v>0.12842728255384619</c:v>
                </c:pt>
                <c:pt idx="10">
                  <c:v>0.11071317461538466</c:v>
                </c:pt>
                <c:pt idx="11">
                  <c:v>9.299906667692312E-2</c:v>
                </c:pt>
                <c:pt idx="12">
                  <c:v>7.5284958738461583E-2</c:v>
                </c:pt>
                <c:pt idx="13">
                  <c:v>5.7570850800000045E-2</c:v>
                </c:pt>
                <c:pt idx="14">
                  <c:v>5.3732794080000042E-2</c:v>
                </c:pt>
                <c:pt idx="15">
                  <c:v>4.9894737360000038E-2</c:v>
                </c:pt>
                <c:pt idx="16">
                  <c:v>4.6056680640000035E-2</c:v>
                </c:pt>
                <c:pt idx="17">
                  <c:v>4.2218623920000031E-2</c:v>
                </c:pt>
                <c:pt idx="18">
                  <c:v>3.8380567200000028E-2</c:v>
                </c:pt>
                <c:pt idx="19">
                  <c:v>3.4542510480000024E-2</c:v>
                </c:pt>
                <c:pt idx="20">
                  <c:v>3.0704453760000021E-2</c:v>
                </c:pt>
                <c:pt idx="21">
                  <c:v>2.6866397040000017E-2</c:v>
                </c:pt>
                <c:pt idx="22">
                  <c:v>2.3028340320000014E-2</c:v>
                </c:pt>
                <c:pt idx="23">
                  <c:v>1.919028360000001E-2</c:v>
                </c:pt>
                <c:pt idx="24">
                  <c:v>1.5352226880000007E-2</c:v>
                </c:pt>
                <c:pt idx="25">
                  <c:v>1.1514170160000003E-2</c:v>
                </c:pt>
                <c:pt idx="26">
                  <c:v>7.67611344E-3</c:v>
                </c:pt>
                <c:pt idx="27">
                  <c:v>3.838056719999997E-3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68-4488-9BC1-3475423E44EC}"/>
            </c:ext>
          </c:extLst>
        </c:ser>
        <c:ser>
          <c:idx val="4"/>
          <c:order val="4"/>
          <c:tx>
            <c:strRef>
              <c:f>'80% by 2035, 100% by 2050'!$F$2</c:f>
              <c:strCache>
                <c:ptCount val="1"/>
                <c:pt idx="0">
                  <c:v>NYUP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'80% by 2035, 100% by 2050'!$A$3:$A$63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'80% by 2035, 100% by 2050'!$F$3:$F$63</c:f>
              <c:numCache>
                <c:formatCode>General</c:formatCode>
                <c:ptCount val="61"/>
                <c:pt idx="0">
                  <c:v>0.10591835400000001</c:v>
                </c:pt>
                <c:pt idx="1">
                  <c:v>9.9400301446153846E-2</c:v>
                </c:pt>
                <c:pt idx="2">
                  <c:v>9.2882248892307687E-2</c:v>
                </c:pt>
                <c:pt idx="3">
                  <c:v>8.6364196338461527E-2</c:v>
                </c:pt>
                <c:pt idx="4">
                  <c:v>7.9846143784615367E-2</c:v>
                </c:pt>
                <c:pt idx="5">
                  <c:v>7.3328091230769207E-2</c:v>
                </c:pt>
                <c:pt idx="6">
                  <c:v>6.6810038676923048E-2</c:v>
                </c:pt>
                <c:pt idx="7">
                  <c:v>6.0291986123076895E-2</c:v>
                </c:pt>
                <c:pt idx="8">
                  <c:v>5.3773933569230742E-2</c:v>
                </c:pt>
                <c:pt idx="9">
                  <c:v>4.7255881015384589E-2</c:v>
                </c:pt>
                <c:pt idx="10">
                  <c:v>4.0737828461538436E-2</c:v>
                </c:pt>
                <c:pt idx="11">
                  <c:v>3.4219775907692283E-2</c:v>
                </c:pt>
                <c:pt idx="12">
                  <c:v>2.770172335384613E-2</c:v>
                </c:pt>
                <c:pt idx="13">
                  <c:v>2.1183670799999978E-2</c:v>
                </c:pt>
                <c:pt idx="14">
                  <c:v>1.9771426079999981E-2</c:v>
                </c:pt>
                <c:pt idx="15">
                  <c:v>1.8359181359999983E-2</c:v>
                </c:pt>
                <c:pt idx="16">
                  <c:v>1.6946936639999986E-2</c:v>
                </c:pt>
                <c:pt idx="17">
                  <c:v>1.5534691919999987E-2</c:v>
                </c:pt>
                <c:pt idx="18">
                  <c:v>1.4122447199999989E-2</c:v>
                </c:pt>
                <c:pt idx="19">
                  <c:v>1.271020247999999E-2</c:v>
                </c:pt>
                <c:pt idx="20">
                  <c:v>1.1297957759999991E-2</c:v>
                </c:pt>
                <c:pt idx="21">
                  <c:v>9.885713039999992E-3</c:v>
                </c:pt>
                <c:pt idx="22">
                  <c:v>8.4734683199999931E-3</c:v>
                </c:pt>
                <c:pt idx="23">
                  <c:v>7.0612235999999943E-3</c:v>
                </c:pt>
                <c:pt idx="24">
                  <c:v>5.6489788799999954E-3</c:v>
                </c:pt>
                <c:pt idx="25">
                  <c:v>4.2367341599999966E-3</c:v>
                </c:pt>
                <c:pt idx="26">
                  <c:v>2.8244894399999981E-3</c:v>
                </c:pt>
                <c:pt idx="27">
                  <c:v>1.4122447199999997E-3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68-4488-9BC1-3475423E4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258016"/>
        <c:axId val="2016250528"/>
      </c:lineChart>
      <c:catAx>
        <c:axId val="20162580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0528"/>
        <c:crosses val="autoZero"/>
        <c:auto val="0"/>
        <c:lblAlgn val="ctr"/>
        <c:lblOffset val="100"/>
        <c:tickLblSkip val="5"/>
        <c:noMultiLvlLbl val="0"/>
      </c:catAx>
      <c:valAx>
        <c:axId val="20162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kgCO2e/kWh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Business as Usual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'Business as Usual'!$B$2</c:f>
              <c:strCache>
                <c:ptCount val="1"/>
                <c:pt idx="0">
                  <c:v>US-Average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'Business as Usual'!$A$3:$A$63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'Business as Usual'!$B$3:$B$63</c:f>
              <c:numCache>
                <c:formatCode>General</c:formatCode>
                <c:ptCount val="61"/>
                <c:pt idx="0">
                  <c:v>0.37117</c:v>
                </c:pt>
                <c:pt idx="1">
                  <c:v>0.37117</c:v>
                </c:pt>
                <c:pt idx="2">
                  <c:v>0.37117</c:v>
                </c:pt>
                <c:pt idx="3">
                  <c:v>0.37117</c:v>
                </c:pt>
                <c:pt idx="4">
                  <c:v>0.37117</c:v>
                </c:pt>
                <c:pt idx="5">
                  <c:v>0.37117</c:v>
                </c:pt>
                <c:pt idx="6">
                  <c:v>0.37117</c:v>
                </c:pt>
                <c:pt idx="7">
                  <c:v>0.37117</c:v>
                </c:pt>
                <c:pt idx="8">
                  <c:v>0.37117</c:v>
                </c:pt>
                <c:pt idx="9">
                  <c:v>0.37117</c:v>
                </c:pt>
                <c:pt idx="10">
                  <c:v>0.37117</c:v>
                </c:pt>
                <c:pt idx="11">
                  <c:v>0.37117</c:v>
                </c:pt>
                <c:pt idx="12">
                  <c:v>0.37117</c:v>
                </c:pt>
                <c:pt idx="13">
                  <c:v>0.37117</c:v>
                </c:pt>
                <c:pt idx="14">
                  <c:v>0.37117</c:v>
                </c:pt>
                <c:pt idx="15">
                  <c:v>0.37117</c:v>
                </c:pt>
                <c:pt idx="16">
                  <c:v>0.37117</c:v>
                </c:pt>
                <c:pt idx="17">
                  <c:v>0.37117</c:v>
                </c:pt>
                <c:pt idx="18">
                  <c:v>0.37117</c:v>
                </c:pt>
                <c:pt idx="19">
                  <c:v>0.37117</c:v>
                </c:pt>
                <c:pt idx="20">
                  <c:v>0.37117</c:v>
                </c:pt>
                <c:pt idx="21">
                  <c:v>0.37117</c:v>
                </c:pt>
                <c:pt idx="22">
                  <c:v>0.37117</c:v>
                </c:pt>
                <c:pt idx="23">
                  <c:v>0.37117</c:v>
                </c:pt>
                <c:pt idx="24">
                  <c:v>0.37117</c:v>
                </c:pt>
                <c:pt idx="25">
                  <c:v>0.37117</c:v>
                </c:pt>
                <c:pt idx="26">
                  <c:v>0.37117</c:v>
                </c:pt>
                <c:pt idx="27">
                  <c:v>0.37117</c:v>
                </c:pt>
                <c:pt idx="28">
                  <c:v>0.37117</c:v>
                </c:pt>
                <c:pt idx="29">
                  <c:v>0.37117</c:v>
                </c:pt>
                <c:pt idx="30">
                  <c:v>0.37117</c:v>
                </c:pt>
                <c:pt idx="31">
                  <c:v>0.37117</c:v>
                </c:pt>
                <c:pt idx="32">
                  <c:v>0.37117</c:v>
                </c:pt>
                <c:pt idx="33">
                  <c:v>0.37117</c:v>
                </c:pt>
                <c:pt idx="34">
                  <c:v>0.37117</c:v>
                </c:pt>
                <c:pt idx="35">
                  <c:v>0.37117</c:v>
                </c:pt>
                <c:pt idx="36">
                  <c:v>0.37117</c:v>
                </c:pt>
                <c:pt idx="37">
                  <c:v>0.37117</c:v>
                </c:pt>
                <c:pt idx="38">
                  <c:v>0.37117</c:v>
                </c:pt>
                <c:pt idx="39">
                  <c:v>0.37117</c:v>
                </c:pt>
                <c:pt idx="40">
                  <c:v>0.37117</c:v>
                </c:pt>
                <c:pt idx="41">
                  <c:v>0.37117</c:v>
                </c:pt>
                <c:pt idx="42">
                  <c:v>0.37117</c:v>
                </c:pt>
                <c:pt idx="43">
                  <c:v>0.37117</c:v>
                </c:pt>
                <c:pt idx="44">
                  <c:v>0.37117</c:v>
                </c:pt>
                <c:pt idx="45">
                  <c:v>0.37117</c:v>
                </c:pt>
                <c:pt idx="46">
                  <c:v>0.37117</c:v>
                </c:pt>
                <c:pt idx="47">
                  <c:v>0.37117</c:v>
                </c:pt>
                <c:pt idx="48">
                  <c:v>0.37117</c:v>
                </c:pt>
                <c:pt idx="49">
                  <c:v>0.37117</c:v>
                </c:pt>
                <c:pt idx="50">
                  <c:v>0.37117</c:v>
                </c:pt>
                <c:pt idx="51">
                  <c:v>0.37117</c:v>
                </c:pt>
                <c:pt idx="52">
                  <c:v>0.37117</c:v>
                </c:pt>
                <c:pt idx="53">
                  <c:v>0.37117</c:v>
                </c:pt>
                <c:pt idx="54">
                  <c:v>0.37117</c:v>
                </c:pt>
                <c:pt idx="55">
                  <c:v>0.37117</c:v>
                </c:pt>
                <c:pt idx="56">
                  <c:v>0.37117</c:v>
                </c:pt>
                <c:pt idx="57">
                  <c:v>0.37117</c:v>
                </c:pt>
                <c:pt idx="58">
                  <c:v>0.37117</c:v>
                </c:pt>
                <c:pt idx="59">
                  <c:v>0.37117</c:v>
                </c:pt>
                <c:pt idx="60">
                  <c:v>0.37117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8-4723-8779-57268C20994D}"/>
            </c:ext>
          </c:extLst>
        </c:ser>
        <c:ser>
          <c:idx val="1"/>
          <c:order val="1"/>
          <c:tx>
            <c:strRef>
              <c:f>'Business as Usual'!$C$2</c:f>
              <c:strCache>
                <c:ptCount val="1"/>
                <c:pt idx="0">
                  <c:v>FRCC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'Business as Usual'!$A$3:$A$63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'Business as Usual'!$C$3:$C$63</c:f>
              <c:numCache>
                <c:formatCode>General</c:formatCode>
                <c:ptCount val="61"/>
                <c:pt idx="0">
                  <c:v>0.378785916</c:v>
                </c:pt>
                <c:pt idx="1">
                  <c:v>0.378785916</c:v>
                </c:pt>
                <c:pt idx="2">
                  <c:v>0.378785916</c:v>
                </c:pt>
                <c:pt idx="3">
                  <c:v>0.378785916</c:v>
                </c:pt>
                <c:pt idx="4">
                  <c:v>0.378785916</c:v>
                </c:pt>
                <c:pt idx="5">
                  <c:v>0.378785916</c:v>
                </c:pt>
                <c:pt idx="6">
                  <c:v>0.378785916</c:v>
                </c:pt>
                <c:pt idx="7">
                  <c:v>0.378785916</c:v>
                </c:pt>
                <c:pt idx="8">
                  <c:v>0.378785916</c:v>
                </c:pt>
                <c:pt idx="9">
                  <c:v>0.378785916</c:v>
                </c:pt>
                <c:pt idx="10">
                  <c:v>0.378785916</c:v>
                </c:pt>
                <c:pt idx="11">
                  <c:v>0.378785916</c:v>
                </c:pt>
                <c:pt idx="12">
                  <c:v>0.378785916</c:v>
                </c:pt>
                <c:pt idx="13">
                  <c:v>0.378785916</c:v>
                </c:pt>
                <c:pt idx="14">
                  <c:v>0.378785916</c:v>
                </c:pt>
                <c:pt idx="15">
                  <c:v>0.378785916</c:v>
                </c:pt>
                <c:pt idx="16">
                  <c:v>0.378785916</c:v>
                </c:pt>
                <c:pt idx="17">
                  <c:v>0.378785916</c:v>
                </c:pt>
                <c:pt idx="18">
                  <c:v>0.378785916</c:v>
                </c:pt>
                <c:pt idx="19">
                  <c:v>0.378785916</c:v>
                </c:pt>
                <c:pt idx="20">
                  <c:v>0.378785916</c:v>
                </c:pt>
                <c:pt idx="21">
                  <c:v>0.378785916</c:v>
                </c:pt>
                <c:pt idx="22">
                  <c:v>0.378785916</c:v>
                </c:pt>
                <c:pt idx="23">
                  <c:v>0.378785916</c:v>
                </c:pt>
                <c:pt idx="24">
                  <c:v>0.378785916</c:v>
                </c:pt>
                <c:pt idx="25">
                  <c:v>0.378785916</c:v>
                </c:pt>
                <c:pt idx="26">
                  <c:v>0.378785916</c:v>
                </c:pt>
                <c:pt idx="27">
                  <c:v>0.378785916</c:v>
                </c:pt>
                <c:pt idx="28">
                  <c:v>0.378785916</c:v>
                </c:pt>
                <c:pt idx="29">
                  <c:v>0.378785916</c:v>
                </c:pt>
                <c:pt idx="30">
                  <c:v>0.378785916</c:v>
                </c:pt>
                <c:pt idx="31">
                  <c:v>0.378785916</c:v>
                </c:pt>
                <c:pt idx="32">
                  <c:v>0.378785916</c:v>
                </c:pt>
                <c:pt idx="33">
                  <c:v>0.378785916</c:v>
                </c:pt>
                <c:pt idx="34">
                  <c:v>0.378785916</c:v>
                </c:pt>
                <c:pt idx="35">
                  <c:v>0.378785916</c:v>
                </c:pt>
                <c:pt idx="36">
                  <c:v>0.378785916</c:v>
                </c:pt>
                <c:pt idx="37">
                  <c:v>0.378785916</c:v>
                </c:pt>
                <c:pt idx="38">
                  <c:v>0.378785916</c:v>
                </c:pt>
                <c:pt idx="39">
                  <c:v>0.378785916</c:v>
                </c:pt>
                <c:pt idx="40">
                  <c:v>0.378785916</c:v>
                </c:pt>
                <c:pt idx="41">
                  <c:v>0.378785916</c:v>
                </c:pt>
                <c:pt idx="42">
                  <c:v>0.378785916</c:v>
                </c:pt>
                <c:pt idx="43">
                  <c:v>0.378785916</c:v>
                </c:pt>
                <c:pt idx="44">
                  <c:v>0.378785916</c:v>
                </c:pt>
                <c:pt idx="45">
                  <c:v>0.378785916</c:v>
                </c:pt>
                <c:pt idx="46">
                  <c:v>0.378785916</c:v>
                </c:pt>
                <c:pt idx="47">
                  <c:v>0.378785916</c:v>
                </c:pt>
                <c:pt idx="48">
                  <c:v>0.378785916</c:v>
                </c:pt>
                <c:pt idx="49">
                  <c:v>0.378785916</c:v>
                </c:pt>
                <c:pt idx="50">
                  <c:v>0.378785916</c:v>
                </c:pt>
                <c:pt idx="51">
                  <c:v>0.378785916</c:v>
                </c:pt>
                <c:pt idx="52">
                  <c:v>0.378785916</c:v>
                </c:pt>
                <c:pt idx="53">
                  <c:v>0.378785916</c:v>
                </c:pt>
                <c:pt idx="54">
                  <c:v>0.378785916</c:v>
                </c:pt>
                <c:pt idx="55">
                  <c:v>0.378785916</c:v>
                </c:pt>
                <c:pt idx="56">
                  <c:v>0.378785916</c:v>
                </c:pt>
                <c:pt idx="57">
                  <c:v>0.378785916</c:v>
                </c:pt>
                <c:pt idx="58">
                  <c:v>0.378785916</c:v>
                </c:pt>
                <c:pt idx="59">
                  <c:v>0.378785916</c:v>
                </c:pt>
                <c:pt idx="60">
                  <c:v>0.378785916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8-4723-8779-57268C20994D}"/>
            </c:ext>
          </c:extLst>
        </c:ser>
        <c:ser>
          <c:idx val="2"/>
          <c:order val="2"/>
          <c:tx>
            <c:strRef>
              <c:f>'Business as Usual'!$D$2</c:f>
              <c:strCache>
                <c:ptCount val="1"/>
                <c:pt idx="0">
                  <c:v>CAMX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'Business as Usual'!$A$3:$A$63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'Business as Usual'!$D$3:$D$63</c:f>
              <c:numCache>
                <c:formatCode>General</c:formatCode>
                <c:ptCount val="61"/>
                <c:pt idx="0">
                  <c:v>0.23290153799999999</c:v>
                </c:pt>
                <c:pt idx="1">
                  <c:v>0.23290153799999999</c:v>
                </c:pt>
                <c:pt idx="2">
                  <c:v>0.23290153799999999</c:v>
                </c:pt>
                <c:pt idx="3">
                  <c:v>0.23290153799999999</c:v>
                </c:pt>
                <c:pt idx="4">
                  <c:v>0.23290153799999999</c:v>
                </c:pt>
                <c:pt idx="5">
                  <c:v>0.23290153799999999</c:v>
                </c:pt>
                <c:pt idx="6">
                  <c:v>0.23290153799999999</c:v>
                </c:pt>
                <c:pt idx="7">
                  <c:v>0.23290153799999999</c:v>
                </c:pt>
                <c:pt idx="8">
                  <c:v>0.23290153799999999</c:v>
                </c:pt>
                <c:pt idx="9">
                  <c:v>0.23290153799999999</c:v>
                </c:pt>
                <c:pt idx="10">
                  <c:v>0.23290153799999999</c:v>
                </c:pt>
                <c:pt idx="11">
                  <c:v>0.23290153799999999</c:v>
                </c:pt>
                <c:pt idx="12">
                  <c:v>0.23290153799999999</c:v>
                </c:pt>
                <c:pt idx="13">
                  <c:v>0.23290153799999999</c:v>
                </c:pt>
                <c:pt idx="14">
                  <c:v>0.23290153799999999</c:v>
                </c:pt>
                <c:pt idx="15">
                  <c:v>0.23290153799999999</c:v>
                </c:pt>
                <c:pt idx="16">
                  <c:v>0.23290153799999999</c:v>
                </c:pt>
                <c:pt idx="17">
                  <c:v>0.23290153799999999</c:v>
                </c:pt>
                <c:pt idx="18">
                  <c:v>0.23290153799999999</c:v>
                </c:pt>
                <c:pt idx="19">
                  <c:v>0.23290153799999999</c:v>
                </c:pt>
                <c:pt idx="20">
                  <c:v>0.23290153799999999</c:v>
                </c:pt>
                <c:pt idx="21">
                  <c:v>0.23290153799999999</c:v>
                </c:pt>
                <c:pt idx="22">
                  <c:v>0.23290153799999999</c:v>
                </c:pt>
                <c:pt idx="23">
                  <c:v>0.23290153799999999</c:v>
                </c:pt>
                <c:pt idx="24">
                  <c:v>0.23290153799999999</c:v>
                </c:pt>
                <c:pt idx="25">
                  <c:v>0.23290153799999999</c:v>
                </c:pt>
                <c:pt idx="26">
                  <c:v>0.23290153799999999</c:v>
                </c:pt>
                <c:pt idx="27">
                  <c:v>0.23290153799999999</c:v>
                </c:pt>
                <c:pt idx="28">
                  <c:v>0.23290153799999999</c:v>
                </c:pt>
                <c:pt idx="29">
                  <c:v>0.23290153799999999</c:v>
                </c:pt>
                <c:pt idx="30">
                  <c:v>0.23290153799999999</c:v>
                </c:pt>
                <c:pt idx="31">
                  <c:v>0.23290153799999999</c:v>
                </c:pt>
                <c:pt idx="32">
                  <c:v>0.23290153799999999</c:v>
                </c:pt>
                <c:pt idx="33">
                  <c:v>0.23290153799999999</c:v>
                </c:pt>
                <c:pt idx="34">
                  <c:v>0.23290153799999999</c:v>
                </c:pt>
                <c:pt idx="35">
                  <c:v>0.23290153799999999</c:v>
                </c:pt>
                <c:pt idx="36">
                  <c:v>0.23290153799999999</c:v>
                </c:pt>
                <c:pt idx="37">
                  <c:v>0.23290153799999999</c:v>
                </c:pt>
                <c:pt idx="38">
                  <c:v>0.23290153799999999</c:v>
                </c:pt>
                <c:pt idx="39">
                  <c:v>0.23290153799999999</c:v>
                </c:pt>
                <c:pt idx="40">
                  <c:v>0.23290153799999999</c:v>
                </c:pt>
                <c:pt idx="41">
                  <c:v>0.23290153799999999</c:v>
                </c:pt>
                <c:pt idx="42">
                  <c:v>0.23290153799999999</c:v>
                </c:pt>
                <c:pt idx="43">
                  <c:v>0.23290153799999999</c:v>
                </c:pt>
                <c:pt idx="44">
                  <c:v>0.23290153799999999</c:v>
                </c:pt>
                <c:pt idx="45">
                  <c:v>0.23290153799999999</c:v>
                </c:pt>
                <c:pt idx="46">
                  <c:v>0.23290153799999999</c:v>
                </c:pt>
                <c:pt idx="47">
                  <c:v>0.23290153799999999</c:v>
                </c:pt>
                <c:pt idx="48">
                  <c:v>0.23290153799999999</c:v>
                </c:pt>
                <c:pt idx="49">
                  <c:v>0.23290153799999999</c:v>
                </c:pt>
                <c:pt idx="50">
                  <c:v>0.23290153799999999</c:v>
                </c:pt>
                <c:pt idx="51">
                  <c:v>0.23290153799999999</c:v>
                </c:pt>
                <c:pt idx="52">
                  <c:v>0.23290153799999999</c:v>
                </c:pt>
                <c:pt idx="53">
                  <c:v>0.23290153799999999</c:v>
                </c:pt>
                <c:pt idx="54">
                  <c:v>0.23290153799999999</c:v>
                </c:pt>
                <c:pt idx="55">
                  <c:v>0.23290153799999999</c:v>
                </c:pt>
                <c:pt idx="56">
                  <c:v>0.23290153799999999</c:v>
                </c:pt>
                <c:pt idx="57">
                  <c:v>0.23290153799999999</c:v>
                </c:pt>
                <c:pt idx="58">
                  <c:v>0.23290153799999999</c:v>
                </c:pt>
                <c:pt idx="59">
                  <c:v>0.23290153799999999</c:v>
                </c:pt>
                <c:pt idx="60">
                  <c:v>0.23290153799999999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8-4723-8779-57268C20994D}"/>
            </c:ext>
          </c:extLst>
        </c:ser>
        <c:ser>
          <c:idx val="3"/>
          <c:order val="3"/>
          <c:tx>
            <c:strRef>
              <c:f>'Business as Usual'!$E$2</c:f>
              <c:strCache>
                <c:ptCount val="1"/>
                <c:pt idx="0">
                  <c:v>NYCW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'Business as Usual'!$A$3:$A$63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'Business as Usual'!$E$3:$E$63</c:f>
              <c:numCache>
                <c:formatCode>General</c:formatCode>
                <c:ptCount val="61"/>
                <c:pt idx="0">
                  <c:v>0.28785425399999998</c:v>
                </c:pt>
                <c:pt idx="1">
                  <c:v>0.28785425399999998</c:v>
                </c:pt>
                <c:pt idx="2">
                  <c:v>0.28785425399999998</c:v>
                </c:pt>
                <c:pt idx="3">
                  <c:v>0.28785425399999998</c:v>
                </c:pt>
                <c:pt idx="4">
                  <c:v>0.28785425399999998</c:v>
                </c:pt>
                <c:pt idx="5">
                  <c:v>0.28785425399999998</c:v>
                </c:pt>
                <c:pt idx="6">
                  <c:v>0.28785425399999998</c:v>
                </c:pt>
                <c:pt idx="7">
                  <c:v>0.28785425399999998</c:v>
                </c:pt>
                <c:pt idx="8">
                  <c:v>0.28785425399999998</c:v>
                </c:pt>
                <c:pt idx="9">
                  <c:v>0.28785425399999998</c:v>
                </c:pt>
                <c:pt idx="10">
                  <c:v>0.28785425399999998</c:v>
                </c:pt>
                <c:pt idx="11">
                  <c:v>0.28785425399999998</c:v>
                </c:pt>
                <c:pt idx="12">
                  <c:v>0.28785425399999998</c:v>
                </c:pt>
                <c:pt idx="13">
                  <c:v>0.28785425399999998</c:v>
                </c:pt>
                <c:pt idx="14">
                  <c:v>0.28785425399999998</c:v>
                </c:pt>
                <c:pt idx="15">
                  <c:v>0.28785425399999998</c:v>
                </c:pt>
                <c:pt idx="16">
                  <c:v>0.28785425399999998</c:v>
                </c:pt>
                <c:pt idx="17">
                  <c:v>0.28785425399999998</c:v>
                </c:pt>
                <c:pt idx="18">
                  <c:v>0.28785425399999998</c:v>
                </c:pt>
                <c:pt idx="19">
                  <c:v>0.28785425399999998</c:v>
                </c:pt>
                <c:pt idx="20">
                  <c:v>0.28785425399999998</c:v>
                </c:pt>
                <c:pt idx="21">
                  <c:v>0.28785425399999998</c:v>
                </c:pt>
                <c:pt idx="22">
                  <c:v>0.28785425399999998</c:v>
                </c:pt>
                <c:pt idx="23">
                  <c:v>0.28785425399999998</c:v>
                </c:pt>
                <c:pt idx="24">
                  <c:v>0.28785425399999998</c:v>
                </c:pt>
                <c:pt idx="25">
                  <c:v>0.28785425399999998</c:v>
                </c:pt>
                <c:pt idx="26">
                  <c:v>0.28785425399999998</c:v>
                </c:pt>
                <c:pt idx="27">
                  <c:v>0.28785425399999998</c:v>
                </c:pt>
                <c:pt idx="28">
                  <c:v>0.28785425399999998</c:v>
                </c:pt>
                <c:pt idx="29">
                  <c:v>0.28785425399999998</c:v>
                </c:pt>
                <c:pt idx="30">
                  <c:v>0.28785425399999998</c:v>
                </c:pt>
                <c:pt idx="31">
                  <c:v>0.28785425399999998</c:v>
                </c:pt>
                <c:pt idx="32">
                  <c:v>0.28785425399999998</c:v>
                </c:pt>
                <c:pt idx="33">
                  <c:v>0.28785425399999998</c:v>
                </c:pt>
                <c:pt idx="34">
                  <c:v>0.28785425399999998</c:v>
                </c:pt>
                <c:pt idx="35">
                  <c:v>0.28785425399999998</c:v>
                </c:pt>
                <c:pt idx="36">
                  <c:v>0.28785425399999998</c:v>
                </c:pt>
                <c:pt idx="37">
                  <c:v>0.28785425399999998</c:v>
                </c:pt>
                <c:pt idx="38">
                  <c:v>0.28785425399999998</c:v>
                </c:pt>
                <c:pt idx="39">
                  <c:v>0.28785425399999998</c:v>
                </c:pt>
                <c:pt idx="40">
                  <c:v>0.28785425399999998</c:v>
                </c:pt>
                <c:pt idx="41">
                  <c:v>0.28785425399999998</c:v>
                </c:pt>
                <c:pt idx="42">
                  <c:v>0.28785425399999998</c:v>
                </c:pt>
                <c:pt idx="43">
                  <c:v>0.28785425399999998</c:v>
                </c:pt>
                <c:pt idx="44">
                  <c:v>0.28785425399999998</c:v>
                </c:pt>
                <c:pt idx="45">
                  <c:v>0.28785425399999998</c:v>
                </c:pt>
                <c:pt idx="46">
                  <c:v>0.28785425399999998</c:v>
                </c:pt>
                <c:pt idx="47">
                  <c:v>0.28785425399999998</c:v>
                </c:pt>
                <c:pt idx="48">
                  <c:v>0.28785425399999998</c:v>
                </c:pt>
                <c:pt idx="49">
                  <c:v>0.28785425399999998</c:v>
                </c:pt>
                <c:pt idx="50">
                  <c:v>0.28785425399999998</c:v>
                </c:pt>
                <c:pt idx="51">
                  <c:v>0.28785425399999998</c:v>
                </c:pt>
                <c:pt idx="52">
                  <c:v>0.28785425399999998</c:v>
                </c:pt>
                <c:pt idx="53">
                  <c:v>0.28785425399999998</c:v>
                </c:pt>
                <c:pt idx="54">
                  <c:v>0.28785425399999998</c:v>
                </c:pt>
                <c:pt idx="55">
                  <c:v>0.28785425399999998</c:v>
                </c:pt>
                <c:pt idx="56">
                  <c:v>0.28785425399999998</c:v>
                </c:pt>
                <c:pt idx="57">
                  <c:v>0.28785425399999998</c:v>
                </c:pt>
                <c:pt idx="58">
                  <c:v>0.28785425399999998</c:v>
                </c:pt>
                <c:pt idx="59">
                  <c:v>0.28785425399999998</c:v>
                </c:pt>
                <c:pt idx="60">
                  <c:v>0.28785425399999998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8-4723-8779-57268C20994D}"/>
            </c:ext>
          </c:extLst>
        </c:ser>
        <c:ser>
          <c:idx val="4"/>
          <c:order val="4"/>
          <c:tx>
            <c:strRef>
              <c:f>'Business as Usual'!$F$2</c:f>
              <c:strCache>
                <c:ptCount val="1"/>
                <c:pt idx="0">
                  <c:v>NYUP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'Business as Usual'!$A$3:$A$63</c:f>
              <c:numCache>
                <c:formatCode>General</c:formatCode>
                <c:ptCount val="6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</c:numCache>
            </c:numRef>
          </c:cat>
          <c:val>
            <c:numRef>
              <c:f>'Business as Usual'!$F$3:$F$63</c:f>
              <c:numCache>
                <c:formatCode>General</c:formatCode>
                <c:ptCount val="61"/>
                <c:pt idx="0">
                  <c:v>0.10591835400000001</c:v>
                </c:pt>
                <c:pt idx="1">
                  <c:v>0.10591835400000001</c:v>
                </c:pt>
                <c:pt idx="2">
                  <c:v>0.10591835400000001</c:v>
                </c:pt>
                <c:pt idx="3">
                  <c:v>0.10591835400000001</c:v>
                </c:pt>
                <c:pt idx="4">
                  <c:v>0.10591835400000001</c:v>
                </c:pt>
                <c:pt idx="5">
                  <c:v>0.10591835400000001</c:v>
                </c:pt>
                <c:pt idx="6">
                  <c:v>0.10591835400000001</c:v>
                </c:pt>
                <c:pt idx="7">
                  <c:v>0.10591835400000001</c:v>
                </c:pt>
                <c:pt idx="8">
                  <c:v>0.10591835400000001</c:v>
                </c:pt>
                <c:pt idx="9">
                  <c:v>0.10591835400000001</c:v>
                </c:pt>
                <c:pt idx="10">
                  <c:v>0.10591835400000001</c:v>
                </c:pt>
                <c:pt idx="11">
                  <c:v>0.10591835400000001</c:v>
                </c:pt>
                <c:pt idx="12">
                  <c:v>0.10591835400000001</c:v>
                </c:pt>
                <c:pt idx="13">
                  <c:v>0.10591835400000001</c:v>
                </c:pt>
                <c:pt idx="14">
                  <c:v>0.10591835400000001</c:v>
                </c:pt>
                <c:pt idx="15">
                  <c:v>0.10591835400000001</c:v>
                </c:pt>
                <c:pt idx="16">
                  <c:v>0.10591835400000001</c:v>
                </c:pt>
                <c:pt idx="17">
                  <c:v>0.10591835400000001</c:v>
                </c:pt>
                <c:pt idx="18">
                  <c:v>0.10591835400000001</c:v>
                </c:pt>
                <c:pt idx="19">
                  <c:v>0.10591835400000001</c:v>
                </c:pt>
                <c:pt idx="20">
                  <c:v>0.10591835400000001</c:v>
                </c:pt>
                <c:pt idx="21">
                  <c:v>0.10591835400000001</c:v>
                </c:pt>
                <c:pt idx="22">
                  <c:v>0.10591835400000001</c:v>
                </c:pt>
                <c:pt idx="23">
                  <c:v>0.10591835400000001</c:v>
                </c:pt>
                <c:pt idx="24">
                  <c:v>0.10591835400000001</c:v>
                </c:pt>
                <c:pt idx="25">
                  <c:v>0.10591835400000001</c:v>
                </c:pt>
                <c:pt idx="26">
                  <c:v>0.10591835400000001</c:v>
                </c:pt>
                <c:pt idx="27">
                  <c:v>0.10591835400000001</c:v>
                </c:pt>
                <c:pt idx="28">
                  <c:v>0.10591835400000001</c:v>
                </c:pt>
                <c:pt idx="29">
                  <c:v>0.10591835400000001</c:v>
                </c:pt>
                <c:pt idx="30">
                  <c:v>0.10591835400000001</c:v>
                </c:pt>
                <c:pt idx="31">
                  <c:v>0.10591835400000001</c:v>
                </c:pt>
                <c:pt idx="32">
                  <c:v>0.10591835400000001</c:v>
                </c:pt>
                <c:pt idx="33">
                  <c:v>0.10591835400000001</c:v>
                </c:pt>
                <c:pt idx="34">
                  <c:v>0.10591835400000001</c:v>
                </c:pt>
                <c:pt idx="35">
                  <c:v>0.10591835400000001</c:v>
                </c:pt>
                <c:pt idx="36">
                  <c:v>0.10591835400000001</c:v>
                </c:pt>
                <c:pt idx="37">
                  <c:v>0.10591835400000001</c:v>
                </c:pt>
                <c:pt idx="38">
                  <c:v>0.10591835400000001</c:v>
                </c:pt>
                <c:pt idx="39">
                  <c:v>0.10591835400000001</c:v>
                </c:pt>
                <c:pt idx="40">
                  <c:v>0.10591835400000001</c:v>
                </c:pt>
                <c:pt idx="41">
                  <c:v>0.10591835400000001</c:v>
                </c:pt>
                <c:pt idx="42">
                  <c:v>0.10591835400000001</c:v>
                </c:pt>
                <c:pt idx="43">
                  <c:v>0.10591835400000001</c:v>
                </c:pt>
                <c:pt idx="44">
                  <c:v>0.10591835400000001</c:v>
                </c:pt>
                <c:pt idx="45">
                  <c:v>0.10591835400000001</c:v>
                </c:pt>
                <c:pt idx="46">
                  <c:v>0.10591835400000001</c:v>
                </c:pt>
                <c:pt idx="47">
                  <c:v>0.10591835400000001</c:v>
                </c:pt>
                <c:pt idx="48">
                  <c:v>0.10591835400000001</c:v>
                </c:pt>
                <c:pt idx="49">
                  <c:v>0.10591835400000001</c:v>
                </c:pt>
                <c:pt idx="50">
                  <c:v>0.10591835400000001</c:v>
                </c:pt>
                <c:pt idx="51">
                  <c:v>0.10591835400000001</c:v>
                </c:pt>
                <c:pt idx="52">
                  <c:v>0.10591835400000001</c:v>
                </c:pt>
                <c:pt idx="53">
                  <c:v>0.10591835400000001</c:v>
                </c:pt>
                <c:pt idx="54">
                  <c:v>0.10591835400000001</c:v>
                </c:pt>
                <c:pt idx="55">
                  <c:v>0.10591835400000001</c:v>
                </c:pt>
                <c:pt idx="56">
                  <c:v>0.10591835400000001</c:v>
                </c:pt>
                <c:pt idx="57">
                  <c:v>0.10591835400000001</c:v>
                </c:pt>
                <c:pt idx="58">
                  <c:v>0.10591835400000001</c:v>
                </c:pt>
                <c:pt idx="59">
                  <c:v>0.10591835400000001</c:v>
                </c:pt>
                <c:pt idx="60">
                  <c:v>0.10591835400000001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8-4723-8779-57268C209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258016"/>
        <c:axId val="2016250528"/>
      </c:lineChart>
      <c:catAx>
        <c:axId val="20162580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0528"/>
        <c:crosses val="autoZero"/>
        <c:auto val="0"/>
        <c:lblAlgn val="ctr"/>
        <c:lblOffset val="100"/>
        <c:tickLblSkip val="5"/>
        <c:noMultiLvlLbl val="0"/>
      </c:catAx>
      <c:valAx>
        <c:axId val="20162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kgCO2e/kWh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'Low EC - Gas'!$A$2</c:f>
              <c:strCache>
                <c:ptCount val="1"/>
                <c:pt idx="0">
                  <c:v>SFE - 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'Low EC - Gas'!$B$1:$E$1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'Low EC - Gas'!$B$2:$E$2</c:f>
              <c:numCache>
                <c:formatCode>#,##0.00</c:formatCode>
                <c:ptCount val="4"/>
                <c:pt idx="0">
                  <c:v>137.95154583200249</c:v>
                </c:pt>
                <c:pt idx="1">
                  <c:v>137.95154583200249</c:v>
                </c:pt>
                <c:pt idx="2">
                  <c:v>137.95154583200249</c:v>
                </c:pt>
                <c:pt idx="3">
                  <c:v>137.95154583200249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8-4559-B0EE-C537A5C0686A}"/>
            </c:ext>
          </c:extLst>
        </c:ser>
        <c:ser>
          <c:idx val="1"/>
          <c:order val="1"/>
          <c:tx>
            <c:strRef>
              <c:f>'Low EC - Gas'!$A$4</c:f>
              <c:strCache>
                <c:ptCount val="1"/>
                <c:pt idx="0">
                  <c:v>MEP - EC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'Low EC - Gas'!$B$1:$E$1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'Low EC - Gas'!$B$4:$E$4</c:f>
              <c:numCache>
                <c:formatCode>#,##0.00</c:formatCode>
                <c:ptCount val="4"/>
                <c:pt idx="0">
                  <c:v>186.38959287767483</c:v>
                </c:pt>
                <c:pt idx="1">
                  <c:v>186.38959287767486</c:v>
                </c:pt>
                <c:pt idx="2">
                  <c:v>185.14821632066429</c:v>
                </c:pt>
                <c:pt idx="3">
                  <c:v>185.14821632066429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8-4559-B0EE-C537A5C0686A}"/>
            </c:ext>
          </c:extLst>
        </c:ser>
        <c:ser>
          <c:idx val="2"/>
          <c:order val="2"/>
          <c:tx>
            <c:strRef>
              <c:f>'Low EC - Gas'!$A$3</c:f>
              <c:strCache>
                <c:ptCount val="1"/>
                <c:pt idx="0">
                  <c:v>Refrigerants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'Low EC - Gas'!$B$3:$E$3</c:f>
              <c:numCache>
                <c:formatCode>#,##0.00</c:formatCode>
                <c:ptCount val="4"/>
                <c:pt idx="0">
                  <c:v>365.60359952178851</c:v>
                </c:pt>
                <c:pt idx="1">
                  <c:v>365.60359952178851</c:v>
                </c:pt>
                <c:pt idx="2">
                  <c:v>365.60359952178851</c:v>
                </c:pt>
                <c:pt idx="3">
                  <c:v>365.60359952178851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9-4780-A58C-0ED71D93F250}"/>
            </c:ext>
          </c:extLst>
        </c:ser>
        <c:ser>
          <c:idx val="4"/>
          <c:order val="3"/>
          <c:tx>
            <c:strRef>
              <c:f>'Low EC - Gas'!$A$13</c:f>
              <c:strCache>
                <c:ptCount val="1"/>
                <c:pt idx="0">
                  <c:v>Total - OC (kgCO2e)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'Low EC - Gas'!$B$1:$E$1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'Low EC - Gas'!$B$13:$E$13</c:f>
              <c:numCache>
                <c:formatCode>#,##0.00</c:formatCode>
                <c:ptCount val="4"/>
                <c:pt idx="0">
                  <c:v>1632.6871921244015</c:v>
                </c:pt>
                <c:pt idx="1">
                  <c:v>1376.2392312560107</c:v>
                </c:pt>
                <c:pt idx="2">
                  <c:v>2189.6809033896939</c:v>
                </c:pt>
                <c:pt idx="3">
                  <c:v>2399.6051095447192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8-4559-B0EE-C537A5C06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97455"/>
        <c:axId val="126804111"/>
      </c:barChart>
      <c:catAx>
        <c:axId val="12679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Climate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4111"/>
        <c:crosses val="autoZero"/>
        <c:auto val="1"/>
        <c:lblAlgn val="ctr"/>
        <c:lblOffset val="100"/>
        <c:noMultiLvlLbl val="0"/>
      </c:catAx>
      <c:valAx>
        <c:axId val="1268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kgCO2e/m2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'Base - Electric'!$A$2</c:f>
              <c:strCache>
                <c:ptCount val="1"/>
                <c:pt idx="0">
                  <c:v>SFE - 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'Base - Electric'!$B$1:$E$1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'Base - Electric'!$B$2:$E$2</c:f>
              <c:numCache>
                <c:formatCode>#,##0.00</c:formatCode>
                <c:ptCount val="4"/>
                <c:pt idx="0">
                  <c:v>405.76596678377535</c:v>
                </c:pt>
                <c:pt idx="1">
                  <c:v>407.2460370488663</c:v>
                </c:pt>
                <c:pt idx="2">
                  <c:v>409.08383966783788</c:v>
                </c:pt>
                <c:pt idx="3">
                  <c:v>409.08371830086247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E-4F9C-AC3D-6B7EA0562C57}"/>
            </c:ext>
          </c:extLst>
        </c:ser>
        <c:ser>
          <c:idx val="1"/>
          <c:order val="1"/>
          <c:tx>
            <c:strRef>
              <c:f>'Base - Electric'!$A$4</c:f>
              <c:strCache>
                <c:ptCount val="1"/>
                <c:pt idx="0">
                  <c:v>MEP - EC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'Base - Electric'!$B$1:$E$1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'Base - Electric'!$B$4:$E$4</c:f>
              <c:numCache>
                <c:formatCode>#,##0.00</c:formatCode>
                <c:ptCount val="4"/>
                <c:pt idx="0">
                  <c:v>189.44122175023952</c:v>
                </c:pt>
                <c:pt idx="1">
                  <c:v>189.44122175023952</c:v>
                </c:pt>
                <c:pt idx="2">
                  <c:v>188.19984519322898</c:v>
                </c:pt>
                <c:pt idx="3">
                  <c:v>188.19984519322898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E-4F9C-AC3D-6B7EA0562C57}"/>
            </c:ext>
          </c:extLst>
        </c:ser>
        <c:ser>
          <c:idx val="2"/>
          <c:order val="2"/>
          <c:tx>
            <c:strRef>
              <c:f>'Base - Electric'!$A$3</c:f>
              <c:strCache>
                <c:ptCount val="1"/>
                <c:pt idx="0">
                  <c:v>Refrigerants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'Base - Electric'!$B$3:$E$3</c:f>
              <c:numCache>
                <c:formatCode>#,##0.00</c:formatCode>
                <c:ptCount val="4"/>
                <c:pt idx="0">
                  <c:v>487.45703696600276</c:v>
                </c:pt>
                <c:pt idx="1">
                  <c:v>487.45703696600276</c:v>
                </c:pt>
                <c:pt idx="2">
                  <c:v>365.60359952178851</c:v>
                </c:pt>
                <c:pt idx="3">
                  <c:v>365.60359952178851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9-4BE4-BD00-BDCC0FC2ED7D}"/>
            </c:ext>
          </c:extLst>
        </c:ser>
        <c:ser>
          <c:idx val="4"/>
          <c:order val="3"/>
          <c:tx>
            <c:strRef>
              <c:f>'Base - Electric'!$A$8</c:f>
              <c:strCache>
                <c:ptCount val="1"/>
                <c:pt idx="0">
                  <c:v>Total OC (kgco2e)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 - Electric'!$B$1:$E$1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'Base - Electric'!$B$8:$E$8</c:f>
              <c:numCache>
                <c:formatCode>#,##0.00</c:formatCode>
                <c:ptCount val="4"/>
                <c:pt idx="0">
                  <c:v>1669.4858065236826</c:v>
                </c:pt>
                <c:pt idx="1">
                  <c:v>1455.3235311354238</c:v>
                </c:pt>
                <c:pt idx="2">
                  <c:v>2490.2005062715002</c:v>
                </c:pt>
                <c:pt idx="3">
                  <c:v>2775.4110497668448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CE-4F9C-AC3D-6B7EA0562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97455"/>
        <c:axId val="126804111"/>
      </c:barChart>
      <c:catAx>
        <c:axId val="12679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Climate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4111"/>
        <c:crosses val="autoZero"/>
        <c:auto val="1"/>
        <c:lblAlgn val="ctr"/>
        <c:lblOffset val="100"/>
        <c:noMultiLvlLbl val="0"/>
      </c:catAx>
      <c:valAx>
        <c:axId val="1268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kgCO2e/m2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'Low EC - Electric'!$A$2</c:f>
              <c:strCache>
                <c:ptCount val="1"/>
                <c:pt idx="0">
                  <c:v>SFE - 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'Low EC - Electric'!$B$1:$E$1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'Low EC - Electric'!$B$2:$E$2</c:f>
              <c:numCache>
                <c:formatCode>#,##0.00</c:formatCode>
                <c:ptCount val="4"/>
                <c:pt idx="0">
                  <c:v>137.95154583200249</c:v>
                </c:pt>
                <c:pt idx="1">
                  <c:v>137.95154583200249</c:v>
                </c:pt>
                <c:pt idx="2">
                  <c:v>137.95154583200249</c:v>
                </c:pt>
                <c:pt idx="3">
                  <c:v>137.95154583200249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0-4D5E-BBDC-7917FAA391F6}"/>
            </c:ext>
          </c:extLst>
        </c:ser>
        <c:ser>
          <c:idx val="1"/>
          <c:order val="1"/>
          <c:tx>
            <c:strRef>
              <c:f>'Low EC - Electric'!$A$4</c:f>
              <c:strCache>
                <c:ptCount val="1"/>
                <c:pt idx="0">
                  <c:v>MEP - EC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'Low EC - Electric'!$B$1:$E$1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'Low EC - Electric'!$B$4:$E$4</c:f>
              <c:numCache>
                <c:formatCode>#,##0.00</c:formatCode>
                <c:ptCount val="4"/>
                <c:pt idx="0">
                  <c:v>189.44122175023952</c:v>
                </c:pt>
                <c:pt idx="1">
                  <c:v>189.44122175023952</c:v>
                </c:pt>
                <c:pt idx="2">
                  <c:v>188.19984519322898</c:v>
                </c:pt>
                <c:pt idx="3">
                  <c:v>188.19984519322898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0-4D5E-BBDC-7917FAA391F6}"/>
            </c:ext>
          </c:extLst>
        </c:ser>
        <c:ser>
          <c:idx val="2"/>
          <c:order val="2"/>
          <c:tx>
            <c:strRef>
              <c:f>'Low EC - Electric'!$A$3</c:f>
              <c:strCache>
                <c:ptCount val="1"/>
                <c:pt idx="0">
                  <c:v>Refrigerants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'Low EC - Electric'!$B$3:$E$3</c:f>
              <c:numCache>
                <c:formatCode>#,##0.00</c:formatCode>
                <c:ptCount val="4"/>
                <c:pt idx="0">
                  <c:v>487.45703696600276</c:v>
                </c:pt>
                <c:pt idx="1">
                  <c:v>487.45703696600276</c:v>
                </c:pt>
                <c:pt idx="2">
                  <c:v>365.60359952178851</c:v>
                </c:pt>
                <c:pt idx="3">
                  <c:v>365.60359952178851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F-4272-97AA-DA3701215230}"/>
            </c:ext>
          </c:extLst>
        </c:ser>
        <c:ser>
          <c:idx val="4"/>
          <c:order val="3"/>
          <c:tx>
            <c:strRef>
              <c:f>'Low EC - Electric'!$A$8</c:f>
              <c:strCache>
                <c:ptCount val="1"/>
                <c:pt idx="0">
                  <c:v>Total OC (kgco2e)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'Low EC - Electric'!$B$1:$E$1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'Low EC - Electric'!$B$8:$E$8</c:f>
              <c:numCache>
                <c:formatCode>#,##0.00</c:formatCode>
                <c:ptCount val="4"/>
                <c:pt idx="0">
                  <c:v>1669.4858065236826</c:v>
                </c:pt>
                <c:pt idx="1">
                  <c:v>1455.3235311354238</c:v>
                </c:pt>
                <c:pt idx="2">
                  <c:v>2490.2005062715002</c:v>
                </c:pt>
                <c:pt idx="3">
                  <c:v>2775.4110497668448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E0-4D5E-BBDC-7917FAA39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97455"/>
        <c:axId val="126804111"/>
      </c:barChart>
      <c:catAx>
        <c:axId val="12679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Climate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4111"/>
        <c:crosses val="autoZero"/>
        <c:auto val="1"/>
        <c:lblAlgn val="ctr"/>
        <c:lblOffset val="100"/>
        <c:noMultiLvlLbl val="0"/>
      </c:catAx>
      <c:valAx>
        <c:axId val="1268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kgCO2e/m2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'PHIUS - Efficient Low EC'!$A$2</c:f>
              <c:strCache>
                <c:ptCount val="1"/>
                <c:pt idx="0">
                  <c:v>SFE - 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'PHIUS - Efficient Low EC'!$B$1:$E$1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'PHIUS - Efficient Low EC'!$B$2:$E$2</c:f>
              <c:numCache>
                <c:formatCode>#,##0.00</c:formatCode>
                <c:ptCount val="4"/>
                <c:pt idx="0">
                  <c:v>142.82977642925576</c:v>
                </c:pt>
                <c:pt idx="1">
                  <c:v>140.00370488661764</c:v>
                </c:pt>
                <c:pt idx="2">
                  <c:v>143.86278824656654</c:v>
                </c:pt>
                <c:pt idx="3">
                  <c:v>140.28146917917593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4-43C7-AF0F-00779F3184C0}"/>
            </c:ext>
          </c:extLst>
        </c:ser>
        <c:ser>
          <c:idx val="1"/>
          <c:order val="1"/>
          <c:tx>
            <c:strRef>
              <c:f>'PHIUS - Efficient Low EC'!$A$5</c:f>
              <c:strCache>
                <c:ptCount val="1"/>
                <c:pt idx="0">
                  <c:v>MEP - EC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'PHIUS - Efficient Low EC'!$B$1:$E$1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'PHIUS - Efficient Low EC'!$B$5:$E$5</c:f>
              <c:numCache>
                <c:formatCode>#,##0.00</c:formatCode>
                <c:ptCount val="4"/>
                <c:pt idx="0">
                  <c:v>138.33242069626317</c:v>
                </c:pt>
                <c:pt idx="1">
                  <c:v>139.64709189061955</c:v>
                </c:pt>
                <c:pt idx="2">
                  <c:v>123.50454082449859</c:v>
                </c:pt>
                <c:pt idx="3">
                  <c:v>140.00046461498877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4-43C7-AF0F-00779F3184C0}"/>
            </c:ext>
          </c:extLst>
        </c:ser>
        <c:ser>
          <c:idx val="2"/>
          <c:order val="2"/>
          <c:tx>
            <c:strRef>
              <c:f>'PHIUS - Efficient Low EC'!$A$3</c:f>
              <c:strCache>
                <c:ptCount val="1"/>
                <c:pt idx="0">
                  <c:v>Refrigerants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'PHIUS - Efficient Low EC'!$B$3:$E$3</c:f>
              <c:numCache>
                <c:formatCode>#,##0.00</c:formatCode>
                <c:ptCount val="4"/>
                <c:pt idx="0">
                  <c:v>322.72446777724156</c:v>
                </c:pt>
                <c:pt idx="1">
                  <c:v>389.86562279803661</c:v>
                </c:pt>
                <c:pt idx="2">
                  <c:v>265.44328793693495</c:v>
                </c:pt>
                <c:pt idx="3">
                  <c:v>389.86562279803661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0-4C69-9FE8-0B0D2560B67B}"/>
            </c:ext>
          </c:extLst>
        </c:ser>
        <c:ser>
          <c:idx val="4"/>
          <c:order val="3"/>
          <c:tx>
            <c:strRef>
              <c:f>'PHIUS - Efficient Low EC'!$A$9</c:f>
              <c:strCache>
                <c:ptCount val="1"/>
                <c:pt idx="0">
                  <c:v>Total - OC (kgco2e)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'PHIUS - Efficient Low EC'!$B$1:$E$1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'PHIUS - Efficient Low EC'!$B$9:$E$9</c:f>
              <c:numCache>
                <c:formatCode>#,##0.00</c:formatCode>
                <c:ptCount val="4"/>
                <c:pt idx="0">
                  <c:v>593.01158574511578</c:v>
                </c:pt>
                <c:pt idx="1">
                  <c:v>516.88947576257999</c:v>
                </c:pt>
                <c:pt idx="2">
                  <c:v>468.98853137195954</c:v>
                </c:pt>
                <c:pt idx="3">
                  <c:v>567.2953841800603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24-43C7-AF0F-00779F318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97455"/>
        <c:axId val="126804111"/>
      </c:barChart>
      <c:catAx>
        <c:axId val="12679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Climate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4111"/>
        <c:crosses val="autoZero"/>
        <c:auto val="1"/>
        <c:lblAlgn val="ctr"/>
        <c:lblOffset val="100"/>
        <c:noMultiLvlLbl val="0"/>
      </c:catAx>
      <c:valAx>
        <c:axId val="1268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kgCO2e/m2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'PHIUS - Efficient Standard EC'!$A$2</c:f>
              <c:strCache>
                <c:ptCount val="1"/>
                <c:pt idx="0">
                  <c:v>SFE - 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'PHIUS - Efficient Standard EC'!$B$1:$E$1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'PHIUS - Efficient Standard EC'!$B$2:$E$2</c:f>
              <c:numCache>
                <c:formatCode>#,##0.00</c:formatCode>
                <c:ptCount val="4"/>
                <c:pt idx="0">
                  <c:v>447.74589971255227</c:v>
                </c:pt>
                <c:pt idx="1">
                  <c:v>418.22197444905805</c:v>
                </c:pt>
                <c:pt idx="2">
                  <c:v>432.96516512296415</c:v>
                </c:pt>
                <c:pt idx="3">
                  <c:v>419.76226828489325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4D19-AA0C-B3842826CD69}"/>
            </c:ext>
          </c:extLst>
        </c:ser>
        <c:ser>
          <c:idx val="1"/>
          <c:order val="1"/>
          <c:tx>
            <c:strRef>
              <c:f>'PHIUS - Efficient Standard EC'!$A$5</c:f>
              <c:strCache>
                <c:ptCount val="1"/>
                <c:pt idx="0">
                  <c:v>MEP - EC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'PHIUS - Efficient Standard EC'!$B$1:$E$1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'PHIUS - Efficient Standard EC'!$B$5:$E$5</c:f>
              <c:numCache>
                <c:formatCode>#,##0.00</c:formatCode>
                <c:ptCount val="4"/>
                <c:pt idx="0">
                  <c:v>138.4643114569871</c:v>
                </c:pt>
                <c:pt idx="1">
                  <c:v>139.77898266034171</c:v>
                </c:pt>
                <c:pt idx="2">
                  <c:v>123.63643159422074</c:v>
                </c:pt>
                <c:pt idx="3">
                  <c:v>140.13235538471091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2-4D19-AA0C-B3842826CD69}"/>
            </c:ext>
          </c:extLst>
        </c:ser>
        <c:ser>
          <c:idx val="2"/>
          <c:order val="2"/>
          <c:tx>
            <c:strRef>
              <c:f>'PHIUS - Efficient Standard EC'!$A$3</c:f>
              <c:strCache>
                <c:ptCount val="1"/>
                <c:pt idx="0">
                  <c:v>Refrigerants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'PHIUS - Efficient Standard EC'!$B$3:$E$3</c:f>
              <c:numCache>
                <c:formatCode>#,##0.00</c:formatCode>
                <c:ptCount val="4"/>
                <c:pt idx="0">
                  <c:v>322.72446777724156</c:v>
                </c:pt>
                <c:pt idx="1">
                  <c:v>389.86562279803661</c:v>
                </c:pt>
                <c:pt idx="2">
                  <c:v>265.44328793693495</c:v>
                </c:pt>
                <c:pt idx="3">
                  <c:v>389.86562279803661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62-4D19-AA0C-B3842826CD69}"/>
            </c:ext>
          </c:extLst>
        </c:ser>
        <c:ser>
          <c:idx val="4"/>
          <c:order val="3"/>
          <c:tx>
            <c:strRef>
              <c:f>'PHIUS - Efficient Standard EC'!$A$9</c:f>
              <c:strCache>
                <c:ptCount val="1"/>
                <c:pt idx="0">
                  <c:v>Total OC (kgco2e)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'PHIUS - Efficient Standard EC'!$B$1:$E$1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'PHIUS - Efficient Standard EC'!$B$9:$E$9</c:f>
              <c:numCache>
                <c:formatCode>#,##0.00</c:formatCode>
                <c:ptCount val="4"/>
                <c:pt idx="0">
                  <c:v>593.01158574511578</c:v>
                </c:pt>
                <c:pt idx="1">
                  <c:v>516.88947576257999</c:v>
                </c:pt>
                <c:pt idx="2">
                  <c:v>468.98853137195954</c:v>
                </c:pt>
                <c:pt idx="3">
                  <c:v>567.2953841800603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62-4D19-AA0C-B3842826C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97455"/>
        <c:axId val="126804111"/>
      </c:barChart>
      <c:catAx>
        <c:axId val="12679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Climate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4111"/>
        <c:crosses val="autoZero"/>
        <c:auto val="1"/>
        <c:lblAlgn val="ctr"/>
        <c:lblOffset val="100"/>
        <c:noMultiLvlLbl val="0"/>
      </c:catAx>
      <c:valAx>
        <c:axId val="1268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kgCO2e/m2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'PHIUS - Inefficient High EC'!$A$2</c:f>
              <c:strCache>
                <c:ptCount val="1"/>
                <c:pt idx="0">
                  <c:v>SFE - 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'PHIUS - Inefficient High EC'!$B$1:$E$1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'PHIUS - Inefficient High EC'!$B$2:$E$2</c:f>
              <c:numCache>
                <c:formatCode>#,##0.00</c:formatCode>
                <c:ptCount val="4"/>
                <c:pt idx="0">
                  <c:v>481.10252698818294</c:v>
                </c:pt>
                <c:pt idx="1">
                  <c:v>490.64180229958504</c:v>
                </c:pt>
                <c:pt idx="2">
                  <c:v>503.26791440434386</c:v>
                </c:pt>
                <c:pt idx="3">
                  <c:v>533.1416697540725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8-4BE5-A81B-949B96B0F95C}"/>
            </c:ext>
          </c:extLst>
        </c:ser>
        <c:ser>
          <c:idx val="1"/>
          <c:order val="1"/>
          <c:tx>
            <c:strRef>
              <c:f>'PHIUS - Inefficient High EC'!$A$5</c:f>
              <c:strCache>
                <c:ptCount val="1"/>
                <c:pt idx="0">
                  <c:v>MEP - EC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'PHIUS - Inefficient High EC'!$B$1:$E$1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'PHIUS - Inefficient High EC'!$B$5:$E$5</c:f>
              <c:numCache>
                <c:formatCode>#,##0.00</c:formatCode>
                <c:ptCount val="4"/>
                <c:pt idx="0">
                  <c:v>145.06499840306611</c:v>
                </c:pt>
                <c:pt idx="1">
                  <c:v>144.55560204407539</c:v>
                </c:pt>
                <c:pt idx="2">
                  <c:v>144.99794314915366</c:v>
                </c:pt>
                <c:pt idx="3">
                  <c:v>144.93488022995848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8-4BE5-A81B-949B96B0F95C}"/>
            </c:ext>
          </c:extLst>
        </c:ser>
        <c:ser>
          <c:idx val="2"/>
          <c:order val="2"/>
          <c:tx>
            <c:strRef>
              <c:f>'PHIUS - Inefficient High EC'!$A$3</c:f>
              <c:strCache>
                <c:ptCount val="1"/>
                <c:pt idx="0">
                  <c:v>Refrigerants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'PHIUS - Inefficient High EC'!$B$3:$E$3</c:f>
              <c:numCache>
                <c:formatCode>#,##0.00</c:formatCode>
                <c:ptCount val="4"/>
                <c:pt idx="0">
                  <c:v>365.60359952178851</c:v>
                </c:pt>
                <c:pt idx="1">
                  <c:v>365.60359952178851</c:v>
                </c:pt>
                <c:pt idx="2">
                  <c:v>365.60359952178851</c:v>
                </c:pt>
                <c:pt idx="3">
                  <c:v>365.60359952178851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A-4333-83BD-4247DFCF4669}"/>
            </c:ext>
          </c:extLst>
        </c:ser>
        <c:ser>
          <c:idx val="4"/>
          <c:order val="3"/>
          <c:tx>
            <c:strRef>
              <c:f>'PHIUS - Inefficient High EC'!$A$9</c:f>
              <c:strCache>
                <c:ptCount val="1"/>
                <c:pt idx="0">
                  <c:v>Total OC (kgco2e)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'PHIUS - Inefficient High EC'!$B$1:$E$1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'PHIUS - Inefficient High EC'!$B$9:$E$9</c:f>
              <c:numCache>
                <c:formatCode>#,##0.00</c:formatCode>
                <c:ptCount val="4"/>
                <c:pt idx="0">
                  <c:v>947.34277056986627</c:v>
                </c:pt>
                <c:pt idx="1">
                  <c:v>864.43408675354272</c:v>
                </c:pt>
                <c:pt idx="2">
                  <c:v>982.48212316841523</c:v>
                </c:pt>
                <c:pt idx="3">
                  <c:v>941.07186507048925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A8-4BE5-A81B-949B96B0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97455"/>
        <c:axId val="126804111"/>
      </c:barChart>
      <c:catAx>
        <c:axId val="12679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Climate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4111"/>
        <c:crosses val="autoZero"/>
        <c:auto val="1"/>
        <c:lblAlgn val="ctr"/>
        <c:lblOffset val="100"/>
        <c:noMultiLvlLbl val="0"/>
      </c:catAx>
      <c:valAx>
        <c:axId val="1268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kgCO2e/m2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'PHIUS - Efficient High EC'!$A$2</c:f>
              <c:strCache>
                <c:ptCount val="1"/>
                <c:pt idx="0">
                  <c:v>SFE - 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'PHIUS - Efficient High EC'!$B$1:$E$1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'PHIUS - Efficient High EC'!$B$2:$E$2</c:f>
              <c:numCache>
                <c:formatCode>#,##0.00</c:formatCode>
                <c:ptCount val="4"/>
                <c:pt idx="0">
                  <c:v>481.10252698818294</c:v>
                </c:pt>
                <c:pt idx="1">
                  <c:v>490.64180229958504</c:v>
                </c:pt>
                <c:pt idx="2">
                  <c:v>503.26791440434386</c:v>
                </c:pt>
                <c:pt idx="3">
                  <c:v>533.1416697540725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7-4CEC-8FAC-8AE3FDBF2A6D}"/>
            </c:ext>
          </c:extLst>
        </c:ser>
        <c:ser>
          <c:idx val="1"/>
          <c:order val="1"/>
          <c:tx>
            <c:strRef>
              <c:f>'PHIUS - Efficient High EC'!$A$5</c:f>
              <c:strCache>
                <c:ptCount val="1"/>
                <c:pt idx="0">
                  <c:v>MEP - EC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'PHIUS - Efficient High EC'!$B$1:$E$1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'PHIUS - Efficient High EC'!$B$5:$E$5</c:f>
              <c:numCache>
                <c:formatCode>#,##0.00</c:formatCode>
                <c:ptCount val="4"/>
                <c:pt idx="0">
                  <c:v>138.33242069626317</c:v>
                </c:pt>
                <c:pt idx="1">
                  <c:v>139.64709189061955</c:v>
                </c:pt>
                <c:pt idx="2">
                  <c:v>123.50454082449859</c:v>
                </c:pt>
                <c:pt idx="3">
                  <c:v>140.00046461498877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7-4CEC-8FAC-8AE3FDBF2A6D}"/>
            </c:ext>
          </c:extLst>
        </c:ser>
        <c:ser>
          <c:idx val="2"/>
          <c:order val="2"/>
          <c:tx>
            <c:strRef>
              <c:f>'PHIUS - Efficient High EC'!$A$3</c:f>
              <c:strCache>
                <c:ptCount val="1"/>
                <c:pt idx="0">
                  <c:v>Refrigerants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'PHIUS - Efficient High EC'!$B$3:$E$3</c:f>
              <c:numCache>
                <c:formatCode>#,##0.00</c:formatCode>
                <c:ptCount val="4"/>
                <c:pt idx="0">
                  <c:v>322.73171427171599</c:v>
                </c:pt>
                <c:pt idx="1">
                  <c:v>389.85713677161266</c:v>
                </c:pt>
                <c:pt idx="2">
                  <c:v>265.45053443140938</c:v>
                </c:pt>
                <c:pt idx="3">
                  <c:v>389.85713677161266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87-4CEC-8FAC-8AE3FDBF2A6D}"/>
            </c:ext>
          </c:extLst>
        </c:ser>
        <c:ser>
          <c:idx val="4"/>
          <c:order val="3"/>
          <c:tx>
            <c:strRef>
              <c:f>'PHIUS - Efficient High EC'!$A$9</c:f>
              <c:strCache>
                <c:ptCount val="1"/>
                <c:pt idx="0">
                  <c:v>Total OC (kgco2e)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'PHIUS - Efficient High EC'!$B$1:$E$1</c:f>
              <c:strCache>
                <c:ptCount val="4"/>
                <c:pt idx="0">
                  <c:v>2a</c:v>
                </c:pt>
                <c:pt idx="1">
                  <c:v>3c</c:v>
                </c:pt>
                <c:pt idx="2">
                  <c:v>4a</c:v>
                </c:pt>
                <c:pt idx="3">
                  <c:v>5a</c:v>
                </c:pt>
              </c:strCache>
            </c:strRef>
          </c:cat>
          <c:val>
            <c:numRef>
              <c:f>'PHIUS - Efficient High EC'!$B$9:$E$9</c:f>
              <c:numCache>
                <c:formatCode>#,##0.00</c:formatCode>
                <c:ptCount val="4"/>
                <c:pt idx="0">
                  <c:v>590.88794777724024</c:v>
                </c:pt>
                <c:pt idx="1">
                  <c:v>510.14441069868957</c:v>
                </c:pt>
                <c:pt idx="2">
                  <c:v>449.34396680010263</c:v>
                </c:pt>
                <c:pt idx="3">
                  <c:v>525.52668927060131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87-4CEC-8FAC-8AE3FDBF2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97455"/>
        <c:axId val="126804111"/>
      </c:barChart>
      <c:catAx>
        <c:axId val="12679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Climate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4111"/>
        <c:crosses val="autoZero"/>
        <c:auto val="1"/>
        <c:lblAlgn val="ctr"/>
        <c:lblOffset val="100"/>
        <c:noMultiLvlLbl val="0"/>
      </c:catAx>
      <c:valAx>
        <c:axId val="1268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kgCO2e/m2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</cx:chartData>
  <cx:chart>
    <cx:title pos="t" align="ctr" overlay="0">
      <cx:tx>
        <cx:txData>
          <cx:v>Life-Cycle Emissions per Case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Life-Cycle Emissions per Case</a:t>
          </a:r>
        </a:p>
      </cx:txPr>
    </cx:title>
    <cx:plotArea>
      <cx:plotAreaRegion>
        <cx:series layoutId="boxWhisker" uniqueId="{8179471D-AB9F-4C7F-BA44-D97B77A39966}" formatIdx="0">
          <cx:tx>
            <cx:txData>
              <cx:f>_xlchart.v1.0</cx:f>
              <cx:v>Base - Gas</cx:v>
            </cx:txData>
          </cx:tx>
          <cx:spPr>
            <a:ln>
              <a:solidFill>
                <a:srgbClr val="7030A0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00000001-8697-4F81-A12F-76A8FC684F0E}" formatIdx="1">
          <cx:tx>
            <cx:txData>
              <cx:f>_xlchart.v1.2</cx:f>
              <cx:v>Base - Electric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rgbClr val="7030A0"/>
              </a:solidFill>
            </a:ln>
          </cx:spPr>
          <cx:dataId val="1"/>
          <cx:layoutPr>
            <cx:visibility meanMarker="0" nonoutliers="0"/>
            <cx:statistics quartileMethod="exclusive"/>
          </cx:layoutPr>
        </cx:series>
        <cx:series layoutId="boxWhisker" uniqueId="{00000002-8697-4F81-A12F-76A8FC684F0E}" formatIdx="2">
          <cx:tx>
            <cx:txData>
              <cx:f>_xlchart.v1.4</cx:f>
              <cx:v>Improved - Gas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2"/>
          <cx:layoutPr>
            <cx:visibility meanLine="0" meanMarker="0" nonoutliers="0" outliers="1"/>
            <cx:statistics quartileMethod="exclusive"/>
          </cx:layoutPr>
        </cx:series>
        <cx:series layoutId="boxWhisker" uniqueId="{00000003-8697-4F81-A12F-76A8FC684F0E}" formatIdx="3">
          <cx:tx>
            <cx:txData>
              <cx:f>_xlchart.v1.6</cx:f>
              <cx:v>Improved - Electric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Id val="3"/>
          <cx:layoutPr>
            <cx:visibility meanLine="0" meanMarker="0" nonoutliers="0"/>
            <cx:statistics quartileMethod="exclusive"/>
          </cx:layoutPr>
        </cx:series>
        <cx:series layoutId="boxWhisker" uniqueId="{00000004-8697-4F81-A12F-76A8FC684F0E}" formatIdx="4">
          <cx:tx>
            <cx:txData>
              <cx:f>_xlchart.v1.8</cx:f>
              <cx:v>PHIUS - Low Loads</cx:v>
            </cx:txData>
          </cx:tx>
          <cx:spPr>
            <a:solidFill>
              <a:srgbClr val="00B050"/>
            </a:solidFill>
            <a:ln>
              <a:solidFill>
                <a:schemeClr val="accent6">
                  <a:lumMod val="50000"/>
                </a:schemeClr>
              </a:solidFill>
            </a:ln>
          </cx:spPr>
          <cx:dataId val="4"/>
          <cx:layoutPr>
            <cx:visibility meanMarker="0" nonoutliers="0"/>
            <cx:statistics quartileMethod="exclusive"/>
          </cx:layoutPr>
        </cx:series>
        <cx:series layoutId="boxWhisker" uniqueId="{00000004-AF3C-413C-BB05-686E84F9C36F}">
          <cx:tx>
            <cx:txData>
              <cx:f>_xlchart.v1.10</cx:f>
              <cx:v>PHIUS - Low Loads High EC</cx:v>
            </cx:txData>
          </cx:tx>
          <cx:dataId val="5"/>
          <cx:layoutPr>
            <cx:visibility meanMarker="0" nonoutliers="0"/>
            <cx:statistics quartileMethod="exclusive"/>
          </cx:layoutPr>
        </cx:series>
        <cx:series layoutId="boxWhisker" uniqueId="{00000005-AF3C-413C-BB05-686E84F9C36F}">
          <cx:tx>
            <cx:txData>
              <cx:f>_xlchart.v1.12</cx:f>
              <cx:v>PHIUS - High Loads</cx:v>
            </cx:txData>
          </cx:tx>
          <cx:dataId val="6"/>
          <cx:layoutPr>
            <cx:visibility meanMarker="0" nonoutliers="0" outliers="1"/>
            <cx:statistics quartileMethod="exclusive"/>
          </cx:layoutPr>
        </cx:series>
        <cx:series layoutId="boxWhisker" uniqueId="{00000000-5A0E-44F1-B6F9-7EE0140E341F}">
          <cx:tx>
            <cx:txData>
              <cx:f>_xlchart.v1.14</cx:f>
              <cx:v>PHIUS - Heavy Envelope Low Loads</cx:v>
            </cx:txData>
          </cx:tx>
          <cx:dataId val="7"/>
          <cx:layoutPr>
            <cx:visibility meanMarker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4500"/>
        <cx:title>
          <cx:tx>
            <cx:txData>
              <cx:v>kgCO2e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kgCO2e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115897</xdr:colOff>
      <xdr:row>3</xdr:row>
      <xdr:rowOff>87948</xdr:rowOff>
    </xdr:from>
    <xdr:to>
      <xdr:col>4</xdr:col>
      <xdr:colOff>1286885</xdr:colOff>
      <xdr:row>25</xdr:row>
      <xdr:rowOff>70484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92D87-1F54-443D-AB38-C77ADA0D8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104933</xdr:colOff>
      <xdr:row>25</xdr:row>
      <xdr:rowOff>171942</xdr:rowOff>
    </xdr:from>
    <xdr:to>
      <xdr:col>4</xdr:col>
      <xdr:colOff>1258956</xdr:colOff>
      <xdr:row>54</xdr:row>
      <xdr:rowOff>143565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8CD2A74-1E59-4E26-BD9E-EB7BE85D00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33" y="4775692"/>
              <a:ext cx="8666073" cy="53119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208756</xdr:colOff>
      <xdr:row>70</xdr:row>
      <xdr:rowOff>95251</xdr:rowOff>
    </xdr:from>
    <xdr:to>
      <xdr:col>3</xdr:col>
      <xdr:colOff>1419860</xdr:colOff>
      <xdr:row>87</xdr:row>
      <xdr:rowOff>82647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3270B-886C-44E7-A3E3-B11ED1651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219869</xdr:colOff>
      <xdr:row>53</xdr:row>
      <xdr:rowOff>30160</xdr:rowOff>
    </xdr:from>
    <xdr:to>
      <xdr:col>3</xdr:col>
      <xdr:colOff>1430973</xdr:colOff>
      <xdr:row>70</xdr:row>
      <xdr:rowOff>17555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0C1E6-90C9-4644-B0C4-DF07F755D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220663</xdr:colOff>
      <xdr:row>35</xdr:row>
      <xdr:rowOff>103981</xdr:rowOff>
    </xdr:from>
    <xdr:to>
      <xdr:col>3</xdr:col>
      <xdr:colOff>1431767</xdr:colOff>
      <xdr:row>52</xdr:row>
      <xdr:rowOff>97726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45B178-42B1-4984-8A42-A752264F3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176210</xdr:colOff>
      <xdr:row>105</xdr:row>
      <xdr:rowOff>166688</xdr:rowOff>
    </xdr:from>
    <xdr:to>
      <xdr:col>3</xdr:col>
      <xdr:colOff>1386679</xdr:colOff>
      <xdr:row>122</xdr:row>
      <xdr:rowOff>154781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27D852-EEF4-4B6B-ABF3-5942B3877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211137</xdr:colOff>
      <xdr:row>18</xdr:row>
      <xdr:rowOff>44450</xdr:rowOff>
    </xdr:from>
    <xdr:to>
      <xdr:col>3</xdr:col>
      <xdr:colOff>1422241</xdr:colOff>
      <xdr:row>35</xdr:row>
      <xdr:rowOff>38196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ECDBD7-550D-4AB1-9766-F2D4D6EFD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181768</xdr:colOff>
      <xdr:row>88</xdr:row>
      <xdr:rowOff>68261</xdr:rowOff>
    </xdr:from>
    <xdr:to>
      <xdr:col>3</xdr:col>
      <xdr:colOff>1392872</xdr:colOff>
      <xdr:row>105</xdr:row>
      <xdr:rowOff>55656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55BC10-479D-4B66-9C64-8F8BEE316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964104</xdr:colOff>
      <xdr:row>24</xdr:row>
      <xdr:rowOff>43036</xdr:rowOff>
    </xdr:from>
    <xdr:to>
      <xdr:col>9</xdr:col>
      <xdr:colOff>2335119</xdr:colOff>
      <xdr:row>46</xdr:row>
      <xdr:rowOff>106320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3C410F-F10E-4274-BFD1-79E1CF66A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473075</xdr:colOff>
      <xdr:row>53</xdr:row>
      <xdr:rowOff>139700</xdr:rowOff>
    </xdr:from>
    <xdr:to>
      <xdr:col>11</xdr:col>
      <xdr:colOff>168275</xdr:colOff>
      <xdr:row>68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12909-6D1A-8A32-86D2-547430234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11</xdr:row>
      <xdr:rowOff>26987</xdr:rowOff>
    </xdr:from>
    <xdr:to>
      <xdr:col>11</xdr:col>
      <xdr:colOff>225425</xdr:colOff>
      <xdr:row>26</xdr:row>
      <xdr:rowOff>68262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6ACFA-8B9C-E56D-44A1-CB4450FA8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46</xdr:row>
      <xdr:rowOff>96837</xdr:rowOff>
    </xdr:from>
    <xdr:to>
      <xdr:col>13</xdr:col>
      <xdr:colOff>254000</xdr:colOff>
      <xdr:row>61</xdr:row>
      <xdr:rowOff>131762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65B1E-E3C7-3E8E-004E-E49D51AD8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11</xdr:row>
      <xdr:rowOff>26987</xdr:rowOff>
    </xdr:from>
    <xdr:to>
      <xdr:col>11</xdr:col>
      <xdr:colOff>225425</xdr:colOff>
      <xdr:row>26</xdr:row>
      <xdr:rowOff>68262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78E6C-F404-4117-98D0-6575CE936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11</xdr:row>
      <xdr:rowOff>26987</xdr:rowOff>
    </xdr:from>
    <xdr:to>
      <xdr:col>11</xdr:col>
      <xdr:colOff>225425</xdr:colOff>
      <xdr:row>26</xdr:row>
      <xdr:rowOff>68262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6D8AA-6FF4-4289-A2D7-77BD7EC55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22</xdr:row>
      <xdr:rowOff>49212</xdr:rowOff>
    </xdr:from>
    <xdr:to>
      <xdr:col>11</xdr:col>
      <xdr:colOff>73025</xdr:colOff>
      <xdr:row>37</xdr:row>
      <xdr:rowOff>84137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46F7A-B980-4FB1-B8F0-64FA605B5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7</xdr:row>
      <xdr:rowOff>179387</xdr:rowOff>
    </xdr:from>
    <xdr:to>
      <xdr:col>11</xdr:col>
      <xdr:colOff>406400</xdr:colOff>
      <xdr:row>23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8FCF9-A8FE-489F-903F-3507FA2FF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196967</xdr:colOff>
      <xdr:row>0</xdr:row>
      <xdr:rowOff>126646</xdr:rowOff>
    </xdr:from>
    <xdr:to>
      <xdr:col>16</xdr:col>
      <xdr:colOff>35277</xdr:colOff>
      <xdr:row>27</xdr:row>
      <xdr:rowOff>114653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25841-6EAC-4B77-922E-1E037DD2A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431798</xdr:colOff>
      <xdr:row>2</xdr:row>
      <xdr:rowOff>25400</xdr:rowOff>
    </xdr:from>
    <xdr:to>
      <xdr:col>17</xdr:col>
      <xdr:colOff>171449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5D465-626E-4A89-99A6-3FE685F2A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2</xdr:row>
      <xdr:rowOff>0</xdr:rowOff>
    </xdr:from>
    <xdr:to>
      <xdr:col>18</xdr:col>
      <xdr:colOff>507999</xdr:colOff>
      <xdr:row>29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E5E46-4822-46C4-AA8E-58697A085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107949</xdr:colOff>
      <xdr:row>1</xdr:row>
      <xdr:rowOff>98424</xdr:rowOff>
    </xdr:from>
    <xdr:to>
      <xdr:col>17</xdr:col>
      <xdr:colOff>361949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A4BEF-97F6-427D-8939-23410116A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561974</xdr:colOff>
      <xdr:row>1</xdr:row>
      <xdr:rowOff>79374</xdr:rowOff>
    </xdr:from>
    <xdr:to>
      <xdr:col>16</xdr:col>
      <xdr:colOff>504825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E63E5-3E7C-48FA-807D-4CD93FBE9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2</xdr:row>
      <xdr:rowOff>9525</xdr:rowOff>
    </xdr:from>
    <xdr:to>
      <xdr:col>17</xdr:col>
      <xdr:colOff>504825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0C56E-6749-46B0-8AED-34DE47E6A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603249</xdr:colOff>
      <xdr:row>1</xdr:row>
      <xdr:rowOff>44449</xdr:rowOff>
    </xdr:from>
    <xdr:to>
      <xdr:col>16</xdr:col>
      <xdr:colOff>180975</xdr:colOff>
      <xdr:row>27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26E63-E9FD-40FC-90A9-3501AA1E3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</xdr:colOff>
      <xdr:row>1</xdr:row>
      <xdr:rowOff>168275</xdr:rowOff>
    </xdr:from>
    <xdr:to>
      <xdr:col>16</xdr:col>
      <xdr:colOff>47625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3575F-33A3-41E4-82DF-DEABD1971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463D99-3827-4887-80DF-620428A4BD72}" name="Table9" displayName="Table9" ref="A1:E2" totalsRowShown="0">
  <autoFilter ref="A1:E2" xr:uid="{75463D99-3827-4887-80DF-620428A4BD72}"/>
  <tableColumns count="5">
    <tableColumn id="1" xr3:uid="{3B8D3833-40F9-4BF4-BBCD-D7F4FCFB5E0B}" name="Grid"/>
    <tableColumn id="2" xr3:uid="{7487096D-7DE9-4E43-BA36-AD2439EEFB2F}" name="Scenario"/>
    <tableColumn id="3" xr3:uid="{721E4525-0D6F-40E7-8528-FE681D1F33C5}" name="Biogenic Carbon"/>
    <tableColumn id="4" xr3:uid="{A7970496-2028-4987-8FD6-B38560B6FC26}" name="Refrigerants"/>
    <tableColumn id="5" xr3:uid="{1A40995F-1059-4B81-92A6-7001EF4F81BD}" name="HVAC Sizing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A1662C4-1961-4496-ACD6-EBB0C730EF2A}" name="Table7193543" displayName="Table7193543" ref="L9:P15" totalsRowShown="0">
  <autoFilter ref="L9:P15" xr:uid="{6A1662C4-1961-4496-ACD6-EBB0C730EF2A}"/>
  <tableColumns count="5">
    <tableColumn id="1" xr3:uid="{EB9FEAF3-3C46-4A72-ACF6-6BCF689DE9D8}" name="Column1"/>
    <tableColumn id="2" xr3:uid="{58FD4B92-2AE1-4CCF-BD4D-0DA3EE8DD56C}" name="2a"/>
    <tableColumn id="3" xr3:uid="{D5972D4E-F80D-42B8-8AA2-A0C420163028}" name="3c"/>
    <tableColumn id="4" xr3:uid="{58FDCE00-3192-45CE-8DF2-79748B7CF4DF}" name="4a"/>
    <tableColumn id="5" xr3:uid="{A4CCD48B-E082-4231-82CF-CE0EAFF3B59B}" name="5a"/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CFC216B-8BDD-45CD-B3D1-D944C0E1E9F7}" name="Table719223644" displayName="Table719223644" ref="L17:P23" totalsRowShown="0">
  <autoFilter ref="L17:P23" xr:uid="{5CFC216B-8BDD-45CD-B3D1-D944C0E1E9F7}"/>
  <tableColumns count="5">
    <tableColumn id="1" xr3:uid="{C3AC6A2E-7CE6-4334-9737-B6D909CC002E}" name="Column1"/>
    <tableColumn id="2" xr3:uid="{9B465C9D-C53C-491A-8F2E-6CD1B74465C7}" name="2a"/>
    <tableColumn id="3" xr3:uid="{17EF847E-BF77-4F15-85FB-52EF17ADDB94}" name="3c"/>
    <tableColumn id="4" xr3:uid="{4930C164-5A38-4764-9356-4C28FF9C0E8D}" name="4a"/>
    <tableColumn id="5" xr3:uid="{33DF8DD4-4867-451C-BCB6-1B0F9D9E553B}" name="5a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9AB2E11-11F3-4A0C-9A24-76DC1E490ADF}" name="Table71922233745" displayName="Table71922233745" ref="L25:P31" totalsRowShown="0">
  <autoFilter ref="L25:P31" xr:uid="{69AB2E11-11F3-4A0C-9A24-76DC1E490ADF}"/>
  <tableColumns count="5">
    <tableColumn id="1" xr3:uid="{4EB1489A-6D33-4254-8678-449D82CC9668}" name="Column1"/>
    <tableColumn id="2" xr3:uid="{68B6FAEC-2794-471B-903E-761BFE1BBA05}" name="2a"/>
    <tableColumn id="3" xr3:uid="{6C58D123-21D5-4C6D-A1E4-6396951EEB3D}" name="3c"/>
    <tableColumn id="4" xr3:uid="{22325E48-C16F-4DB9-A6E1-72F32B97FA34}" name="4a"/>
    <tableColumn id="5" xr3:uid="{869A96A0-1EA7-4209-9C91-BB2A149BAE1B}" name="5a"/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6A5879A-0A3F-4860-8FF4-06728DC0663C}" name="Table618" displayName="Table618" ref="B1:F7" totalsRowShown="0">
  <autoFilter ref="B1:F7" xr:uid="{A6A5879A-0A3F-4860-8FF4-06728DC0663C}"/>
  <tableColumns count="5">
    <tableColumn id="1" xr3:uid="{4FBE9190-29D0-47F6-A7C1-E3EBBAB469EA}" name="Scenario"/>
    <tableColumn id="2" xr3:uid="{C518E46C-FB02-49A4-AB79-90A7BC1E76B1}" name="2a">
      <calculatedColumnFormula>Table61834[[#This Row],[2a]]/3131</calculatedColumnFormula>
    </tableColumn>
    <tableColumn id="3" xr3:uid="{BCD0FFE0-1E36-4107-B413-C88C898D8EC0}" name="3c">
      <calculatedColumnFormula>Table61834[[#This Row],[3c]]/3131</calculatedColumnFormula>
    </tableColumn>
    <tableColumn id="4" xr3:uid="{82B4FAB4-071C-42F2-A525-E207EB387BBB}" name="4a">
      <calculatedColumnFormula>Table61834[[#This Row],[4a]]/3131</calculatedColumnFormula>
    </tableColumn>
    <tableColumn id="5" xr3:uid="{31A83688-B0CA-4111-81DD-91A970D7A9DA}" name="5a">
      <calculatedColumnFormula>Table61834[[#This Row],[5a]]/3131</calculatedColumnFormula>
    </tableColumn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CD94833-DC17-46C6-89AB-524BAB2B1C3F}" name="Table719" displayName="Table719" ref="B9:F15" totalsRowShown="0">
  <autoFilter ref="B9:F15" xr:uid="{5CD94833-DC17-46C6-89AB-524BAB2B1C3F}"/>
  <tableColumns count="5">
    <tableColumn id="1" xr3:uid="{62D515C3-ED5E-4889-A544-9ABDAD7678D4}" name="Column1"/>
    <tableColumn id="2" xr3:uid="{9A9F023E-5BC1-441F-9F08-3686BDC35CC4}" name="2a">
      <calculatedColumnFormula>Table71935[[#This Row],[2a]]/3131</calculatedColumnFormula>
    </tableColumn>
    <tableColumn id="3" xr3:uid="{FF374E06-ABED-47EA-A6F8-876A1B1A0F27}" name="3c">
      <calculatedColumnFormula>Table71935[[#This Row],[3c]]/3131</calculatedColumnFormula>
    </tableColumn>
    <tableColumn id="4" xr3:uid="{7BC18D98-9B1C-42BA-91D2-B5768FCF2711}" name="4a">
      <calculatedColumnFormula>Table71935[[#This Row],[4a]]/3131</calculatedColumnFormula>
    </tableColumn>
    <tableColumn id="5" xr3:uid="{3FBB7259-D768-4151-8EA2-B183A84AB7DB}" name="5a">
      <calculatedColumnFormula>Table71935[[#This Row],[5a]]/3131</calculatedColumnFormula>
    </tableColumn>
  </tableColumns>
  <tableStyleInfo name="TableStyleLight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75D0F46-9B52-4564-B64C-82F869B98E28}" name="Table7920" displayName="Table7920" ref="B33:F39" totalsRowShown="0">
  <autoFilter ref="B33:F39" xr:uid="{875D0F46-9B52-4564-B64C-82F869B98E28}"/>
  <tableColumns count="5">
    <tableColumn id="1" xr3:uid="{74A3D9C3-160C-4705-AA19-7130174CE0CF}" name="Column1"/>
    <tableColumn id="2" xr3:uid="{4AA66572-BF9D-4BEF-A06E-702E4F7201F7}" name="2a">
      <calculatedColumnFormula>IF(Results!$D$2='Refrigerants OS'!$H$2,'Refrigerants OS'!C2,IF(Results!$D$2='Refrigerants OS'!$H$3,'Refrigerants OS'!C10,IF(Results!$D$2='Refrigerants OS'!$H$4,'Refrigerants OS'!C18,'Refrigerants OS'!C26)))</calculatedColumnFormula>
    </tableColumn>
    <tableColumn id="3" xr3:uid="{140438F6-C8BE-4051-8E12-0C5FBFF74274}" name="3c">
      <calculatedColumnFormula>IF(Results!$D$2='Refrigerants OS'!$H$2,'Refrigerants OS'!D2,IF(Results!$D$2='Refrigerants OS'!$H$3,'Refrigerants OS'!D10,IF(Results!$D$2='Refrigerants OS'!$H$4,'Refrigerants OS'!D18,'Refrigerants OS'!D26)))</calculatedColumnFormula>
    </tableColumn>
    <tableColumn id="4" xr3:uid="{12220E59-D08A-49C1-A47B-42AA7C747190}" name="4a">
      <calculatedColumnFormula>IF(Results!$D$2='Refrigerants OS'!$H$2,'Refrigerants OS'!E2,IF(Results!$D$2='Refrigerants OS'!$H$3,'Refrigerants OS'!E10,IF(Results!$D$2='Refrigerants OS'!$H$4,'Refrigerants OS'!E18,'Refrigerants OS'!E26)))</calculatedColumnFormula>
    </tableColumn>
    <tableColumn id="5" xr3:uid="{E425D165-EEB0-42D8-B9F7-68AB9F847F9A}" name="5a">
      <calculatedColumnFormula>IF(Results!$D$2='Refrigerants OS'!$H$2,'Refrigerants OS'!F2,IF(Results!$D$2='Refrigerants OS'!$H$3,'Refrigerants OS'!F10,IF(Results!$D$2='Refrigerants OS'!$H$4,'Refrigerants OS'!F18,'Refrigerants OS'!F26)))</calculatedColumnFormula>
    </tableColumn>
  </tableColumns>
  <tableStyleInfo name="TableStyleLight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096C230-9B31-4B42-861B-4F160B3AB88C}" name="Table521" displayName="Table521" ref="H1:H5" totalsRowShown="0">
  <autoFilter ref="H1:H5" xr:uid="{D096C230-9B31-4B42-861B-4F160B3AB88C}"/>
  <tableColumns count="1">
    <tableColumn id="1" xr3:uid="{D461BC37-5F96-41B3-AB1E-A641BD5DF20E}" name="Biogenic Carbon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DF4BFF9-7C92-49D7-9859-3843EFE1A4B0}" name="Table71922" displayName="Table71922" ref="B17:F23" totalsRowShown="0">
  <autoFilter ref="B17:F23" xr:uid="{4DF4BFF9-7C92-49D7-9859-3843EFE1A4B0}"/>
  <tableColumns count="5">
    <tableColumn id="1" xr3:uid="{186C7CF2-8AB4-4093-AB05-4D0322E16004}" name="Column1"/>
    <tableColumn id="2" xr3:uid="{10408CFD-215B-4319-81D1-10A5164A14C7}" name="2a">
      <calculatedColumnFormula>Table7192236[[#This Row],[2a]]/3131</calculatedColumnFormula>
    </tableColumn>
    <tableColumn id="3" xr3:uid="{3E9351ED-601D-4613-A4F0-51536BE1775D}" name="3c">
      <calculatedColumnFormula>Table7192236[[#This Row],[3c]]/3131</calculatedColumnFormula>
    </tableColumn>
    <tableColumn id="4" xr3:uid="{C3E768E3-363B-4752-9118-CE513DC34A43}" name="4a">
      <calculatedColumnFormula>Table7192236[[#This Row],[4a]]/3131</calculatedColumnFormula>
    </tableColumn>
    <tableColumn id="5" xr3:uid="{D744C9B9-3D27-473B-98DB-5D673C286255}" name="5a">
      <calculatedColumnFormula>Table7192236[[#This Row],[5a]]/3131</calculatedColumnFormula>
    </tableColumn>
  </tableColumns>
  <tableStyleInfo name="TableStyleLight1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A5FB8AD-8DB9-45DC-8DFA-607E502B4D9C}" name="Table7192223" displayName="Table7192223" ref="B25:F31" totalsRowShown="0">
  <autoFilter ref="B25:F31" xr:uid="{9A5FB8AD-8DB9-45DC-8DFA-607E502B4D9C}"/>
  <tableColumns count="5">
    <tableColumn id="1" xr3:uid="{36AC402A-CB57-44B8-A568-70B4FCAE8A07}" name="Column1"/>
    <tableColumn id="2" xr3:uid="{2A26D7F2-8108-4BA7-AAB3-44492A211A21}" name="2a">
      <calculatedColumnFormula>Table719222337[[#This Row],[2a]]/3131</calculatedColumnFormula>
    </tableColumn>
    <tableColumn id="3" xr3:uid="{7818D564-C189-4B88-A314-A1F6A2062B93}" name="3c">
      <calculatedColumnFormula>Table719222337[[#This Row],[3c]]/3131</calculatedColumnFormula>
    </tableColumn>
    <tableColumn id="4" xr3:uid="{957BA407-B913-4DF3-A1B4-E3D63EF1CC01}" name="4a">
      <calculatedColumnFormula>Table719222337[[#This Row],[4a]]/3131</calculatedColumnFormula>
    </tableColumn>
    <tableColumn id="5" xr3:uid="{B9D57006-DC73-4297-8EF1-EA9ECA4009AD}" name="5a">
      <calculatedColumnFormula>Table719222337[[#This Row],[5a]]/3131</calculatedColumnFormula>
    </tableColumn>
  </tableColumns>
  <tableStyleInfo name="TableStyleLight1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DBD790E-2038-4487-80BD-406364AD7844}" name="Table61834" displayName="Table61834" ref="L1:P7" totalsRowShown="0">
  <autoFilter ref="L1:P7" xr:uid="{3DBD790E-2038-4487-80BD-406364AD7844}"/>
  <tableColumns count="5">
    <tableColumn id="1" xr3:uid="{76F9D8D1-C07A-4CD9-8CF8-A7843DECE3AE}" name="Scenario"/>
    <tableColumn id="2" xr3:uid="{A011C407-B9EF-4249-9012-74FC66886283}" name="2a"/>
    <tableColumn id="3" xr3:uid="{848B505D-82CC-49E7-B20C-0F69D01F4847}" name="3c"/>
    <tableColumn id="4" xr3:uid="{C0777AE7-229B-4360-81D8-B71D1957D8F9}" name="4a"/>
    <tableColumn id="5" xr3:uid="{8279E73C-D9A0-414E-BF25-94DF29AF2652}" name="5a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14F0C2E-F247-4852-B5FB-4446C9C75A98}" name="Table30" displayName="Table30" ref="A123:B131" totalsRowShown="0">
  <autoFilter ref="A123:B131" xr:uid="{914F0C2E-F247-4852-B5FB-4446C9C75A98}"/>
  <tableColumns count="2">
    <tableColumn id="1" xr3:uid="{0C656F82-D9FF-43FF-91CB-7E2DF9F7635D}" name="Long Name" dataDxfId="61"/>
    <tableColumn id="2" xr3:uid="{8D4AFABD-1ADF-4DA8-AF1A-16B51F89C970}" name="Short Name"/>
  </tableColumns>
  <tableStyleInfo name="TableStyleLight1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A4C6EB-8BA6-4F30-A32A-B42F6348B13E}" name="Table71935" displayName="Table71935" ref="L9:P15" totalsRowShown="0">
  <autoFilter ref="L9:P15" xr:uid="{7AA4C6EB-8BA6-4F30-A32A-B42F6348B13E}"/>
  <tableColumns count="5">
    <tableColumn id="1" xr3:uid="{805E0889-16F6-4FAB-985F-CDFB1945DDC4}" name="Column1"/>
    <tableColumn id="2" xr3:uid="{CE125432-7F57-44D8-847B-F5194ABC076C}" name="2a"/>
    <tableColumn id="3" xr3:uid="{74FCAF52-11C4-4EBE-9870-5BBB48886179}" name="3c"/>
    <tableColumn id="4" xr3:uid="{31609E86-3A14-461E-B1D7-4FA77A98DF48}" name="4a"/>
    <tableColumn id="5" xr3:uid="{7D87DC0F-E4A7-49A9-8F23-21F7C0B8713D}" name="5a"/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63B24C1-1422-4174-B14C-6C731A8BC08F}" name="Table7192236" displayName="Table7192236" ref="L17:P23" totalsRowShown="0">
  <autoFilter ref="L17:P23" xr:uid="{663B24C1-1422-4174-B14C-6C731A8BC08F}"/>
  <tableColumns count="5">
    <tableColumn id="1" xr3:uid="{7C757768-9C00-44BB-8249-5C8E026E0822}" name="Column1"/>
    <tableColumn id="2" xr3:uid="{814E0D4B-9FCE-48B9-9ACE-CB889AE30912}" name="2a"/>
    <tableColumn id="3" xr3:uid="{FA885BB6-ACCF-417B-AA46-C7B91A50468A}" name="3c"/>
    <tableColumn id="4" xr3:uid="{13E6A7F5-10A6-492A-9EDB-D53F02CF6510}" name="4a"/>
    <tableColumn id="5" xr3:uid="{BF2BA530-C333-4AD9-AE7F-2DEE5368A256}" name="5a"/>
  </tableColumns>
  <tableStyleInfo name="TableStyleLight1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5D558735-FDDE-4277-A1D8-CC65F5511F02}" name="Table719222337" displayName="Table719222337" ref="L25:P31" totalsRowShown="0">
  <autoFilter ref="L25:P31" xr:uid="{5D558735-FDDE-4277-A1D8-CC65F5511F02}"/>
  <tableColumns count="5">
    <tableColumn id="1" xr3:uid="{1BE5EFEB-2418-4DA7-8C1D-D58B035548F2}" name="Column1"/>
    <tableColumn id="2" xr3:uid="{AAAF9365-09F6-45B1-B906-00FCB2EAEE5E}" name="2a"/>
    <tableColumn id="3" xr3:uid="{C968E750-0C06-44C0-8A47-5AB339F214FF}" name="3c"/>
    <tableColumn id="4" xr3:uid="{8D14D0D0-0936-463C-A220-553B46C0951B}" name="4a"/>
    <tableColumn id="5" xr3:uid="{D61FB2CF-3199-48BB-8CFB-58CE56096AC0}" name="5a"/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1055512-EF33-46CC-9F6C-5D2D863A21AD}" name="Table10" displayName="Table10" ref="A1:F13" totalsRowShown="0">
  <autoFilter ref="A1:F13" xr:uid="{B1055512-EF33-46CC-9F6C-5D2D863A21AD}">
    <filterColumn colId="0">
      <filters>
        <filter val="MEP - EC"/>
        <filter val="Refrigerants"/>
        <filter val="SFE - EC"/>
        <filter val="Total - OC (kgCO2e)"/>
      </filters>
    </filterColumn>
  </autoFilter>
  <tableColumns count="6">
    <tableColumn id="1" xr3:uid="{19C04379-B92F-42CB-B3CF-718297DC86B9}" name="Climate Zone"/>
    <tableColumn id="2" xr3:uid="{4B7EBD70-3636-4456-BDE0-126DFD9CEC7D}" name="2a" dataDxfId="60"/>
    <tableColumn id="3" xr3:uid="{1264D7FC-6EA6-4DDC-B35F-4E4DAAE7BB56}" name="3c" dataDxfId="59"/>
    <tableColumn id="4" xr3:uid="{1650C486-2350-44CB-B260-52ECA01073A6}" name="4a" dataDxfId="58"/>
    <tableColumn id="5" xr3:uid="{4508FA7C-2DE8-44F1-8F12-2391CFDE63A6}" name="5a" dataDxfId="57"/>
    <tableColumn id="6" xr3:uid="{6A46DCC0-247C-408D-BDCE-A6B9DA4884D6}" name="Average" dataDxfId="56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E6EE0841-0EC0-4A06-9E33-2D5980054BE9}" name="Table46" displayName="Table46" ref="A15:B19" totalsRowShown="0">
  <autoFilter ref="A15:B19" xr:uid="{E6EE0841-0EC0-4A06-9E33-2D5980054BE9}"/>
  <tableColumns count="2">
    <tableColumn id="1" xr3:uid="{A2D62436-CC39-40C4-92B8-3818D2E0DA77}" name="Total LCC"/>
    <tableColumn id="2" xr3:uid="{87FF1CED-AEED-48FB-9EED-7EBD17AEC376}" name="KgCO2e/m2" dataDxfId="18"/>
  </tableColumns>
  <tableStyleInfo name="TableStyleLight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9F1F6C-34DE-4F8D-B869-A29384D90477}" name="Table12" displayName="Table12" ref="A1:F13" totalsRowShown="0">
  <autoFilter ref="A1:F13" xr:uid="{FF9F1F6C-34DE-4F8D-B869-A29384D90477}">
    <filterColumn colId="0">
      <filters>
        <filter val="MEP - EC"/>
        <filter val="Refrigerants"/>
        <filter val="SFE - EC"/>
        <filter val="Total - OC (kgCO2e)"/>
      </filters>
    </filterColumn>
  </autoFilter>
  <tableColumns count="6">
    <tableColumn id="1" xr3:uid="{7E9A6C9C-2C11-4A03-B65A-3BC88FA07DC3}" name="Climate Zone"/>
    <tableColumn id="2" xr3:uid="{75E49258-A4CD-418B-A52D-02D6BB71A25E}" name="2a" dataDxfId="50"/>
    <tableColumn id="3" xr3:uid="{9F36835F-AFFE-4283-AED7-37A9A3C76EB3}" name="3c" dataDxfId="49"/>
    <tableColumn id="4" xr3:uid="{B2DC3DD7-EAE4-4F51-8E2F-1F2629E96072}" name="4a" dataDxfId="48"/>
    <tableColumn id="5" xr3:uid="{2E065498-56B5-40B9-931F-38DC8C8DF68E}" name="5a" dataDxfId="47"/>
    <tableColumn id="6" xr3:uid="{38A9B251-5211-4332-945F-8B75A668A866}" name="Average" dataDxfId="46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E6D273B2-A9EA-465D-908F-ACB786C0369C}" name="Table45" displayName="Table45" ref="A15:B19" totalsRowShown="0">
  <autoFilter ref="A15:B19" xr:uid="{E6D273B2-A9EA-465D-908F-ACB786C0369C}"/>
  <tableColumns count="2">
    <tableColumn id="1" xr3:uid="{4575EC6A-072B-4CA3-873C-3989F396E5D9}" name="Total LCC"/>
    <tableColumn id="2" xr3:uid="{31343A8A-3559-4F74-93CC-0DEB260851E9}" name="KgCO2e/m2" dataDxfId="19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D70C3CD-118D-4E93-9D1A-7ADDF6ADB6F8}" name="Table11" displayName="Table11" ref="A1:F8" totalsRowShown="0">
  <autoFilter ref="A1:F8" xr:uid="{6D70C3CD-118D-4E93-9D1A-7ADDF6ADB6F8}">
    <filterColumn colId="0">
      <filters>
        <filter val="MEP - EC"/>
        <filter val="Refrigerants"/>
        <filter val="SFE - EC"/>
        <filter val="Total OC (kgco2e)"/>
      </filters>
    </filterColumn>
  </autoFilter>
  <tableColumns count="6">
    <tableColumn id="1" xr3:uid="{30E7FAFF-3F49-4211-809B-167C420F581E}" name="Climate Zone"/>
    <tableColumn id="2" xr3:uid="{F27D121B-BE05-465B-90B7-8D16D813A2A2}" name="2a" dataDxfId="55"/>
    <tableColumn id="3" xr3:uid="{D74AF370-B90F-4C36-BE46-E71DF45079C3}" name="3c" dataDxfId="54"/>
    <tableColumn id="4" xr3:uid="{997473A2-7A8C-4BE3-BAD0-2EADF846396C}" name="4a" dataDxfId="53"/>
    <tableColumn id="5" xr3:uid="{206D0F72-634A-4FDE-960E-8CF302BB3798}" name="5a" dataDxfId="52"/>
    <tableColumn id="6" xr3:uid="{9971A10D-2B51-471F-84B3-EB684FF5A9F4}" name="Average" dataDxfId="51">
      <calculatedColumnFormula>AVERAGE(B2:E2)</calculatedColumnFormula>
    </tableColumn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C2A7FD19-E9F4-45B8-A3E0-BC56C620741D}" name="Table47" displayName="Table47" ref="A10:B14" totalsRowShown="0" headerRowDxfId="15" headerRowBorderDxfId="16" tableBorderDxfId="17">
  <autoFilter ref="A10:B14" xr:uid="{C2A7FD19-E9F4-45B8-A3E0-BC56C620741D}"/>
  <tableColumns count="2">
    <tableColumn id="1" xr3:uid="{174417B9-44B8-46D5-88A2-C15D7A117F30}" name="Total LCC"/>
    <tableColumn id="2" xr3:uid="{B6644060-198B-4DC5-B307-5E3627CFB013}" name="KgCO2e/m2"/>
  </tableColumns>
  <tableStyleInfo name="TableStyleLight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CA7C36-708E-4D14-B6DA-F60F7F33B843}" name="Table17" displayName="Table17" ref="A1:F8" totalsRowShown="0">
  <autoFilter ref="A1:F8" xr:uid="{54CA7C36-708E-4D14-B6DA-F60F7F33B843}">
    <filterColumn colId="0">
      <filters>
        <filter val="MEP - EC"/>
        <filter val="Refrigerants"/>
        <filter val="SFE - EC"/>
        <filter val="Total OC (kgco2e)"/>
      </filters>
    </filterColumn>
  </autoFilter>
  <tableColumns count="6">
    <tableColumn id="1" xr3:uid="{9CA98FC5-A9D7-41BD-A47B-D847C1199512}" name="Climate Zone"/>
    <tableColumn id="2" xr3:uid="{5D554A93-B8BF-435F-9EB4-D499585EF77E}" name="2a" dataDxfId="45"/>
    <tableColumn id="3" xr3:uid="{E702E618-0C98-41C7-89F2-A1940E4770B7}" name="3c" dataDxfId="44"/>
    <tableColumn id="4" xr3:uid="{BD698A6A-4C67-4CD4-B94E-FBC329211708}" name="4a" dataDxfId="43"/>
    <tableColumn id="5" xr3:uid="{86CA3885-5808-413A-ACC6-205BED8BBD3B}" name="5a" dataDxfId="42"/>
    <tableColumn id="6" xr3:uid="{C226951A-5105-494B-AB91-B595E6823A2C}" name="Average" dataDxfId="41">
      <calculatedColumnFormula>AVERAGE(B2:E2)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7678F3F-38F6-4C14-A89D-7F3D0448BBC9}" name="Table61824" displayName="Table61824" ref="B1:F7" totalsRowShown="0">
  <autoFilter ref="B1:F7" xr:uid="{A6A5879A-0A3F-4860-8FF4-06728DC0663C}"/>
  <tableColumns count="5">
    <tableColumn id="1" xr3:uid="{B4DD5168-5D84-4486-84DF-FEE3F43272F9}" name="Scenario"/>
    <tableColumn id="2" xr3:uid="{669E8E05-5664-4D30-BFC6-3654CAFCA1E3}" name="2a">
      <calculatedColumnFormula>Table6183442[[#This Row],[2a]]/3131</calculatedColumnFormula>
    </tableColumn>
    <tableColumn id="3" xr3:uid="{7F17BD12-984F-42EA-B702-55E5F874F065}" name="3c">
      <calculatedColumnFormula>Table6183442[[#This Row],[3c]]/3131</calculatedColumnFormula>
    </tableColumn>
    <tableColumn id="4" xr3:uid="{A167A184-155F-495D-9341-972C344B8FFB}" name="4a">
      <calculatedColumnFormula>Table6183442[[#This Row],[4a]]/3131</calculatedColumnFormula>
    </tableColumn>
    <tableColumn id="5" xr3:uid="{B4A4D30D-47E8-451E-858A-ABF80AE8DF3A}" name="5a">
      <calculatedColumnFormula>Table6183442[[#This Row],[5a]]/3131</calculatedColumnFormula>
    </tableColumn>
  </tableColumns>
  <tableStyleInfo name="TableStyleLight1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FD9186AE-C8B6-4566-85CF-ECAF5C03F5E0}" name="Table48" displayName="Table48" ref="A10:B14" totalsRowShown="0" headerRowDxfId="12" headerRowBorderDxfId="13" tableBorderDxfId="14">
  <autoFilter ref="A10:B14" xr:uid="{FD9186AE-C8B6-4566-85CF-ECAF5C03F5E0}"/>
  <tableColumns count="2">
    <tableColumn id="1" xr3:uid="{3C576FFB-3A64-4ACF-9BC9-A346AA6B8154}" name="Total LCC"/>
    <tableColumn id="2" xr3:uid="{4ED11F6C-D782-4918-A987-18120317DDCD}" name="KgCO2e/m2"/>
  </tableColumns>
  <tableStyleInfo name="TableStyleLight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464557D-126D-4BA4-B108-B7B0237E9AD6}" name="Table14" displayName="Table14" ref="A1:F9" totalsRowShown="0">
  <autoFilter ref="A1:F9" xr:uid="{6464557D-126D-4BA4-B108-B7B0237E9AD6}">
    <filterColumn colId="0">
      <filters>
        <filter val="MEP - EC"/>
        <filter val="Refrigerants"/>
        <filter val="SFE - EC"/>
        <filter val="Total - OC (kgco2e)"/>
      </filters>
    </filterColumn>
  </autoFilter>
  <tableColumns count="6">
    <tableColumn id="1" xr3:uid="{A8ABBCB1-A6DE-4817-9924-520120DE508D}" name="Climate Zone"/>
    <tableColumn id="2" xr3:uid="{E9475489-8072-4D28-ADB6-1D9F435E1FF8}" name="2a" dataDxfId="40"/>
    <tableColumn id="3" xr3:uid="{A4B06E38-ED1A-45BB-9178-420E861E4F73}" name="3c" dataDxfId="39"/>
    <tableColumn id="4" xr3:uid="{F2EBB988-4A50-40E6-897E-5366B354E3E7}" name="4a" dataDxfId="38"/>
    <tableColumn id="5" xr3:uid="{147DA413-E9B9-4292-BD84-02C3E14D318B}" name="5a" dataDxfId="37"/>
    <tableColumn id="6" xr3:uid="{F99A4B0F-200E-4126-A209-5A04F4450767}" name="Average" dataDxfId="36">
      <calculatedColumnFormula>AVERAGE(B2:E2)</calculatedColumnFormula>
    </tableColumn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2258EF5E-8B2B-45C0-8D3B-BB5A6696257C}" name="Table49" displayName="Table49" ref="A11:B15" totalsRowShown="0" headerRowDxfId="9" headerRowBorderDxfId="10" tableBorderDxfId="11">
  <autoFilter ref="A11:B15" xr:uid="{2258EF5E-8B2B-45C0-8D3B-BB5A6696257C}"/>
  <tableColumns count="2">
    <tableColumn id="1" xr3:uid="{DAD68638-CEB5-4ED7-8710-B77FE3B78CB8}" name="Total LCC"/>
    <tableColumn id="2" xr3:uid="{59ACFFA0-916A-451F-8302-9879A5D621A8}" name="KgCO2e/m2"/>
  </tableColumns>
  <tableStyleInfo name="TableStyleLight5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98DA68D-2CC5-4EED-8FC9-C96BA7EBEBB1}" name="Table1617" displayName="Table1617" ref="A1:F9" totalsRowShown="0">
  <autoFilter ref="A1:F9" xr:uid="{8A8F89E6-2DA4-4CB5-BD2D-D5FC053D0466}">
    <filterColumn colId="0">
      <filters>
        <filter val="MEP - EC"/>
        <filter val="Refrigerants"/>
        <filter val="SFE - EC"/>
        <filter val="Total OC (kgco2e)"/>
      </filters>
    </filterColumn>
  </autoFilter>
  <tableColumns count="6">
    <tableColumn id="1" xr3:uid="{810827B9-9FE8-443E-B34C-6ECAFE75817D}" name="Climate Zone"/>
    <tableColumn id="2" xr3:uid="{5207BD9C-866F-4FD9-8302-898DB27506E6}" name="2a" dataDxfId="35"/>
    <tableColumn id="3" xr3:uid="{06D1B65F-4393-4485-ABEC-09200CF50971}" name="3c" dataDxfId="34"/>
    <tableColumn id="4" xr3:uid="{978E4A6F-A4CF-48AD-A81A-3DFA8D15A6E9}" name="4a" dataDxfId="33"/>
    <tableColumn id="5" xr3:uid="{4AAF955C-E0FC-4DE4-9F92-CB2E95E8C0F7}" name="5a" dataDxfId="32"/>
    <tableColumn id="6" xr3:uid="{9A229F2C-4720-4436-94BD-BD143CCCD755}" name="Average" dataDxfId="31">
      <calculatedColumnFormula>AVERAGE(B2:E2)</calculatedColumnFormula>
    </tableColumn>
  </tableColumns>
  <tableStyleInfo name="TableStyleLight13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40D614ED-BECF-4FBD-A0ED-26A8CC9CFF43}" name="Table50" displayName="Table50" ref="A11:B15" totalsRowShown="0" headerRowDxfId="6" headerRowBorderDxfId="7" tableBorderDxfId="8">
  <autoFilter ref="A11:B15" xr:uid="{40D614ED-BECF-4FBD-A0ED-26A8CC9CFF43}"/>
  <tableColumns count="2">
    <tableColumn id="1" xr3:uid="{BEA31E22-DA41-4F36-A555-130C4A1FBD94}" name="Total LCC"/>
    <tableColumn id="2" xr3:uid="{440EF175-0E83-45E3-9576-E343D4EA10A8}" name="KgCO2e/m2"/>
  </tableColumns>
  <tableStyleInfo name="TableStyleLight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A8F89E6-2DA4-4CB5-BD2D-D5FC053D0466}" name="Table16" displayName="Table16" ref="A1:F9" totalsRowShown="0">
  <autoFilter ref="A1:F9" xr:uid="{8A8F89E6-2DA4-4CB5-BD2D-D5FC053D0466}">
    <filterColumn colId="0">
      <filters>
        <filter val="MEP - EC"/>
        <filter val="Refrigerants"/>
        <filter val="SFE - EC"/>
        <filter val="Total OC (kgco2e)"/>
      </filters>
    </filterColumn>
  </autoFilter>
  <tableColumns count="6">
    <tableColumn id="1" xr3:uid="{A336A1FD-B08B-4DDD-8A82-78A5E998556A}" name="Climate Zone"/>
    <tableColumn id="2" xr3:uid="{284E32B4-B0A3-40FB-A71C-6C6648282960}" name="2a" dataDxfId="25"/>
    <tableColumn id="3" xr3:uid="{AF306E22-CD3F-4F03-A3A2-56A54C44DC24}" name="3c" dataDxfId="24"/>
    <tableColumn id="4" xr3:uid="{4B405FFB-6366-4562-A163-B5135C38D5DF}" name="4a" dataDxfId="23"/>
    <tableColumn id="5" xr3:uid="{2D02811F-5A5D-4800-BB6E-FB4E715E2793}" name="5a" dataDxfId="22"/>
    <tableColumn id="6" xr3:uid="{A110565B-7E3D-49BD-ADDA-52735CA6F449}" name="Average" dataDxfId="21">
      <calculatedColumnFormula>AVERAGE(B2:E2)</calculatedColumnFormula>
    </tableColumn>
  </tableColumns>
  <tableStyleInfo name="TableStyleLight13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64D0F1-F77E-4B6C-9D9F-C1FE2D631747}" name="Table52" displayName="Table52" ref="A11:B15" totalsRowShown="0" headerRowDxfId="0" headerRowBorderDxfId="1" tableBorderDxfId="2">
  <autoFilter ref="A11:B15" xr:uid="{0064D0F1-F77E-4B6C-9D9F-C1FE2D631747}"/>
  <tableColumns count="2">
    <tableColumn id="1" xr3:uid="{D9D1A5BF-5DAC-4CB0-BAB1-B9D03BCB688A}" name="Total LCC"/>
    <tableColumn id="2" xr3:uid="{7386A940-B034-41E6-9326-42939669D328}" name="KgCO2e/m2"/>
  </tableColumns>
  <tableStyleInfo name="TableStyleLight5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C47CDFB-A55B-4F66-8E02-D58412B53D04}" name="Table161730" displayName="Table161730" ref="A1:F9" totalsRowShown="0">
  <autoFilter ref="A1:F9" xr:uid="{8A8F89E6-2DA4-4CB5-BD2D-D5FC053D0466}">
    <filterColumn colId="0">
      <filters>
        <filter val="MEP - EC"/>
        <filter val="Refrigerants"/>
        <filter val="SFE - EC"/>
        <filter val="Total OC (kgco2e)"/>
      </filters>
    </filterColumn>
  </autoFilter>
  <tableColumns count="6">
    <tableColumn id="1" xr3:uid="{4E4B159D-53AF-40E1-AD11-3FB42BF76042}" name="Climate Zone"/>
    <tableColumn id="2" xr3:uid="{4637B003-00D0-487E-8A1A-2FEFE633A4E1}" name="2a" dataDxfId="30"/>
    <tableColumn id="3" xr3:uid="{013E9DC9-BCD8-4E6E-9C64-8BBB2E48BB97}" name="3c" dataDxfId="29"/>
    <tableColumn id="4" xr3:uid="{75A94A03-8E38-4E2A-9AA5-78737507E459}" name="4a" dataDxfId="28"/>
    <tableColumn id="5" xr3:uid="{677D1DF6-B942-449F-AB98-EF16C82E3A1A}" name="5a" dataDxfId="27"/>
    <tableColumn id="6" xr3:uid="{F6EC65F9-832B-4603-8DC3-7E5FDBD31C4C}" name="Average" dataDxfId="26">
      <calculatedColumnFormula>AVERAGE(B2:E2)</calculatedColumnFormula>
    </tableColumn>
  </tableColumns>
  <tableStyleInfo name="TableStyleLight13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7ADE9D1-8EF7-4AD2-B5DE-A5021EDA24E7}" name="Table51" displayName="Table51" ref="A11:B15" totalsRowShown="0" headerRowDxfId="3" headerRowBorderDxfId="4" tableBorderDxfId="5">
  <autoFilter ref="A11:B15" xr:uid="{37ADE9D1-8EF7-4AD2-B5DE-A5021EDA24E7}"/>
  <tableColumns count="2">
    <tableColumn id="1" xr3:uid="{FE03351C-5102-447B-8872-F7CE751DD73F}" name="Total LCC"/>
    <tableColumn id="2" xr3:uid="{6B265825-549D-40DB-A9CA-A2D6BD0EFA45}" name="KgCO2e/m2"/>
  </tableColumns>
  <tableStyleInfo name="TableStyleLight5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2B756-D0DC-4DCF-BE57-1B1AD805D6B5}" name="Table1" displayName="Table1" ref="C6:D12" totalsRowShown="0">
  <autoFilter ref="C6:D12" xr:uid="{EB32B756-D0DC-4DCF-BE57-1B1AD805D6B5}"/>
  <tableColumns count="2">
    <tableColumn id="1" xr3:uid="{3312372A-4DD3-4A45-A35A-2B7CDEDD5987}" name="Column1"/>
    <tableColumn id="2" xr3:uid="{73D07C4A-A6A1-477B-A631-28EEAB072D81}" name="Column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9D87FED-63FF-49D3-8C97-E1E83A499AFE}" name="Table71925" displayName="Table71925" ref="B9:F15" totalsRowShown="0">
  <autoFilter ref="B9:F15" xr:uid="{5CD94833-DC17-46C6-89AB-524BAB2B1C3F}"/>
  <tableColumns count="5">
    <tableColumn id="1" xr3:uid="{3D5F8751-A0E8-4E51-9906-A895F47B851D}" name="Column1"/>
    <tableColumn id="2" xr3:uid="{DB5F409C-4D63-4A4A-AA4D-F1C46C609BA6}" name="2a">
      <calculatedColumnFormula>Table7193543[[#This Row],[2a]]/3131</calculatedColumnFormula>
    </tableColumn>
    <tableColumn id="3" xr3:uid="{1D57CDAF-8CB1-4A82-9EE8-DA3ABC2F9F99}" name="3c">
      <calculatedColumnFormula>Table7193543[[#This Row],[3c]]/3131</calculatedColumnFormula>
    </tableColumn>
    <tableColumn id="4" xr3:uid="{80A8BF46-154F-417B-AB3F-E0736B45E5E4}" name="4a">
      <calculatedColumnFormula>Table7193543[[#This Row],[4a]]/3131</calculatedColumnFormula>
    </tableColumn>
    <tableColumn id="5" xr3:uid="{AACC295B-06D9-4DB7-92DE-CE19E82B92B9}" name="5a">
      <calculatedColumnFormula>Table7193543[[#This Row],[5a]]/3131</calculatedColumnFormula>
    </tableColumn>
  </tableColumns>
  <tableStyleInfo name="TableStyleLight1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3F35C8-BF23-47B8-917B-892A794E5E90}" name="Table13" displayName="Table13" ref="G6:K12" totalsRowShown="0">
  <autoFilter ref="G6:K12" xr:uid="{343F35C8-BF23-47B8-917B-892A794E5E90}"/>
  <tableColumns count="5">
    <tableColumn id="1" xr3:uid="{D0E0E0FB-964E-4D93-B763-C623F0AA7627}" name="Column1"/>
    <tableColumn id="2" xr3:uid="{89C1C147-3E66-4C7E-8C31-1E0B19B805C6}" name="FRCC"/>
    <tableColumn id="3" xr3:uid="{017D4EEE-117B-4963-A4B3-E7E0DE242EDC}" name="CAMX"/>
    <tableColumn id="4" xr3:uid="{9C7CD165-0BD3-4676-9027-22ACEC923A4C}" name="NYCW"/>
    <tableColumn id="5" xr3:uid="{1C0DC1FD-FCD0-4E11-8E09-060542E99C29}" name="NYUP" dataDxfId="20"/>
  </tableColumns>
  <tableStyleInfo name="TableStyleLight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BCF65D-80DC-43A1-8455-0BAD7CC8582D}" name="Table3" displayName="Table3" ref="C15:C17" totalsRowShown="0">
  <autoFilter ref="C15:C17" xr:uid="{ECBCF65D-80DC-43A1-8455-0BAD7CC8582D}"/>
  <tableColumns count="1">
    <tableColumn id="1" xr3:uid="{A92A8D6F-109A-44AB-A617-4114E5836444}" name="Grid"/>
  </tableColumns>
  <tableStyleInfo name="TableStyleLight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2820DB-A2BA-4258-AB52-F200D372F9E2}" name="Table15" displayName="Table15" ref="G15:K21" totalsRowShown="0">
  <autoFilter ref="G15:K21" xr:uid="{1A2820DB-A2BA-4258-AB52-F200D372F9E2}"/>
  <tableColumns count="5">
    <tableColumn id="1" xr3:uid="{284179D9-81DA-4BA5-92B9-BD1C360E3A31}" name="Column1"/>
    <tableColumn id="2" xr3:uid="{BC1AA688-77BF-42E6-816F-B06686AFBD83}" name="Column2"/>
    <tableColumn id="3" xr3:uid="{2833D643-FD9A-423B-8DC6-3DF0A7FF9A7E}" name="Column3"/>
    <tableColumn id="4" xr3:uid="{C32A7AD1-0F34-40A0-ACA6-F50F36CD81DF}" name="Column4"/>
    <tableColumn id="5" xr3:uid="{AE1D8AB6-7D6A-406E-A90D-58C2AAC08C4F}" name="Column5"/>
  </tableColumns>
  <tableStyleInfo name="TableStyleLight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BC07EB-435A-4A4C-BCDC-D0CE51B463AD}" name="Table6" displayName="Table6" ref="B2:F7" totalsRowShown="0">
  <autoFilter ref="B2:F7" xr:uid="{68BC07EB-435A-4A4C-BCDC-D0CE51B463AD}"/>
  <tableColumns count="5">
    <tableColumn id="1" xr3:uid="{95D58E87-B693-4BAE-8408-22054A0A4E95}" name="Scenario"/>
    <tableColumn id="2" xr3:uid="{CCA2103E-27D2-41DB-BF14-1073D4F3FA6B}" name="2a"/>
    <tableColumn id="3" xr3:uid="{E2F3202C-2679-4AB9-A34D-76FBC000DF1A}" name="3c"/>
    <tableColumn id="4" xr3:uid="{8F0E52C3-23EB-4403-9B29-A3EF509B64A8}" name="4a"/>
    <tableColumn id="5" xr3:uid="{B6105244-A48D-4D5E-ADD3-0045AC28C792}" name="5a"/>
  </tableColumns>
  <tableStyleInfo name="TableStyleLight1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F22377-AB6F-4878-B2AC-FFE2325B1C73}" name="Table7" displayName="Table7" ref="B9:F14" totalsRowShown="0">
  <autoFilter ref="B9:F14" xr:uid="{BAF22377-AB6F-4878-B2AC-FFE2325B1C73}"/>
  <tableColumns count="5">
    <tableColumn id="1" xr3:uid="{D6474E8D-B195-43E6-8EA6-121AD632454A}" name="Column1"/>
    <tableColumn id="2" xr3:uid="{3B02BDAB-4DD5-459E-BCAF-3AD65231E52E}" name="2a"/>
    <tableColumn id="3" xr3:uid="{8359570E-6C7E-46AE-AB74-BFF7022C6689}" name="3c"/>
    <tableColumn id="4" xr3:uid="{0415A9A9-9FD1-4D3F-ACC9-54CF59893716}" name="4a"/>
    <tableColumn id="5" xr3:uid="{2C93B4AD-7EB7-454D-A0ED-E8375F794170}" name="5a"/>
  </tableColumns>
  <tableStyleInfo name="TableStyleLight1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74370B-9F46-4B92-BD7A-4930D2A529EC}" name="Table79" displayName="Table79" ref="B17:F22" totalsRowShown="0">
  <autoFilter ref="B17:F22" xr:uid="{0974370B-9F46-4B92-BD7A-4930D2A529EC}"/>
  <tableColumns count="5">
    <tableColumn id="1" xr3:uid="{3ABC2C9D-2FD6-475A-8D14-B25C9EA73D8D}" name="Column1"/>
    <tableColumn id="2" xr3:uid="{542FAE12-A1B1-43CC-8F3E-3DB141FF2D82}" name="2a">
      <calculatedColumnFormula>IF(Results!$C$2='Embodied carbon emissions'!$H$3,'Embodied carbon emissions'!C3,'Embodied carbon emissions'!C10)</calculatedColumnFormula>
    </tableColumn>
    <tableColumn id="3" xr3:uid="{271F3646-3C01-4825-A686-0DDB3E38C293}" name="3c">
      <calculatedColumnFormula>IF(Results!$C$2='Embodied carbon emissions'!$H$3,'Embodied carbon emissions'!D3,'Embodied carbon emissions'!D10)</calculatedColumnFormula>
    </tableColumn>
    <tableColumn id="4" xr3:uid="{AA027BC2-7EF3-49D9-A9C3-724DD190C456}" name="4a">
      <calculatedColumnFormula>IF(Results!$C$2='Embodied carbon emissions'!$H$3,'Embodied carbon emissions'!E3,'Embodied carbon emissions'!E10)</calculatedColumnFormula>
    </tableColumn>
    <tableColumn id="5" xr3:uid="{CD177CAC-6FA5-4C2E-96D2-3FDCC9A128F6}" name="5a">
      <calculatedColumnFormula>IF(Results!$C$2='Embodied carbon emissions'!$H$3,'Embodied carbon emissions'!F3,'Embodied carbon emissions'!F10)</calculatedColumnFormula>
    </tableColumn>
  </tableColumns>
  <tableStyleInfo name="TableStyleLight1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B2C8D4-B4E4-4DA8-898F-DC06C926296A}" name="Table5" displayName="Table5" ref="H2:H4" totalsRowShown="0">
  <autoFilter ref="H2:H4" xr:uid="{EFB2C8D4-B4E4-4DA8-898F-DC06C926296A}"/>
  <tableColumns count="1">
    <tableColumn id="1" xr3:uid="{1BEAF3A3-A921-40DE-99FF-C1B48AD66E8F}" name="Biogenic Carbon"/>
  </tableColumns>
  <tableStyleInfo name="TableStyleLight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A0C6EC6-9E0A-486A-88E2-C3E321941D7D}" name="Table31" displayName="Table31" ref="I2:M7" totalsRowShown="0">
  <autoFilter ref="I2:M7" xr:uid="{1A0C6EC6-9E0A-486A-88E2-C3E321941D7D}"/>
  <tableColumns count="5">
    <tableColumn id="1" xr3:uid="{6FFCC91D-B60C-412A-B57F-BAB08F59FDDE}" name="Grid"/>
    <tableColumn id="2" xr3:uid="{8E0A5BFC-BFE6-49C4-BB99-A40E2B0801DB}" name="Decarbonization %"/>
    <tableColumn id="3" xr3:uid="{EAD94C04-134A-4252-9400-DD781BA81FCF}" name="Current Grid Intensity"/>
    <tableColumn id="4" xr3:uid="{24343CB2-2924-4607-944A-CBB12ADFC460}" name="Years of Decay"/>
    <tableColumn id="5" xr3:uid="{B5D7837E-ED11-418B-ACCB-0772F849C914}" name="Annual Decay">
      <calculatedColumnFormula>J3*K3/L3</calculatedColumnFormula>
    </tableColumn>
  </tableColumns>
  <tableStyleInfo name="TableStyleLight1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557CB94-2C12-4798-9308-BC632CFB2F6C}" name="Table3133" displayName="Table3133" ref="I2:M7" totalsRowShown="0">
  <autoFilter ref="I2:M7" xr:uid="{1A0C6EC6-9E0A-486A-88E2-C3E321941D7D}"/>
  <tableColumns count="5">
    <tableColumn id="1" xr3:uid="{9C8064C9-397B-43E2-829A-2215E78B0AC7}" name="Grid"/>
    <tableColumn id="2" xr3:uid="{D5290C1D-355B-4CB2-A0A5-57E7BA075E85}" name="Decarbonization %"/>
    <tableColumn id="3" xr3:uid="{D6A5C8C1-B7B3-4E82-8453-00FC7C64B4CF}" name="Current Grid Intensity"/>
    <tableColumn id="4" xr3:uid="{57A1590E-A546-43E4-A315-FE3BE11FAE31}" name="Years of Decay"/>
    <tableColumn id="5" xr3:uid="{7F1DE14C-1480-490A-9B32-33464ED793F5}" name="Annual Decay">
      <calculatedColumnFormula>J3*K3/L3</calculatedColumnFormula>
    </tableColumn>
  </tableColumns>
  <tableStyleInfo name="TableStyleLight1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07309F0-94EE-4D40-B05F-E0D691A17AD9}" name="Table313338" displayName="Table313338" ref="I2:M7" totalsRowShown="0">
  <autoFilter ref="I2:M7" xr:uid="{1A0C6EC6-9E0A-486A-88E2-C3E321941D7D}"/>
  <tableColumns count="5">
    <tableColumn id="1" xr3:uid="{DB1FFB75-69CD-4C70-B750-34F8FC073E30}" name="Grid"/>
    <tableColumn id="2" xr3:uid="{E7EC29AD-94DB-4F2E-B545-E9C4C02283C7}" name="Decarbonization %"/>
    <tableColumn id="3" xr3:uid="{7751834A-FF3A-490C-A3FA-5BA190148CB2}" name="Current Grid Intensity"/>
    <tableColumn id="4" xr3:uid="{79E99440-80E4-4A06-B0CB-6E2B2EF056A9}" name="Years of Decay"/>
    <tableColumn id="5" xr3:uid="{22831EC1-2793-43C8-9BDF-C44BC1DECBB8}" name="Annual Decay">
      <calculatedColumnFormula>J3*K3/L3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4E5B34C-6710-4F81-A55D-33B68BDB753F}" name="Table792026" displayName="Table792026" ref="B33:F39" totalsRowShown="0">
  <autoFilter ref="B33:F39" xr:uid="{875D0F46-9B52-4564-B64C-82F869B98E28}"/>
  <tableColumns count="5">
    <tableColumn id="1" xr3:uid="{4CC52A27-79A8-4F54-A4E5-571911CC4E48}" name="Column1"/>
    <tableColumn id="2" xr3:uid="{CC4AC6ED-D810-460F-9A0A-C43B17ACD6EF}" name="2a">
      <calculatedColumnFormula>IF(Results!$D$2='Refrigerants RS'!$H$2,'Refrigerants RS'!C2,IF(Results!$D$2='Refrigerants RS'!$H$3,'Refrigerants RS'!C10,IF(Results!$D$2='Refrigerants RS'!$H$4,'Refrigerants RS'!C18,'Refrigerants RS'!C26)))</calculatedColumnFormula>
    </tableColumn>
    <tableColumn id="3" xr3:uid="{41C6CE37-E3B9-4D66-B55F-46BCC583C5FB}" name="3c">
      <calculatedColumnFormula>IF(Results!$D$2='Refrigerants RS'!$H$2,'Refrigerants RS'!D2,IF(Results!$D$2='Refrigerants RS'!$H$3,'Refrigerants RS'!D10,IF(Results!$D$2='Refrigerants RS'!$H$4,'Refrigerants RS'!D18,'Refrigerants RS'!D26)))</calculatedColumnFormula>
    </tableColumn>
    <tableColumn id="4" xr3:uid="{FDE3D5E1-4BDA-4C89-9B1D-CE396BEC831D}" name="4a">
      <calculatedColumnFormula>IF(Results!$D$2='Refrigerants RS'!$H$2,'Refrigerants RS'!E2,IF(Results!$D$2='Refrigerants RS'!$H$3,'Refrigerants RS'!E10,IF(Results!$D$2='Refrigerants RS'!$H$4,'Refrigerants RS'!E18,'Refrigerants RS'!E26)))</calculatedColumnFormula>
    </tableColumn>
    <tableColumn id="5" xr3:uid="{9F93709A-48D7-4A2E-B9E6-E3E7373C4304}" name="5a">
      <calculatedColumnFormula>IF(Results!$D$2='Refrigerants RS'!$H$2,'Refrigerants RS'!F2,IF(Results!$D$2='Refrigerants RS'!$H$3,'Refrigerants RS'!F10,IF(Results!$D$2='Refrigerants RS'!$H$4,'Refrigerants RS'!F18,'Refrigerants RS'!F26)))</calculatedColumnFormula>
    </tableColumn>
  </tableColumns>
  <tableStyleInfo name="TableStyleLight1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C1A54F0-075D-4915-A112-D014E452C249}" name="Table31333839" displayName="Table31333839" ref="I2:M7" totalsRowShown="0">
  <autoFilter ref="I2:M7" xr:uid="{1A0C6EC6-9E0A-486A-88E2-C3E321941D7D}"/>
  <tableColumns count="5">
    <tableColumn id="1" xr3:uid="{5F7D84D0-4F3A-4851-8F77-9BC41C271722}" name="Grid"/>
    <tableColumn id="2" xr3:uid="{BA185570-4715-481A-9635-36ADB673D57B}" name="Decarbonization %"/>
    <tableColumn id="3" xr3:uid="{4C60245F-ED32-4595-9084-2FF701A59F41}" name="Current Grid Intensity"/>
    <tableColumn id="4" xr3:uid="{D0E4A22C-D8EA-4701-93F4-5192E91D4D9D}" name="Years of Decay"/>
    <tableColumn id="5" xr3:uid="{F193819E-8606-4361-A246-5445E36739FC}" name="Annual Decay">
      <calculatedColumnFormula>J3*K3/L3</calculatedColumnFormula>
    </tableColumn>
  </tableColumns>
  <tableStyleInfo name="TableStyleLight1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BCF46743-2410-430A-A9FD-15193F89753C}" name="Table3133383940" displayName="Table3133383940" ref="I9:M14" totalsRowShown="0">
  <autoFilter ref="I9:M14" xr:uid="{BCF46743-2410-430A-A9FD-15193F89753C}"/>
  <tableColumns count="5">
    <tableColumn id="1" xr3:uid="{B7EF58C4-D526-4A13-B32C-30FA3FE8B79F}" name="Grid"/>
    <tableColumn id="2" xr3:uid="{9E510A25-56D6-456F-B01F-CBF6A1E3C638}" name="Decarbonization %"/>
    <tableColumn id="3" xr3:uid="{3B27C6B8-77DE-4ECB-9F4C-E090AF316AED}" name="Current Grid Intensity"/>
    <tableColumn id="4" xr3:uid="{AC080CC6-23EB-4E07-90B9-61BF3479045A}" name="Years of Decay"/>
    <tableColumn id="5" xr3:uid="{DF499AFB-3ADF-4C12-8165-6169FCA00E1C}" name="Annual Decay">
      <calculatedColumnFormula>J10*K10/L10</calculatedColumnFormula>
    </tableColumn>
  </tableColumns>
  <tableStyleInfo name="TableStyleLight1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789BDE6-0C98-4F9F-9DCC-347F12F13DE9}" name="Table3133383941" displayName="Table3133383941" ref="I2:M7" totalsRowShown="0">
  <autoFilter ref="I2:M7" xr:uid="{1A0C6EC6-9E0A-486A-88E2-C3E321941D7D}"/>
  <tableColumns count="5">
    <tableColumn id="1" xr3:uid="{05067618-5333-488B-9C3F-3EFD1B24079E}" name="Grid"/>
    <tableColumn id="2" xr3:uid="{708C0358-1B3D-4D07-8A9A-3C29D6752609}" name="Decarbonization %"/>
    <tableColumn id="3" xr3:uid="{DB0D2EC7-B5D0-4E37-BE3F-58D877C2DF82}" name="Current Grid Intensity"/>
    <tableColumn id="4" xr3:uid="{8266831D-938E-4F40-93A6-1B3BB541E8B8}" name="Years of Decay"/>
    <tableColumn id="5" xr3:uid="{09A4BF86-E22E-415A-BBAC-34E841FB35CD}" name="Annual Decay">
      <calculatedColumnFormula>J3*K3/L3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8818F33-5032-4F65-A5E7-0E2A00227CBD}" name="Table52127" displayName="Table52127" ref="H1:H5" totalsRowShown="0">
  <autoFilter ref="H1:H5" xr:uid="{D096C230-9B31-4B42-861B-4F160B3AB88C}"/>
  <tableColumns count="1">
    <tableColumn id="1" xr3:uid="{274EB578-D6E5-4704-9F9E-E65C37094525}" name="Biogenic Carbon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F591CA0-B9AF-439D-9ACE-B507BBDD28A5}" name="Table7192228" displayName="Table7192228" ref="B17:F23" totalsRowShown="0">
  <autoFilter ref="B17:F23" xr:uid="{4DF4BFF9-7C92-49D7-9859-3843EFE1A4B0}"/>
  <tableColumns count="5">
    <tableColumn id="1" xr3:uid="{AECB2D9C-3160-4A7B-A7C8-AAC969A31FC2}" name="Column1"/>
    <tableColumn id="2" xr3:uid="{FCF0134B-3AF7-4DB1-9B9B-02DD992B71A6}" name="2a">
      <calculatedColumnFormula>Table719223644[[#This Row],[2a]]/3131</calculatedColumnFormula>
    </tableColumn>
    <tableColumn id="3" xr3:uid="{26F183E4-CE24-462B-B705-A52C102D089F}" name="3c">
      <calculatedColumnFormula>Table719223644[[#This Row],[3c]]/3131</calculatedColumnFormula>
    </tableColumn>
    <tableColumn id="4" xr3:uid="{FEB24BBE-FCA0-4197-8EBC-3EBF1875DD49}" name="4a">
      <calculatedColumnFormula>Table719223644[[#This Row],[4a]]/3131</calculatedColumnFormula>
    </tableColumn>
    <tableColumn id="5" xr3:uid="{F4275965-292E-49D0-81D8-FE682DE141D9}" name="5a">
      <calculatedColumnFormula>Table719223644[[#This Row],[5a]]/3131</calculatedColumnFormula>
    </tableColumn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5F129B8-9F4E-4A4B-8E31-602956C63294}" name="Table719222329" displayName="Table719222329" ref="B25:F31" totalsRowShown="0">
  <autoFilter ref="B25:F31" xr:uid="{9A5FB8AD-8DB9-45DC-8DFA-607E502B4D9C}"/>
  <tableColumns count="5">
    <tableColumn id="1" xr3:uid="{80236A66-1C68-46CB-99B5-77039EF450F5}" name="Column1"/>
    <tableColumn id="2" xr3:uid="{A5669F33-AD22-416D-8621-D4C1348B3568}" name="2a">
      <calculatedColumnFormula>Table71922233745[[#This Row],[2a]]/3131</calculatedColumnFormula>
    </tableColumn>
    <tableColumn id="3" xr3:uid="{BA32C3F2-AC42-4FA4-87FE-814E482678E0}" name="3c">
      <calculatedColumnFormula>Table71922233745[[#This Row],[3c]]/3131</calculatedColumnFormula>
    </tableColumn>
    <tableColumn id="4" xr3:uid="{A0169317-33A1-49CB-A062-51AFBAAC33F5}" name="4a">
      <calculatedColumnFormula>Table71922233745[[#This Row],[4a]]/3131</calculatedColumnFormula>
    </tableColumn>
    <tableColumn id="5" xr3:uid="{3DFF71DE-ACDD-4A2B-BA00-DB3D715E2E63}" name="5a">
      <calculatedColumnFormula>Table71922233745[[#This Row],[5a]]/3131</calculatedColumnFormula>
    </tableColumn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5500EE7-2884-412E-B8D0-256514B4E151}" name="Table6183442" displayName="Table6183442" ref="L1:P7" totalsRowShown="0">
  <autoFilter ref="L1:P7" xr:uid="{85500EE7-2884-412E-B8D0-256514B4E151}"/>
  <tableColumns count="5">
    <tableColumn id="1" xr3:uid="{EFB4B56B-47B1-4461-8768-6A8A5A35882F}" name="Scenario"/>
    <tableColumn id="2" xr3:uid="{E8B5635C-50C5-4EBD-A69B-C05F886464B4}" name="2a"/>
    <tableColumn id="3" xr3:uid="{A1D6FA26-6237-49FD-8F6F-55B9170578D8}" name="3c"/>
    <tableColumn id="4" xr3:uid="{E87BEE6D-B552-46BD-A661-A862CD46EEF5}" name="4a"/>
    <tableColumn id="5" xr3:uid="{A6BA064F-CC3C-4065-A740-544C3FF1769A}" name="5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drawing" Target="../drawings/drawing10.xml"/><Relationship Id="rId5" Type="http://schemas.openxmlformats.org/officeDocument/2006/relationships/table" Target="../tables/table42.xml"/><Relationship Id="rId4" Type="http://schemas.openxmlformats.org/officeDocument/2006/relationships/table" Target="../tables/table4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table" Target="../tables/table44.xml"/><Relationship Id="rId1" Type="http://schemas.openxmlformats.org/officeDocument/2006/relationships/table" Target="../tables/table43.xml"/><Relationship Id="rId4" Type="http://schemas.openxmlformats.org/officeDocument/2006/relationships/table" Target="../tables/table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0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5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10" Type="http://schemas.openxmlformats.org/officeDocument/2006/relationships/table" Target="../tables/table22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A259-C2CD-4DE3-AEFF-FC8410B6B048}">
  <dimension ref="A1:Z131"/>
  <sheetViews>
    <sheetView zoomScale="70" zoomScaleNormal="70" workbookViewId="0">
      <selection activeCell="L25" sqref="L25"/>
    </sheetView>
  </sheetViews>
  <sheetFormatPr defaultRowHeight="14.5"/>
  <cols>
    <col min="1" max="1" width="39.81640625" customWidth="1"/>
    <col min="2" max="2" width="26.7265625" customWidth="1"/>
    <col min="3" max="3" width="19.1796875" customWidth="1"/>
    <col min="4" max="4" width="21.81640625" customWidth="1"/>
    <col min="5" max="5" width="22.36328125" customWidth="1"/>
  </cols>
  <sheetData>
    <row r="1" spans="1:14">
      <c r="A1" t="s">
        <v>43</v>
      </c>
      <c r="B1" t="s">
        <v>29</v>
      </c>
      <c r="C1" t="s">
        <v>46</v>
      </c>
      <c r="D1" t="s">
        <v>70</v>
      </c>
      <c r="E1" t="s">
        <v>71</v>
      </c>
    </row>
    <row r="2" spans="1:14">
      <c r="A2" t="s">
        <v>44</v>
      </c>
      <c r="B2" t="s">
        <v>31</v>
      </c>
      <c r="C2" t="s">
        <v>47</v>
      </c>
      <c r="D2" t="s">
        <v>66</v>
      </c>
      <c r="E2" t="s">
        <v>109</v>
      </c>
    </row>
    <row r="7" spans="1:14">
      <c r="M7" t="s">
        <v>100</v>
      </c>
    </row>
    <row r="9" spans="1:14">
      <c r="K9" t="s">
        <v>100</v>
      </c>
      <c r="N9" t="s">
        <v>101</v>
      </c>
    </row>
    <row r="16" spans="1:14">
      <c r="M16" t="s">
        <v>100</v>
      </c>
    </row>
    <row r="27" spans="26:26">
      <c r="Z27" t="s">
        <v>100</v>
      </c>
    </row>
    <row r="45" spans="21:21">
      <c r="U45" t="s">
        <v>101</v>
      </c>
    </row>
    <row r="123" spans="1:2">
      <c r="A123" t="s">
        <v>91</v>
      </c>
      <c r="B123" t="s">
        <v>92</v>
      </c>
    </row>
    <row r="124" spans="1:2">
      <c r="A124" s="7" t="s">
        <v>89</v>
      </c>
      <c r="B124" t="s">
        <v>11</v>
      </c>
    </row>
    <row r="125" spans="1:2">
      <c r="A125" s="7" t="s">
        <v>90</v>
      </c>
      <c r="B125" t="s">
        <v>12</v>
      </c>
    </row>
    <row r="126" spans="1:2">
      <c r="A126" s="7" t="s">
        <v>84</v>
      </c>
      <c r="B126" t="s">
        <v>93</v>
      </c>
    </row>
    <row r="127" spans="1:2">
      <c r="A127" s="7" t="s">
        <v>85</v>
      </c>
      <c r="B127" t="s">
        <v>94</v>
      </c>
    </row>
    <row r="128" spans="1:2" ht="29">
      <c r="A128" s="7" t="s">
        <v>86</v>
      </c>
      <c r="B128" t="s">
        <v>95</v>
      </c>
    </row>
    <row r="129" spans="1:2" ht="29">
      <c r="A129" s="7" t="s">
        <v>87</v>
      </c>
      <c r="B129" t="s">
        <v>96</v>
      </c>
    </row>
    <row r="130" spans="1:2" ht="29">
      <c r="A130" s="7" t="s">
        <v>88</v>
      </c>
      <c r="B130" t="s">
        <v>97</v>
      </c>
    </row>
    <row r="131" spans="1:2" ht="29">
      <c r="A131" s="7" t="s">
        <v>99</v>
      </c>
      <c r="B131" t="s">
        <v>98</v>
      </c>
    </row>
  </sheetData>
  <dataValidations count="1">
    <dataValidation type="list" allowBlank="1" showInputMessage="1" showErrorMessage="1" sqref="E2" xr:uid="{DCC58A85-1C02-4367-9F14-EA91F94DB0A0}">
      <formula1>"Oversized, Rightsized"</formula1>
    </dataValidation>
  </dataValidation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DDCF17D-EA89-4C48-BD8C-0EACEBF8B629}">
          <x14:formula1>
            <xm:f>'Embodied carbon emissions'!$H$3:$H$4</xm:f>
          </x14:formula1>
          <xm:sqref>C2</xm:sqref>
        </x14:dataValidation>
        <x14:dataValidation type="list" allowBlank="1" showInputMessage="1" showErrorMessage="1" xr:uid="{F3BC7534-CB78-4463-990F-7F8139FDDFE0}">
          <x14:formula1>
            <xm:f>'Grid emissions'!$C$7:$C$12</xm:f>
          </x14:formula1>
          <xm:sqref>B2</xm:sqref>
        </x14:dataValidation>
        <x14:dataValidation type="list" allowBlank="1" showInputMessage="1" showErrorMessage="1" xr:uid="{82594F23-45A0-4704-8C85-26773478FE91}">
          <x14:formula1>
            <xm:f>'Grid emissions'!$C$16:$C$17</xm:f>
          </x14:formula1>
          <xm:sqref>A2</xm:sqref>
        </x14:dataValidation>
        <x14:dataValidation type="list" allowBlank="1" showInputMessage="1" showErrorMessage="1" xr:uid="{E77DAE82-AA08-4090-9358-1605C62F0264}">
          <x14:formula1>
            <xm:f>'Refrigerants OS'!$H$2:$H$5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5491-2746-44EA-925B-9CDFCBADB058}">
  <dimension ref="A1:F15"/>
  <sheetViews>
    <sheetView workbookViewId="0">
      <selection activeCell="G50" sqref="G50"/>
    </sheetView>
  </sheetViews>
  <sheetFormatPr defaultRowHeight="14.5"/>
  <cols>
    <col min="1" max="1" width="13.81640625" customWidth="1"/>
    <col min="2" max="2" width="12.81640625" customWidth="1"/>
    <col min="3" max="3" width="15.1796875" customWidth="1"/>
    <col min="4" max="4" width="17.54296875" customWidth="1"/>
    <col min="5" max="5" width="20.1796875" customWidth="1"/>
    <col min="6" max="6" width="23.36328125" customWidth="1"/>
  </cols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10</v>
      </c>
    </row>
    <row r="2" spans="1:6">
      <c r="A2" t="s">
        <v>9</v>
      </c>
      <c r="B2" s="2">
        <f>'Embodied carbon emissions'!C20</f>
        <v>142.82977642925576</v>
      </c>
      <c r="C2" s="2">
        <f>'Embodied carbon emissions'!D20</f>
        <v>140.00370488661764</v>
      </c>
      <c r="D2" s="2">
        <f>'Embodied carbon emissions'!E20</f>
        <v>143.86278824656654</v>
      </c>
      <c r="E2" s="2">
        <f>'Embodied carbon emissions'!F20</f>
        <v>140.28146917917593</v>
      </c>
      <c r="F2" s="4">
        <f>AVERAGE(B2:E2)</f>
        <v>141.74443468540397</v>
      </c>
    </row>
    <row r="3" spans="1:6">
      <c r="A3" t="s">
        <v>70</v>
      </c>
      <c r="B3" s="2">
        <f>IF(Results!$E$2="Oversized",'Refrigerants OS'!C36,'Refrigerants RS'!C36)</f>
        <v>322.72446777724156</v>
      </c>
      <c r="C3" s="2">
        <f>IF(Results!$E$2="Oversized",'Refrigerants OS'!D36,'Refrigerants RS'!D36)</f>
        <v>389.86562279803661</v>
      </c>
      <c r="D3" s="2">
        <f>IF(Results!$E$2="Oversized",'Refrigerants OS'!E36,'Refrigerants RS'!E36)</f>
        <v>265.44328793693495</v>
      </c>
      <c r="E3" s="2">
        <f>IF(Results!$E$2="Oversized",'Refrigerants OS'!F36,'Refrigerants RS'!F36)</f>
        <v>389.86562279803661</v>
      </c>
      <c r="F3" s="4">
        <f>AVERAGE(B3:E3)</f>
        <v>341.97475032756245</v>
      </c>
    </row>
    <row r="4" spans="1:6" hidden="1">
      <c r="A4" t="s">
        <v>79</v>
      </c>
      <c r="B4" s="2">
        <v>433118.80920000002</v>
      </c>
      <c r="C4" s="2">
        <v>437235.04470952984</v>
      </c>
      <c r="D4" s="2">
        <v>386692.71732150507</v>
      </c>
      <c r="E4" s="2">
        <v>438341.45470952988</v>
      </c>
      <c r="F4" s="4">
        <f>AVERAGE(B4:E4)</f>
        <v>423847.00648514123</v>
      </c>
    </row>
    <row r="5" spans="1:6">
      <c r="A5" t="s">
        <v>8</v>
      </c>
      <c r="B5" s="2">
        <f>B4/3131</f>
        <v>138.33242069626317</v>
      </c>
      <c r="C5" s="2">
        <f t="shared" ref="C5:E5" si="0">C4/3131</f>
        <v>139.64709189061955</v>
      </c>
      <c r="D5" s="2">
        <f t="shared" si="0"/>
        <v>123.50454082449859</v>
      </c>
      <c r="E5" s="2">
        <f t="shared" si="0"/>
        <v>140.00046461498877</v>
      </c>
      <c r="F5" s="4">
        <f t="shared" ref="F5:F9" si="1">AVERAGE(B5:E5)</f>
        <v>135.37112950659252</v>
      </c>
    </row>
    <row r="6" spans="1:6" hidden="1">
      <c r="A6" t="s">
        <v>6</v>
      </c>
      <c r="B6" s="2">
        <v>134720.91</v>
      </c>
      <c r="C6" s="2">
        <v>117427.42</v>
      </c>
      <c r="D6" s="2">
        <v>106545.24</v>
      </c>
      <c r="E6" s="2">
        <v>128878.68</v>
      </c>
      <c r="F6" s="4">
        <f t="shared" si="1"/>
        <v>121893.0625</v>
      </c>
    </row>
    <row r="7" spans="1:6" hidden="1">
      <c r="A7" t="s">
        <v>7</v>
      </c>
      <c r="B7" s="2">
        <f>B6*60</f>
        <v>8083254.6000000006</v>
      </c>
      <c r="C7" s="2">
        <f t="shared" ref="C7:E7" si="2">C6*60</f>
        <v>7045645.2000000002</v>
      </c>
      <c r="D7" s="2">
        <f t="shared" si="2"/>
        <v>6392714.4000000004</v>
      </c>
      <c r="E7" s="2">
        <f t="shared" si="2"/>
        <v>7732720.7999999998</v>
      </c>
      <c r="F7" s="4">
        <f t="shared" si="1"/>
        <v>7313583.7500000009</v>
      </c>
    </row>
    <row r="8" spans="1:6" hidden="1">
      <c r="A8" t="s">
        <v>77</v>
      </c>
      <c r="B8" s="2">
        <f>B7*'Grid emissions'!D$2</f>
        <v>1856719.2749679575</v>
      </c>
      <c r="C8" s="2">
        <f>C7*'Grid emissions'!E$2</f>
        <v>1618380.9486126378</v>
      </c>
      <c r="D8" s="2">
        <f>D7*'Grid emissions'!F$2</f>
        <v>1468403.0917256053</v>
      </c>
      <c r="E8" s="2">
        <f>E7*'Grid emissions'!G$2</f>
        <v>1776201.8478677687</v>
      </c>
      <c r="F8" s="4">
        <f>AVERAGE(B8:E8)</f>
        <v>1679926.2907934925</v>
      </c>
    </row>
    <row r="9" spans="1:6">
      <c r="A9" t="s">
        <v>78</v>
      </c>
      <c r="B9" s="2">
        <f>B8/3131</f>
        <v>593.01158574511578</v>
      </c>
      <c r="C9" s="2">
        <f t="shared" ref="C9:E9" si="3">C8/3131</f>
        <v>516.88947576257999</v>
      </c>
      <c r="D9" s="2">
        <f t="shared" si="3"/>
        <v>468.98853137195954</v>
      </c>
      <c r="E9" s="2">
        <f t="shared" si="3"/>
        <v>567.2953841800603</v>
      </c>
      <c r="F9" s="4">
        <f t="shared" si="1"/>
        <v>536.54624426492899</v>
      </c>
    </row>
    <row r="11" spans="1:6">
      <c r="A11" s="21" t="s">
        <v>60</v>
      </c>
      <c r="B11" s="21" t="s">
        <v>131</v>
      </c>
    </row>
    <row r="12" spans="1:6">
      <c r="A12" t="s">
        <v>1</v>
      </c>
      <c r="B12">
        <f>SUBTOTAL(109,B$2:B$9)</f>
        <v>1196.8982506478762</v>
      </c>
    </row>
    <row r="13" spans="1:6">
      <c r="A13" t="s">
        <v>2</v>
      </c>
      <c r="B13">
        <f>SUBTOTAL(109,C$2:C$9)</f>
        <v>1186.405895337854</v>
      </c>
    </row>
    <row r="14" spans="1:6">
      <c r="A14" t="s">
        <v>3</v>
      </c>
      <c r="B14">
        <f>SUBTOTAL(109,D$2:D$9)</f>
        <v>1001.7991483799597</v>
      </c>
    </row>
    <row r="15" spans="1:6">
      <c r="A15" t="s">
        <v>4</v>
      </c>
      <c r="B15">
        <f>SUBTOTAL(109,E$2:E$9)</f>
        <v>1237.4429407722616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4E13-47CF-4742-8989-0C24DEBC168B}">
  <dimension ref="A1:F15"/>
  <sheetViews>
    <sheetView workbookViewId="0">
      <selection activeCell="A11" sqref="A11:B11"/>
    </sheetView>
  </sheetViews>
  <sheetFormatPr defaultRowHeight="14.5"/>
  <cols>
    <col min="1" max="1" width="13.81640625" customWidth="1"/>
    <col min="2" max="2" width="12.81640625" customWidth="1"/>
    <col min="3" max="3" width="15.1796875" customWidth="1"/>
    <col min="4" max="4" width="17.54296875" customWidth="1"/>
    <col min="5" max="5" width="20.1796875" customWidth="1"/>
    <col min="6" max="6" width="23.36328125" customWidth="1"/>
  </cols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10</v>
      </c>
    </row>
    <row r="2" spans="1:6">
      <c r="A2" t="s">
        <v>9</v>
      </c>
      <c r="B2" s="2">
        <f>'Embodied carbon emissions'!C21</f>
        <v>447.74589971255227</v>
      </c>
      <c r="C2" s="2">
        <f>'Embodied carbon emissions'!D21</f>
        <v>418.22197444905805</v>
      </c>
      <c r="D2" s="2">
        <f>'Embodied carbon emissions'!E21</f>
        <v>432.96516512296415</v>
      </c>
      <c r="E2" s="2">
        <f>'Embodied carbon emissions'!F21</f>
        <v>419.76226828489325</v>
      </c>
      <c r="F2" s="4">
        <f>AVERAGE(B2:E2)</f>
        <v>429.67382689236695</v>
      </c>
    </row>
    <row r="3" spans="1:6">
      <c r="A3" t="s">
        <v>70</v>
      </c>
      <c r="B3" s="2">
        <f>IF(Results!$E$2="Oversized",'Refrigerants OS'!C38,'Refrigerants RS'!C38)</f>
        <v>322.72446777724156</v>
      </c>
      <c r="C3" s="2">
        <f>IF(Results!$E$2="Oversized",'Refrigerants OS'!D38,'Refrigerants RS'!D38)</f>
        <v>389.86562279803661</v>
      </c>
      <c r="D3" s="2">
        <f>IF(Results!$E$2="Oversized",'Refrigerants OS'!E38,'Refrigerants RS'!E38)</f>
        <v>265.44328793693495</v>
      </c>
      <c r="E3" s="2">
        <f>IF(Results!$E$2="Oversized",'Refrigerants OS'!F38,'Refrigerants RS'!F38)</f>
        <v>389.86562279803661</v>
      </c>
      <c r="F3" s="4">
        <f>AVERAGE(B3:E3)</f>
        <v>341.97475032756245</v>
      </c>
    </row>
    <row r="4" spans="1:6" hidden="1">
      <c r="A4" t="s">
        <v>80</v>
      </c>
      <c r="B4" s="2">
        <v>433531.75917182665</v>
      </c>
      <c r="C4" s="2">
        <v>437647.99470952991</v>
      </c>
      <c r="D4" s="2">
        <v>387105.66732150514</v>
      </c>
      <c r="E4" s="2">
        <v>438754.40470952989</v>
      </c>
      <c r="F4" s="4">
        <f>AVERAGE(B4:E4)</f>
        <v>424259.95647809788</v>
      </c>
    </row>
    <row r="5" spans="1:6">
      <c r="A5" t="s">
        <v>8</v>
      </c>
      <c r="B5" s="2">
        <f>B4/3131</f>
        <v>138.4643114569871</v>
      </c>
      <c r="C5" s="2">
        <f t="shared" ref="C5:E5" si="0">C4/3131</f>
        <v>139.77898266034171</v>
      </c>
      <c r="D5" s="2">
        <f t="shared" si="0"/>
        <v>123.63643159422074</v>
      </c>
      <c r="E5" s="2">
        <f t="shared" si="0"/>
        <v>140.13235538471091</v>
      </c>
      <c r="F5" s="4">
        <f t="shared" ref="F5:F9" si="1">AVERAGE(B5:E5)</f>
        <v>135.50302027406511</v>
      </c>
    </row>
    <row r="6" spans="1:6" hidden="1">
      <c r="A6" t="s">
        <v>6</v>
      </c>
      <c r="B6" s="2">
        <v>215218.19</v>
      </c>
      <c r="C6" s="2">
        <v>196382.92</v>
      </c>
      <c r="D6" s="2">
        <v>223201.18</v>
      </c>
      <c r="E6" s="2">
        <v>213793.56</v>
      </c>
      <c r="F6" s="4">
        <f t="shared" si="1"/>
        <v>212148.96250000002</v>
      </c>
    </row>
    <row r="7" spans="1:6" hidden="1">
      <c r="A7" t="s">
        <v>7</v>
      </c>
      <c r="B7" s="2">
        <f>B6*60</f>
        <v>12913091.4</v>
      </c>
      <c r="C7" s="2">
        <f t="shared" ref="C7:E7" si="2">C6*60</f>
        <v>11782975.200000001</v>
      </c>
      <c r="D7" s="2">
        <f t="shared" si="2"/>
        <v>13392070.799999999</v>
      </c>
      <c r="E7" s="2">
        <f t="shared" si="2"/>
        <v>12827613.6</v>
      </c>
      <c r="F7" s="4">
        <f t="shared" si="1"/>
        <v>12728937.75</v>
      </c>
    </row>
    <row r="8" spans="1:6" hidden="1">
      <c r="A8" t="s">
        <v>77</v>
      </c>
      <c r="B8" s="2">
        <f>Table14[[#This Row],[2a]]</f>
        <v>1856719.2749679575</v>
      </c>
      <c r="C8" s="2">
        <f>Table14[[#This Row],[3c]]</f>
        <v>1618380.9486126378</v>
      </c>
      <c r="D8" s="2">
        <f>Table14[[#This Row],[4a]]</f>
        <v>1468403.0917256053</v>
      </c>
      <c r="E8" s="2">
        <f>Table14[[#This Row],[5a]]</f>
        <v>1776201.8478677687</v>
      </c>
      <c r="F8" s="4">
        <f>AVERAGE(B8:E8)</f>
        <v>1679926.2907934925</v>
      </c>
    </row>
    <row r="9" spans="1:6">
      <c r="A9" t="s">
        <v>74</v>
      </c>
      <c r="B9" s="2">
        <f>B8/3131</f>
        <v>593.01158574511578</v>
      </c>
      <c r="C9" s="2">
        <f t="shared" ref="C9:E9" si="3">C8/3131</f>
        <v>516.88947576257999</v>
      </c>
      <c r="D9" s="2">
        <f t="shared" si="3"/>
        <v>468.98853137195954</v>
      </c>
      <c r="E9" s="2">
        <f t="shared" si="3"/>
        <v>567.2953841800603</v>
      </c>
      <c r="F9" s="4">
        <f t="shared" si="1"/>
        <v>536.54624426492899</v>
      </c>
    </row>
    <row r="11" spans="1:6">
      <c r="A11" s="21" t="s">
        <v>60</v>
      </c>
      <c r="B11" s="21" t="s">
        <v>131</v>
      </c>
    </row>
    <row r="12" spans="1:6">
      <c r="A12" t="s">
        <v>1</v>
      </c>
      <c r="B12">
        <f>SUBTOTAL(109,B$2:B$9)</f>
        <v>1501.9462646918967</v>
      </c>
    </row>
    <row r="13" spans="1:6">
      <c r="A13" t="s">
        <v>2</v>
      </c>
      <c r="B13">
        <f>SUBTOTAL(109,C$2:C$9)</f>
        <v>1464.7560556700164</v>
      </c>
    </row>
    <row r="14" spans="1:6">
      <c r="A14" t="s">
        <v>3</v>
      </c>
      <c r="B14">
        <f>SUBTOTAL(109,D$2:D$9)</f>
        <v>1291.0334160260795</v>
      </c>
    </row>
    <row r="15" spans="1:6">
      <c r="A15" t="s">
        <v>4</v>
      </c>
      <c r="B15">
        <f>SUBTOTAL(109,E$2:E$9)</f>
        <v>1517.055630647701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B25A-239A-408E-B54D-112B59BE758C}">
  <dimension ref="A1:F15"/>
  <sheetViews>
    <sheetView workbookViewId="0">
      <selection activeCell="L37" sqref="L37"/>
    </sheetView>
  </sheetViews>
  <sheetFormatPr defaultRowHeight="14.5"/>
  <cols>
    <col min="1" max="1" width="13.81640625" customWidth="1"/>
    <col min="2" max="2" width="12.81640625" customWidth="1"/>
    <col min="3" max="3" width="15.1796875" customWidth="1"/>
    <col min="4" max="4" width="17.54296875" customWidth="1"/>
    <col min="5" max="5" width="20.1796875" customWidth="1"/>
    <col min="6" max="6" width="23.36328125" customWidth="1"/>
  </cols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10</v>
      </c>
    </row>
    <row r="2" spans="1:6">
      <c r="A2" t="s">
        <v>9</v>
      </c>
      <c r="B2" s="2">
        <f>'Embodied carbon emissions'!C22</f>
        <v>481.10252698818294</v>
      </c>
      <c r="C2" s="2">
        <f>'Embodied carbon emissions'!D22</f>
        <v>490.64180229958504</v>
      </c>
      <c r="D2" s="2">
        <f>'Embodied carbon emissions'!E22</f>
        <v>503.26791440434386</v>
      </c>
      <c r="E2" s="2">
        <f>'Embodied carbon emissions'!F22</f>
        <v>533.1416697540725</v>
      </c>
      <c r="F2" s="4">
        <f>AVERAGE(B2:E2)</f>
        <v>502.03847836154614</v>
      </c>
    </row>
    <row r="3" spans="1:6">
      <c r="A3" t="s">
        <v>70</v>
      </c>
      <c r="B3" s="2">
        <f>IF(Results!$E$2="Oversized",'Refrigerants OS'!C37,'Refrigerants RS'!C37)</f>
        <v>365.60359952178851</v>
      </c>
      <c r="C3" s="2">
        <f>IF(Results!$E$2="Oversized",'Refrigerants OS'!D37,'Refrigerants RS'!D37)</f>
        <v>365.60359952178851</v>
      </c>
      <c r="D3" s="2">
        <f>IF(Results!$E$2="Oversized",'Refrigerants OS'!E37,'Refrigerants RS'!E37)</f>
        <v>365.60359952178851</v>
      </c>
      <c r="E3" s="2">
        <f>IF(Results!$E$2="Oversized",'Refrigerants OS'!F37,'Refrigerants RS'!F37)</f>
        <v>365.60359952178851</v>
      </c>
      <c r="F3" s="4">
        <f>AVERAGE(B3:E3)</f>
        <v>365.60359952178851</v>
      </c>
    </row>
    <row r="4" spans="1:6" hidden="1">
      <c r="A4" t="s">
        <v>79</v>
      </c>
      <c r="B4" s="2">
        <v>454198.51</v>
      </c>
      <c r="C4" s="2">
        <v>452603.59</v>
      </c>
      <c r="D4" s="2">
        <v>453988.56000000006</v>
      </c>
      <c r="E4" s="2">
        <v>453791.11000000004</v>
      </c>
      <c r="F4" s="4">
        <f>AVERAGE(B4:E4)</f>
        <v>453645.44250000006</v>
      </c>
    </row>
    <row r="5" spans="1:6">
      <c r="A5" t="s">
        <v>8</v>
      </c>
      <c r="B5" s="2">
        <f>B4/3131</f>
        <v>145.06499840306611</v>
      </c>
      <c r="C5" s="2">
        <f t="shared" ref="C5:E5" si="0">C4/3131</f>
        <v>144.55560204407539</v>
      </c>
      <c r="D5" s="2">
        <f t="shared" si="0"/>
        <v>144.99794314915366</v>
      </c>
      <c r="E5" s="2">
        <f t="shared" si="0"/>
        <v>144.93488022995848</v>
      </c>
      <c r="F5" s="4">
        <f t="shared" ref="F5:F9" si="1">AVERAGE(B5:E5)</f>
        <v>144.8883559565634</v>
      </c>
    </row>
    <row r="6" spans="1:6" hidden="1">
      <c r="A6" t="s">
        <v>6</v>
      </c>
      <c r="B6" s="2">
        <v>215218.19</v>
      </c>
      <c r="C6" s="2">
        <v>196382.92</v>
      </c>
      <c r="D6" s="2">
        <v>223201.18</v>
      </c>
      <c r="E6" s="2">
        <v>213793.56</v>
      </c>
      <c r="F6" s="4">
        <f t="shared" si="1"/>
        <v>212148.96250000002</v>
      </c>
    </row>
    <row r="7" spans="1:6" hidden="1">
      <c r="A7" t="s">
        <v>7</v>
      </c>
      <c r="B7" s="2">
        <f>B6*60</f>
        <v>12913091.4</v>
      </c>
      <c r="C7" s="2">
        <f t="shared" ref="C7:E7" si="2">C6*60</f>
        <v>11782975.200000001</v>
      </c>
      <c r="D7" s="2">
        <f t="shared" si="2"/>
        <v>13392070.799999999</v>
      </c>
      <c r="E7" s="2">
        <f t="shared" si="2"/>
        <v>12827613.6</v>
      </c>
      <c r="F7" s="4">
        <f t="shared" si="1"/>
        <v>12728937.75</v>
      </c>
    </row>
    <row r="8" spans="1:6" hidden="1">
      <c r="A8" t="s">
        <v>77</v>
      </c>
      <c r="B8" s="2">
        <f>B7*'Grid emissions'!D$2</f>
        <v>2966130.2146542515</v>
      </c>
      <c r="C8" s="2">
        <f>C7*'Grid emissions'!E$2</f>
        <v>2706543.1256253421</v>
      </c>
      <c r="D8" s="2">
        <f>D7*'Grid emissions'!F$2</f>
        <v>3076151.5276403083</v>
      </c>
      <c r="E8" s="2">
        <f>E7*'Grid emissions'!G$2</f>
        <v>2946496.0095357019</v>
      </c>
      <c r="F8" s="4">
        <f>AVERAGE(B8:E8)</f>
        <v>2923830.2193639013</v>
      </c>
    </row>
    <row r="9" spans="1:6">
      <c r="A9" t="s">
        <v>74</v>
      </c>
      <c r="B9" s="2">
        <f>B8/3131</f>
        <v>947.34277056986627</v>
      </c>
      <c r="C9" s="2">
        <f t="shared" ref="C9:E9" si="3">C8/3131</f>
        <v>864.43408675354272</v>
      </c>
      <c r="D9" s="2">
        <f t="shared" si="3"/>
        <v>982.48212316841523</v>
      </c>
      <c r="E9" s="2">
        <f t="shared" si="3"/>
        <v>941.07186507048925</v>
      </c>
      <c r="F9" s="4">
        <f t="shared" si="1"/>
        <v>933.83271139057842</v>
      </c>
    </row>
    <row r="11" spans="1:6">
      <c r="A11" s="21" t="s">
        <v>60</v>
      </c>
      <c r="B11" s="21" t="s">
        <v>131</v>
      </c>
    </row>
    <row r="12" spans="1:6">
      <c r="A12" t="s">
        <v>1</v>
      </c>
      <c r="B12">
        <f>SUBTOTAL(109,B$2:B$9)</f>
        <v>1939.1138954829039</v>
      </c>
    </row>
    <row r="13" spans="1:6">
      <c r="A13" t="s">
        <v>2</v>
      </c>
      <c r="B13">
        <f>SUBTOTAL(109,C$2:C$9)</f>
        <v>1865.2350906189918</v>
      </c>
    </row>
    <row r="14" spans="1:6">
      <c r="A14" t="s">
        <v>3</v>
      </c>
      <c r="B14">
        <f>SUBTOTAL(109,D$2:D$9)</f>
        <v>1996.3515802437014</v>
      </c>
    </row>
    <row r="15" spans="1:6">
      <c r="A15" t="s">
        <v>4</v>
      </c>
      <c r="B15">
        <f>SUBTOTAL(109,E$2:E$9)</f>
        <v>1984.7520145763087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1C70-8E70-4EEE-A754-4C27673866B5}">
  <dimension ref="A1:F15"/>
  <sheetViews>
    <sheetView workbookViewId="0">
      <selection activeCell="A11" sqref="A11:B11"/>
    </sheetView>
  </sheetViews>
  <sheetFormatPr defaultRowHeight="14.5"/>
  <cols>
    <col min="1" max="1" width="13.81640625" customWidth="1"/>
    <col min="2" max="2" width="12.81640625" customWidth="1"/>
    <col min="3" max="3" width="15.1796875" customWidth="1"/>
    <col min="4" max="4" width="17.54296875" customWidth="1"/>
    <col min="5" max="5" width="20.1796875" customWidth="1"/>
    <col min="6" max="6" width="23.36328125" customWidth="1"/>
  </cols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10</v>
      </c>
    </row>
    <row r="2" spans="1:6">
      <c r="A2" t="s">
        <v>9</v>
      </c>
      <c r="B2" s="2">
        <f>'Embodied carbon emissions'!C22</f>
        <v>481.10252698818294</v>
      </c>
      <c r="C2" s="2">
        <f>'Embodied carbon emissions'!D22</f>
        <v>490.64180229958504</v>
      </c>
      <c r="D2" s="2">
        <f>'Embodied carbon emissions'!E22</f>
        <v>503.26791440434386</v>
      </c>
      <c r="E2" s="2">
        <f>'Embodied carbon emissions'!F22</f>
        <v>533.1416697540725</v>
      </c>
      <c r="F2" s="4">
        <f>AVERAGE(B2:E2)</f>
        <v>502.03847836154614</v>
      </c>
    </row>
    <row r="3" spans="1:6">
      <c r="A3" t="s">
        <v>70</v>
      </c>
      <c r="B3" s="2">
        <f>IF(Results!$E$2="Oversized",'Refrigerants OS'!C39,'Refrigerants RS'!C39)</f>
        <v>322.73171427171599</v>
      </c>
      <c r="C3" s="2">
        <f>IF(Results!$E$2="Oversized",'Refrigerants OS'!D39,'Refrigerants RS'!D39)</f>
        <v>389.85713677161266</v>
      </c>
      <c r="D3" s="2">
        <f>IF(Results!$E$2="Oversized",'Refrigerants OS'!E39,'Refrigerants RS'!E39)</f>
        <v>265.45053443140938</v>
      </c>
      <c r="E3" s="2">
        <f>IF(Results!$E$2="Oversized",'Refrigerants OS'!F39,'Refrigerants RS'!F39)</f>
        <v>389.85713677161266</v>
      </c>
      <c r="F3" s="4">
        <f>AVERAGE(B3:E3)</f>
        <v>341.97413056158769</v>
      </c>
    </row>
    <row r="4" spans="1:6" hidden="1">
      <c r="A4" t="s">
        <v>80</v>
      </c>
      <c r="B4" s="2">
        <f>Table14[[#This Row],[2a]]</f>
        <v>433118.80920000002</v>
      </c>
      <c r="C4" s="2">
        <f>Table14[[#This Row],[3c]]</f>
        <v>437235.04470952984</v>
      </c>
      <c r="D4" s="2">
        <f>Table14[[#This Row],[4a]]</f>
        <v>386692.71732150507</v>
      </c>
      <c r="E4" s="2">
        <f>Table14[[#This Row],[5a]]</f>
        <v>438341.45470952988</v>
      </c>
      <c r="F4" s="4">
        <f>AVERAGE(B4:E4)</f>
        <v>423847.00648514123</v>
      </c>
    </row>
    <row r="5" spans="1:6">
      <c r="A5" t="s">
        <v>8</v>
      </c>
      <c r="B5" s="2">
        <f>B4/3131</f>
        <v>138.33242069626317</v>
      </c>
      <c r="C5" s="2">
        <f t="shared" ref="C5:E5" si="0">C4/3131</f>
        <v>139.64709189061955</v>
      </c>
      <c r="D5" s="2">
        <f t="shared" si="0"/>
        <v>123.50454082449859</v>
      </c>
      <c r="E5" s="2">
        <f t="shared" si="0"/>
        <v>140.00046461498877</v>
      </c>
      <c r="F5" s="4">
        <f t="shared" ref="F5:F9" si="1">AVERAGE(B5:E5)</f>
        <v>135.37112950659252</v>
      </c>
    </row>
    <row r="6" spans="1:6" hidden="1">
      <c r="A6" t="s">
        <v>6</v>
      </c>
      <c r="B6" s="2">
        <v>134238.46</v>
      </c>
      <c r="C6" s="2">
        <v>115895.07</v>
      </c>
      <c r="D6" s="2">
        <v>102082.37</v>
      </c>
      <c r="E6" s="2">
        <v>119389.63</v>
      </c>
      <c r="F6" s="4">
        <f t="shared" si="1"/>
        <v>117901.38250000001</v>
      </c>
    </row>
    <row r="7" spans="1:6" hidden="1">
      <c r="A7" t="s">
        <v>7</v>
      </c>
      <c r="B7" s="2">
        <f>B6*60</f>
        <v>8054307.5999999996</v>
      </c>
      <c r="C7" s="2">
        <f t="shared" ref="C7:E7" si="2">C6*60</f>
        <v>6953704.2000000002</v>
      </c>
      <c r="D7" s="2">
        <f t="shared" si="2"/>
        <v>6124942.1999999993</v>
      </c>
      <c r="E7" s="2">
        <f t="shared" si="2"/>
        <v>7163377.8000000007</v>
      </c>
      <c r="F7" s="4">
        <f t="shared" si="1"/>
        <v>7074082.9500000002</v>
      </c>
    </row>
    <row r="8" spans="1:6" hidden="1">
      <c r="A8" t="s">
        <v>77</v>
      </c>
      <c r="B8" s="2">
        <f>B7*'Grid emissions'!D2</f>
        <v>1850070.1644905391</v>
      </c>
      <c r="C8" s="2">
        <f>C7*'Grid emissions'!E2</f>
        <v>1597262.149897597</v>
      </c>
      <c r="D8" s="2">
        <f>D7*'Grid emissions'!F2</f>
        <v>1406895.9600511214</v>
      </c>
      <c r="E8" s="2">
        <f>E7*'Grid emissions'!G2</f>
        <v>1645424.0641062527</v>
      </c>
      <c r="F8" s="4">
        <f>AVERAGE(B8:E8)</f>
        <v>1624913.0846363776</v>
      </c>
    </row>
    <row r="9" spans="1:6">
      <c r="A9" t="s">
        <v>74</v>
      </c>
      <c r="B9" s="2">
        <f>B8/3131</f>
        <v>590.88794777724024</v>
      </c>
      <c r="C9" s="2">
        <f t="shared" ref="C9:E9" si="3">C8/3131</f>
        <v>510.14441069868957</v>
      </c>
      <c r="D9" s="2">
        <f t="shared" si="3"/>
        <v>449.34396680010263</v>
      </c>
      <c r="E9" s="2">
        <f t="shared" si="3"/>
        <v>525.52668927060131</v>
      </c>
      <c r="F9" s="4">
        <f t="shared" si="1"/>
        <v>518.97575363665851</v>
      </c>
    </row>
    <row r="11" spans="1:6">
      <c r="A11" s="21" t="s">
        <v>60</v>
      </c>
      <c r="B11" s="21" t="s">
        <v>131</v>
      </c>
    </row>
    <row r="12" spans="1:6">
      <c r="A12" t="s">
        <v>1</v>
      </c>
      <c r="B12">
        <f>SUBTOTAL(109,B$2:B$9)</f>
        <v>1533.0546097334022</v>
      </c>
    </row>
    <row r="13" spans="1:6">
      <c r="A13" t="s">
        <v>2</v>
      </c>
      <c r="B13">
        <f>SUBTOTAL(109,C$2:C$9)</f>
        <v>1530.2904416605068</v>
      </c>
    </row>
    <row r="14" spans="1:6">
      <c r="A14" t="s">
        <v>3</v>
      </c>
      <c r="B14">
        <f>SUBTOTAL(109,D$2:D$9)</f>
        <v>1341.5669564603545</v>
      </c>
    </row>
    <row r="15" spans="1:6">
      <c r="A15" t="s">
        <v>4</v>
      </c>
      <c r="B15">
        <f>SUBTOTAL(109,E$2:E$9)</f>
        <v>1588.5259604112753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2802-4931-4193-8B24-C4188E1EAD6B}">
  <dimension ref="A1:P11"/>
  <sheetViews>
    <sheetView zoomScale="85" zoomScaleNormal="85" workbookViewId="0">
      <selection activeCell="I27" sqref="I27"/>
    </sheetView>
  </sheetViews>
  <sheetFormatPr defaultRowHeight="14.5"/>
  <cols>
    <col min="1" max="1" width="21.36328125" customWidth="1"/>
    <col min="2" max="2" width="19.7265625" customWidth="1"/>
    <col min="3" max="3" width="16.81640625" customWidth="1"/>
    <col min="4" max="4" width="14.1796875" customWidth="1"/>
    <col min="5" max="5" width="16.453125" customWidth="1"/>
    <col min="6" max="6" width="19.7265625" customWidth="1"/>
    <col min="7" max="7" width="24.81640625" customWidth="1"/>
    <col min="8" max="8" width="18.1796875" customWidth="1"/>
    <col min="9" max="9" width="25.08984375" customWidth="1"/>
    <col min="12" max="12" width="22.54296875" customWidth="1"/>
  </cols>
  <sheetData>
    <row r="1" spans="1:16">
      <c r="A1" t="s">
        <v>59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65</v>
      </c>
      <c r="H1" t="s">
        <v>16</v>
      </c>
      <c r="I1" t="s">
        <v>83</v>
      </c>
      <c r="M1" s="2"/>
      <c r="N1" s="2"/>
      <c r="O1" s="2"/>
      <c r="P1" s="2"/>
    </row>
    <row r="2" spans="1:16">
      <c r="A2" s="2" t="s">
        <v>1</v>
      </c>
      <c r="B2" s="2">
        <f>'Base - Gas'!B16</f>
        <v>2590.4463513076403</v>
      </c>
      <c r="C2" s="2">
        <f>'Base - Electric'!B11</f>
        <v>2752.1500320237001</v>
      </c>
      <c r="D2" s="2">
        <f>'Low EC - Gas'!B16</f>
        <v>2322.6319303558676</v>
      </c>
      <c r="E2" s="2">
        <f>'Low EC - Electric'!B11</f>
        <v>2484.3356110719274</v>
      </c>
      <c r="F2" s="2">
        <f>'PHIUS - Efficient Low EC'!B12</f>
        <v>1196.8982506478762</v>
      </c>
      <c r="G2" s="2">
        <f>'PHIUS - Efficient Standard EC'!B12</f>
        <v>1501.9462646918967</v>
      </c>
      <c r="H2" s="2">
        <f>'PHIUS - Inefficient High EC'!B12</f>
        <v>1939.1138954829039</v>
      </c>
      <c r="I2">
        <f>'PHIUS - Efficient High EC'!B12</f>
        <v>1533.0546097334022</v>
      </c>
      <c r="M2" s="2"/>
    </row>
    <row r="3" spans="1:16">
      <c r="A3" s="2" t="s">
        <v>2</v>
      </c>
      <c r="B3" s="2">
        <f>'Base - Gas'!B17</f>
        <v>2335.4784607043403</v>
      </c>
      <c r="C3" s="2">
        <f>'Base - Electric'!B12</f>
        <v>2539.4678269005326</v>
      </c>
      <c r="D3" s="2">
        <f>'Low EC - Gas'!B17</f>
        <v>2066.1839694874766</v>
      </c>
      <c r="E3" s="2">
        <f>'Low EC - Electric'!B12</f>
        <v>2270.1733356836685</v>
      </c>
      <c r="F3" s="2">
        <f>'PHIUS - Efficient Low EC'!B13</f>
        <v>1186.405895337854</v>
      </c>
      <c r="G3" s="2">
        <f>'PHIUS - Efficient Standard EC'!B13</f>
        <v>1464.7560556700164</v>
      </c>
      <c r="H3" s="2">
        <f>'PHIUS - Inefficient High EC'!B13</f>
        <v>1865.2350906189918</v>
      </c>
      <c r="I3">
        <f>'PHIUS - Efficient High EC'!B13</f>
        <v>1530.2904416605068</v>
      </c>
      <c r="M3" s="2"/>
    </row>
    <row r="4" spans="1:16">
      <c r="A4" s="2" t="s">
        <v>3</v>
      </c>
      <c r="B4" s="2">
        <f>'Base - Gas'!B18</f>
        <v>3149.5165588999844</v>
      </c>
      <c r="C4" s="2">
        <f>'Base - Electric'!B13</f>
        <v>3453.0877906543556</v>
      </c>
      <c r="D4" s="2">
        <f>'Low EC - Gas'!B18</f>
        <v>2878.3842650641491</v>
      </c>
      <c r="E4" s="2">
        <f>'Low EC - Electric'!B13</f>
        <v>3181.9554968185203</v>
      </c>
      <c r="F4" s="2">
        <f>'PHIUS - Efficient Low EC'!B14</f>
        <v>1001.7991483799597</v>
      </c>
      <c r="G4" s="2">
        <f>'PHIUS - Efficient Standard EC'!B14</f>
        <v>1291.0334160260795</v>
      </c>
      <c r="H4" s="2">
        <f>'PHIUS - Inefficient High EC'!B14</f>
        <v>1996.3515802437014</v>
      </c>
      <c r="I4">
        <f>'PHIUS - Efficient High EC'!B14</f>
        <v>1341.5669564603545</v>
      </c>
      <c r="M4" s="2"/>
    </row>
    <row r="5" spans="1:16">
      <c r="A5" s="2" t="s">
        <v>4</v>
      </c>
      <c r="B5" s="2">
        <f>'Base - Gas'!B19</f>
        <v>3359.4406436880345</v>
      </c>
      <c r="C5" s="2">
        <f>'Base - Electric'!B14</f>
        <v>3738.2982127827249</v>
      </c>
      <c r="D5" s="2">
        <f>'Low EC - Gas'!B19</f>
        <v>3088.3084712191744</v>
      </c>
      <c r="E5" s="2">
        <f>'Low EC - Electric'!B14</f>
        <v>3467.1660403138649</v>
      </c>
      <c r="F5" s="2">
        <f>'PHIUS - Efficient Low EC'!B15</f>
        <v>1237.4429407722616</v>
      </c>
      <c r="G5" s="2">
        <f>'PHIUS - Efficient Standard EC'!B15</f>
        <v>1517.055630647701</v>
      </c>
      <c r="H5" s="2">
        <f>'PHIUS - Inefficient High EC'!B15</f>
        <v>1984.7520145763087</v>
      </c>
      <c r="I5">
        <f>'PHIUS - Efficient High EC'!B15</f>
        <v>1588.5259604112753</v>
      </c>
      <c r="M5" s="2"/>
    </row>
    <row r="6" spans="1:16">
      <c r="M6" s="2"/>
    </row>
    <row r="7" spans="1:16">
      <c r="M7" s="2"/>
    </row>
    <row r="8" spans="1:16">
      <c r="B8" s="2"/>
      <c r="C8" s="2"/>
      <c r="D8" s="2"/>
      <c r="E8" s="2"/>
      <c r="F8" s="2"/>
      <c r="G8" s="2"/>
      <c r="H8" s="2"/>
    </row>
    <row r="9" spans="1:16">
      <c r="B9" s="2"/>
      <c r="C9" s="2"/>
      <c r="D9" s="2"/>
      <c r="E9" s="2"/>
      <c r="F9" s="2"/>
      <c r="G9" s="2"/>
      <c r="H9" s="2"/>
    </row>
    <row r="10" spans="1:16">
      <c r="B10" s="2"/>
      <c r="C10" s="2"/>
      <c r="D10" s="2"/>
      <c r="E10" s="2"/>
      <c r="F10" s="2"/>
      <c r="G10" s="2"/>
      <c r="H10" s="2"/>
    </row>
    <row r="11" spans="1:16">
      <c r="B11" s="2"/>
      <c r="C11" s="2"/>
      <c r="D11" s="2"/>
      <c r="E11" s="2"/>
      <c r="F11" s="2"/>
      <c r="G11" s="2"/>
      <c r="H1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09141-7595-4E76-ABC3-83F44C43589A}">
  <dimension ref="A1:I7"/>
  <sheetViews>
    <sheetView zoomScale="90" zoomScaleNormal="90" workbookViewId="0">
      <selection activeCell="H4" sqref="H4"/>
    </sheetView>
  </sheetViews>
  <sheetFormatPr defaultRowHeight="14.5"/>
  <cols>
    <col min="1" max="1" width="29.1796875" customWidth="1"/>
    <col min="2" max="2" width="24.26953125" customWidth="1"/>
    <col min="3" max="3" width="13.90625" customWidth="1"/>
    <col min="4" max="4" width="14.1796875" customWidth="1"/>
    <col min="5" max="5" width="16.453125" customWidth="1"/>
    <col min="6" max="6" width="22.08984375" customWidth="1"/>
    <col min="7" max="7" width="27.6328125" customWidth="1"/>
    <col min="8" max="8" width="18.1796875" customWidth="1"/>
    <col min="9" max="9" width="31.6328125" customWidth="1"/>
  </cols>
  <sheetData>
    <row r="1" spans="1:9">
      <c r="B1" t="s">
        <v>11</v>
      </c>
      <c r="C1" t="s">
        <v>93</v>
      </c>
      <c r="D1" t="s">
        <v>12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</row>
    <row r="2" spans="1:9">
      <c r="A2" t="s">
        <v>58</v>
      </c>
      <c r="B2" s="2">
        <f>'Base - Gas'!F2</f>
        <v>407.79489045033552</v>
      </c>
      <c r="C2" s="2">
        <f>Table12[[#This Row],[Average]]</f>
        <v>137.95154583200249</v>
      </c>
      <c r="D2" s="2">
        <f>Table11[[#This Row],[Average]]</f>
        <v>407.79489045033552</v>
      </c>
      <c r="E2" s="2">
        <f>'Low EC - Electric'!F2</f>
        <v>137.95154583200249</v>
      </c>
      <c r="F2" s="2">
        <f>'PHIUS - Efficient Low EC'!F2</f>
        <v>141.74443468540397</v>
      </c>
      <c r="G2" s="2">
        <f>Table1617[[#This Row],[Average]]</f>
        <v>429.67382689236695</v>
      </c>
      <c r="H2" s="2">
        <f>'PHIUS - Inefficient High EC'!F2</f>
        <v>502.03847836154614</v>
      </c>
      <c r="I2" s="2">
        <f>Table161730[[#This Row],[Average]]</f>
        <v>502.03847836154614</v>
      </c>
    </row>
    <row r="3" spans="1:9">
      <c r="A3" t="s">
        <v>70</v>
      </c>
      <c r="B3" s="2">
        <f>Table10[[#This Row],[Average]]</f>
        <v>365.60359952178851</v>
      </c>
      <c r="C3" s="2">
        <f>Table12[[#This Row],[Average]]</f>
        <v>365.60359952178851</v>
      </c>
      <c r="D3" s="2">
        <f>Table11[[#This Row],[Average]]</f>
        <v>426.53031824389564</v>
      </c>
      <c r="E3" s="2">
        <f>Table17[[#This Row],[Average]]</f>
        <v>426.53031824389564</v>
      </c>
      <c r="F3" s="2">
        <f>Table14[[#This Row],[Average]]</f>
        <v>341.97475032756245</v>
      </c>
      <c r="G3" s="2">
        <f>Table1617[[#This Row],[Average]]</f>
        <v>341.97475032756245</v>
      </c>
      <c r="H3" s="2">
        <f>Table16[[#This Row],[Average]]</f>
        <v>365.60359952178851</v>
      </c>
      <c r="I3" s="2">
        <f>Table161730[[#This Row],[Average]]</f>
        <v>341.97413056158769</v>
      </c>
    </row>
    <row r="4" spans="1:9">
      <c r="A4" t="s">
        <v>57</v>
      </c>
      <c r="B4" s="2">
        <f>'Base - Gas'!F4</f>
        <v>185.76890459916956</v>
      </c>
      <c r="C4" s="2">
        <f>Table12[[#This Row],[Average]]</f>
        <v>185.76890459916956</v>
      </c>
      <c r="D4" s="2">
        <f>Table11[[#This Row],[Average]]</f>
        <v>188.82053347173425</v>
      </c>
      <c r="E4" s="2">
        <f>'Low EC - Electric'!F4</f>
        <v>188.82053347173425</v>
      </c>
      <c r="F4" s="2">
        <f>'PHIUS - Efficient Low EC'!F5</f>
        <v>135.37112950659252</v>
      </c>
      <c r="G4" s="2">
        <f>'PHIUS - Efficient Standard EC'!F5</f>
        <v>135.50302027406511</v>
      </c>
      <c r="H4" s="2">
        <f>'PHIUS - Inefficient High EC'!F5</f>
        <v>144.8883559565634</v>
      </c>
      <c r="I4" s="2">
        <f>'PHIUS - Efficient High EC'!F5</f>
        <v>135.37112950659252</v>
      </c>
    </row>
    <row r="5" spans="1:9" hidden="1">
      <c r="A5" t="s">
        <v>17</v>
      </c>
      <c r="B5" s="2">
        <f>'Base - Gas'!F9</f>
        <v>266294.00750000001</v>
      </c>
      <c r="C5" s="2">
        <f>Table12[[#This Row],[Average]]</f>
        <v>476535.85750000004</v>
      </c>
      <c r="D5" s="2">
        <f>'Base - Electric'!G5</f>
        <v>0</v>
      </c>
      <c r="E5" s="2">
        <f>'Low EC - Electric'!F5</f>
        <v>476535.85750000004</v>
      </c>
      <c r="F5" s="2">
        <f>'PHIUS - Efficient Low EC'!F6</f>
        <v>121893.0625</v>
      </c>
      <c r="G5" s="2"/>
      <c r="H5" s="2">
        <f>'PHIUS - Inefficient High EC'!F6</f>
        <v>212148.96250000002</v>
      </c>
      <c r="I5" s="2">
        <f>Table161730[[#This Row],[Average]]</f>
        <v>135.37112950659252</v>
      </c>
    </row>
    <row r="6" spans="1:9" hidden="1">
      <c r="A6" t="s">
        <v>18</v>
      </c>
      <c r="B6" s="2">
        <f>'Base - Gas'!F10</f>
        <v>15977640.449999999</v>
      </c>
      <c r="C6" s="2">
        <f>Table12[[#This Row],[Average]]</f>
        <v>210241.85</v>
      </c>
      <c r="D6" s="2">
        <f>'Base - Electric'!G6</f>
        <v>0</v>
      </c>
      <c r="E6" s="2">
        <f>'Low EC - Electric'!F6</f>
        <v>28592151.450000003</v>
      </c>
      <c r="F6" s="2">
        <f>'PHIUS - Efficient Low EC'!F7</f>
        <v>7313583.7500000009</v>
      </c>
      <c r="G6" s="2"/>
      <c r="H6" s="2">
        <f>'PHIUS - Inefficient High EC'!F7</f>
        <v>12728937.75</v>
      </c>
      <c r="I6" s="2">
        <f>Table161730[[#This Row],[Average]]</f>
        <v>117901.38250000001</v>
      </c>
    </row>
    <row r="7" spans="1:9">
      <c r="A7" t="s">
        <v>56</v>
      </c>
      <c r="B7" s="2">
        <f>'Base - Gas'!F13</f>
        <v>1899.5531090787065</v>
      </c>
      <c r="C7" s="2">
        <f>'Low EC - Gas'!F13</f>
        <v>1899.5531090787065</v>
      </c>
      <c r="D7" s="2">
        <f>'Base - Electric'!F8</f>
        <v>2097.605223424363</v>
      </c>
      <c r="E7" s="2">
        <f>'Low EC - Electric'!F8</f>
        <v>2097.605223424363</v>
      </c>
      <c r="F7" s="2">
        <f>'PHIUS - Efficient Low EC'!F9</f>
        <v>536.54624426492899</v>
      </c>
      <c r="G7" s="2">
        <f>'PHIUS - Efficient Standard EC'!F9</f>
        <v>536.54624426492899</v>
      </c>
      <c r="H7" s="2">
        <f>'PHIUS - Inefficient High EC'!F9</f>
        <v>933.83271139057842</v>
      </c>
      <c r="I7" s="2">
        <f>'PHIUS - Efficient High EC'!F9</f>
        <v>518.97575363665851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E8D6B-5016-41BF-9824-973092EBDFD0}">
  <dimension ref="A1:K21"/>
  <sheetViews>
    <sheetView tabSelected="1" topLeftCell="A3" zoomScale="85" zoomScaleNormal="85" workbookViewId="0">
      <selection activeCell="E47" sqref="E47"/>
    </sheetView>
  </sheetViews>
  <sheetFormatPr defaultRowHeight="14.5"/>
  <cols>
    <col min="2" max="2" width="20.6328125" customWidth="1"/>
    <col min="3" max="3" width="24" customWidth="1"/>
    <col min="4" max="4" width="22.54296875" customWidth="1"/>
    <col min="7" max="7" width="16.08984375" customWidth="1"/>
    <col min="8" max="8" width="47.08984375" customWidth="1"/>
    <col min="9" max="9" width="31.453125" customWidth="1"/>
    <col min="10" max="10" width="34.81640625" customWidth="1"/>
    <col min="11" max="11" width="23.90625" customWidth="1"/>
  </cols>
  <sheetData>
    <row r="1" spans="1:11" hidden="1">
      <c r="B1" t="s">
        <v>43</v>
      </c>
      <c r="C1" t="s">
        <v>29</v>
      </c>
      <c r="D1" t="s">
        <v>1</v>
      </c>
      <c r="E1" t="s">
        <v>2</v>
      </c>
      <c r="F1" t="s">
        <v>3</v>
      </c>
      <c r="G1" t="s">
        <v>4</v>
      </c>
    </row>
    <row r="2" spans="1:11" hidden="1">
      <c r="A2" t="s">
        <v>28</v>
      </c>
      <c r="B2" t="str">
        <f>Table9[[#This Row],[Grid]]</f>
        <v>US - Average</v>
      </c>
      <c r="C2" t="str">
        <f>Table9[[#This Row],[Scenario]]</f>
        <v>50% by 2050</v>
      </c>
      <c r="D2">
        <f>IF($B$2=$C$17,(VLOOKUP($C$2,Table13[],2,FALSE)),(VLOOKUP($C$2,Table15[],2,FALSE)))</f>
        <v>0.22969946721311454</v>
      </c>
      <c r="E2">
        <f>IF($B$2=$C$17,(VLOOKUP($C$2,Table13[],3,FALSE)),(VLOOKUP($C$2,Table15[],2,FALSE)))</f>
        <v>0.22969946721311454</v>
      </c>
      <c r="F2">
        <f>IF($B$2=$C$17,(VLOOKUP($C$2,Table13[],4,FALSE)),(VLOOKUP($C$2,Table15[],2,FALSE)))</f>
        <v>0.22969946721311454</v>
      </c>
      <c r="G2">
        <f>IF($B$2=$C$17,(VLOOKUP($C$2,Table13[],5,FALSE)),(VLOOKUP($C$2,Table15[],2,FALSE)))</f>
        <v>0.22969946721311454</v>
      </c>
    </row>
    <row r="6" spans="1:11">
      <c r="C6" t="s">
        <v>36</v>
      </c>
      <c r="D6" t="s">
        <v>37</v>
      </c>
      <c r="G6" t="s">
        <v>36</v>
      </c>
      <c r="H6" t="s">
        <v>41</v>
      </c>
      <c r="I6" t="s">
        <v>42</v>
      </c>
      <c r="J6" t="s">
        <v>113</v>
      </c>
      <c r="K6" t="s">
        <v>38</v>
      </c>
    </row>
    <row r="7" spans="1:11">
      <c r="C7" t="s">
        <v>30</v>
      </c>
      <c r="D7">
        <v>0.3711701</v>
      </c>
      <c r="G7" t="s">
        <v>30</v>
      </c>
      <c r="H7">
        <v>0.378785916</v>
      </c>
      <c r="I7">
        <v>0.23290153799999999</v>
      </c>
      <c r="J7">
        <v>0.28785425399999998</v>
      </c>
      <c r="K7" s="6">
        <v>0.10591835400000001</v>
      </c>
    </row>
    <row r="8" spans="1:11">
      <c r="C8" t="s">
        <v>31</v>
      </c>
      <c r="D8">
        <v>0.22969946721311454</v>
      </c>
      <c r="G8" t="s">
        <v>31</v>
      </c>
      <c r="H8">
        <v>0.23441259555737651</v>
      </c>
      <c r="I8">
        <v>0.14413168950000005</v>
      </c>
      <c r="J8">
        <v>0.1781393129262295</v>
      </c>
      <c r="K8" s="8">
        <v>6.554783382786887E-2</v>
      </c>
    </row>
    <row r="9" spans="1:11">
      <c r="C9" t="s">
        <v>32</v>
      </c>
      <c r="D9">
        <v>0.14481714754098396</v>
      </c>
      <c r="G9" t="s">
        <v>32</v>
      </c>
      <c r="H9">
        <v>0.14778860329180341</v>
      </c>
      <c r="I9">
        <v>9.0869780400000141E-2</v>
      </c>
      <c r="J9">
        <v>0.11231034828196741</v>
      </c>
      <c r="K9" s="6">
        <v>4.1325521724590183E-2</v>
      </c>
    </row>
    <row r="10" spans="1:11">
      <c r="C10" t="s">
        <v>33</v>
      </c>
      <c r="D10">
        <v>8.8228934426229449E-2</v>
      </c>
      <c r="G10" t="s">
        <v>33</v>
      </c>
      <c r="H10">
        <v>9.0039275114754166E-2</v>
      </c>
      <c r="I10">
        <v>5.5361841000000009E-2</v>
      </c>
      <c r="J10">
        <v>6.8424371852458962E-2</v>
      </c>
      <c r="K10" s="8">
        <v>2.5177313655737686E-2</v>
      </c>
    </row>
    <row r="11" spans="1:11">
      <c r="C11" t="s">
        <v>34</v>
      </c>
      <c r="D11">
        <v>0.11074252459016395</v>
      </c>
      <c r="G11" t="s">
        <v>34</v>
      </c>
      <c r="H11">
        <v>6.0854130767213126E-2</v>
      </c>
      <c r="I11">
        <v>3.7416968400000021E-2</v>
      </c>
      <c r="J11">
        <v>4.624543752786886E-2</v>
      </c>
      <c r="K11" s="6">
        <v>1.7016391298360654E-2</v>
      </c>
    </row>
    <row r="12" spans="1:11">
      <c r="C12" t="s">
        <v>35</v>
      </c>
      <c r="D12">
        <v>4.2593290163934441E-2</v>
      </c>
      <c r="G12" t="s">
        <v>35</v>
      </c>
      <c r="H12">
        <v>4.3467236262295081E-2</v>
      </c>
      <c r="I12">
        <v>2.6726406000000005E-2</v>
      </c>
      <c r="J12">
        <v>3.3032455377049179E-2</v>
      </c>
      <c r="K12" s="9">
        <v>1.2154565213114754E-2</v>
      </c>
    </row>
    <row r="15" spans="1:11">
      <c r="C15" t="s">
        <v>43</v>
      </c>
      <c r="G15" t="s">
        <v>36</v>
      </c>
      <c r="H15" t="s">
        <v>37</v>
      </c>
      <c r="I15" t="s">
        <v>39</v>
      </c>
      <c r="J15" t="s">
        <v>40</v>
      </c>
      <c r="K15" t="s">
        <v>111</v>
      </c>
    </row>
    <row r="16" spans="1:11">
      <c r="C16" t="s">
        <v>44</v>
      </c>
      <c r="G16" t="s">
        <v>30</v>
      </c>
      <c r="H16">
        <v>0.3711701</v>
      </c>
      <c r="I16">
        <v>0.3711701</v>
      </c>
      <c r="J16">
        <v>0.3711701</v>
      </c>
      <c r="K16">
        <v>0.3711701</v>
      </c>
    </row>
    <row r="17" spans="3:11">
      <c r="C17" t="s">
        <v>45</v>
      </c>
      <c r="G17" t="s">
        <v>31</v>
      </c>
      <c r="H17">
        <v>0.22969946721311454</v>
      </c>
      <c r="I17">
        <v>0.22969946721311454</v>
      </c>
      <c r="J17">
        <v>0.22969946721311454</v>
      </c>
      <c r="K17">
        <v>0.22969946721311454</v>
      </c>
    </row>
    <row r="18" spans="3:11">
      <c r="G18" t="s">
        <v>32</v>
      </c>
      <c r="H18">
        <v>0.14481714754098396</v>
      </c>
      <c r="I18">
        <v>0.14481714754098396</v>
      </c>
      <c r="J18">
        <v>0.14481714754098396</v>
      </c>
      <c r="K18">
        <v>0.14481714754098396</v>
      </c>
    </row>
    <row r="19" spans="3:11">
      <c r="G19" t="s">
        <v>33</v>
      </c>
      <c r="H19">
        <v>8.8228934426229449E-2</v>
      </c>
      <c r="I19">
        <v>8.8228934426229449E-2</v>
      </c>
      <c r="J19">
        <v>8.8228934426229449E-2</v>
      </c>
      <c r="K19">
        <v>8.8228934426229449E-2</v>
      </c>
    </row>
    <row r="20" spans="3:11">
      <c r="G20" t="s">
        <v>34</v>
      </c>
      <c r="H20">
        <v>0.11074252459016395</v>
      </c>
      <c r="I20">
        <v>0.11074252459016395</v>
      </c>
      <c r="J20">
        <v>0.11074252459016395</v>
      </c>
      <c r="K20">
        <v>0.11074252459016395</v>
      </c>
    </row>
    <row r="21" spans="3:11">
      <c r="G21" t="s">
        <v>35</v>
      </c>
      <c r="H21">
        <v>4.259327868852459E-2</v>
      </c>
      <c r="I21">
        <v>4.259327868852459E-2</v>
      </c>
      <c r="J21">
        <v>4.259327868852459E-2</v>
      </c>
      <c r="K21">
        <v>4.259327868852459E-2</v>
      </c>
    </row>
  </sheetData>
  <phoneticPr fontId="6" type="noConversion"/>
  <dataValidations count="1">
    <dataValidation type="list" allowBlank="1" showInputMessage="1" showErrorMessage="1" sqref="C2" xr:uid="{4FDA477D-0FE7-49E9-9963-84CEA79A5729}">
      <formula1>$C$7:$C$12</formula1>
    </dataValidation>
  </dataValidation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0E7C-8C5D-4EF9-880D-9950181FBEE2}">
  <dimension ref="A2:H22"/>
  <sheetViews>
    <sheetView workbookViewId="0">
      <selection activeCell="I10" sqref="I10"/>
    </sheetView>
  </sheetViews>
  <sheetFormatPr defaultRowHeight="14.5"/>
  <cols>
    <col min="2" max="2" width="11" customWidth="1"/>
  </cols>
  <sheetData>
    <row r="2" spans="1:8">
      <c r="A2" t="s">
        <v>53</v>
      </c>
      <c r="B2" t="s">
        <v>29</v>
      </c>
      <c r="C2" t="s">
        <v>1</v>
      </c>
      <c r="D2" t="s">
        <v>2</v>
      </c>
      <c r="E2" t="s">
        <v>3</v>
      </c>
      <c r="F2" t="s">
        <v>4</v>
      </c>
      <c r="H2" t="s">
        <v>46</v>
      </c>
    </row>
    <row r="3" spans="1:8">
      <c r="B3" t="s">
        <v>49</v>
      </c>
      <c r="C3">
        <v>405.76596678377535</v>
      </c>
      <c r="D3">
        <v>407.2460370488663</v>
      </c>
      <c r="E3">
        <v>409.08383966783788</v>
      </c>
      <c r="F3">
        <v>409.08371830086247</v>
      </c>
      <c r="H3" t="s">
        <v>47</v>
      </c>
    </row>
    <row r="4" spans="1:8">
      <c r="B4" t="s">
        <v>50</v>
      </c>
      <c r="C4">
        <v>137.95154583200249</v>
      </c>
      <c r="D4">
        <v>137.95154583200249</v>
      </c>
      <c r="E4">
        <v>137.95154583200249</v>
      </c>
      <c r="F4">
        <v>137.95154583200249</v>
      </c>
      <c r="H4" t="s">
        <v>48</v>
      </c>
    </row>
    <row r="5" spans="1:8">
      <c r="B5" t="s">
        <v>51</v>
      </c>
      <c r="C5">
        <v>142.82977642925576</v>
      </c>
      <c r="D5">
        <v>140.00370488661764</v>
      </c>
      <c r="E5">
        <v>143.86278824656654</v>
      </c>
      <c r="F5">
        <v>140.28146917917593</v>
      </c>
    </row>
    <row r="6" spans="1:8">
      <c r="B6" t="s">
        <v>64</v>
      </c>
      <c r="C6">
        <v>447.74589971255227</v>
      </c>
      <c r="D6">
        <v>418.22197444905805</v>
      </c>
      <c r="E6">
        <v>432.96516512296415</v>
      </c>
      <c r="F6">
        <v>419.76226828489325</v>
      </c>
    </row>
    <row r="7" spans="1:8">
      <c r="B7" t="s">
        <v>52</v>
      </c>
      <c r="C7">
        <v>481.10252698818294</v>
      </c>
      <c r="D7">
        <v>490.64180229958504</v>
      </c>
      <c r="E7">
        <v>503.26791440434386</v>
      </c>
      <c r="F7">
        <v>533.1416697540725</v>
      </c>
    </row>
    <row r="9" spans="1:8">
      <c r="A9" t="s">
        <v>54</v>
      </c>
      <c r="B9" t="s">
        <v>36</v>
      </c>
      <c r="C9" t="s">
        <v>1</v>
      </c>
      <c r="D9" t="s">
        <v>2</v>
      </c>
      <c r="E9" t="s">
        <v>3</v>
      </c>
      <c r="F9" t="s">
        <v>4</v>
      </c>
    </row>
    <row r="10" spans="1:8">
      <c r="B10" t="s">
        <v>49</v>
      </c>
      <c r="C10">
        <v>405.00361290322576</v>
      </c>
      <c r="D10">
        <v>406.48368316831693</v>
      </c>
      <c r="E10">
        <v>408.32148578728851</v>
      </c>
      <c r="F10">
        <v>408.3213644203131</v>
      </c>
    </row>
    <row r="11" spans="1:8">
      <c r="B11" t="s">
        <v>50</v>
      </c>
      <c r="C11">
        <v>67.623123602682838</v>
      </c>
      <c r="D11">
        <v>67.623123602682838</v>
      </c>
      <c r="E11">
        <v>67.623123602682838</v>
      </c>
      <c r="F11">
        <v>67.623123602682838</v>
      </c>
    </row>
    <row r="12" spans="1:8">
      <c r="B12" t="s">
        <v>51</v>
      </c>
      <c r="C12">
        <v>69.675282657297984</v>
      </c>
      <c r="D12">
        <v>69.675282657297984</v>
      </c>
      <c r="E12">
        <v>69.953046949856272</v>
      </c>
      <c r="F12">
        <v>69.953046949856272</v>
      </c>
    </row>
    <row r="13" spans="1:8">
      <c r="B13" t="s">
        <v>64</v>
      </c>
      <c r="C13">
        <v>446.98354583200256</v>
      </c>
      <c r="D13">
        <v>417.45962056850857</v>
      </c>
      <c r="E13">
        <v>432.20281124241467</v>
      </c>
      <c r="F13">
        <v>418.99991440434377</v>
      </c>
    </row>
    <row r="14" spans="1:8">
      <c r="B14" t="s">
        <v>52</v>
      </c>
      <c r="C14">
        <v>480.34017310763346</v>
      </c>
      <c r="D14">
        <v>489.87944841903555</v>
      </c>
      <c r="E14">
        <v>502.50556052379443</v>
      </c>
      <c r="F14">
        <v>532.37931587352296</v>
      </c>
    </row>
    <row r="17" spans="1:6">
      <c r="A17" t="s">
        <v>55</v>
      </c>
      <c r="B17" t="s">
        <v>36</v>
      </c>
      <c r="C17" t="s">
        <v>1</v>
      </c>
      <c r="D17" t="s">
        <v>2</v>
      </c>
      <c r="E17" t="s">
        <v>3</v>
      </c>
      <c r="F17" t="s">
        <v>4</v>
      </c>
    </row>
    <row r="18" spans="1:6">
      <c r="B18" t="s">
        <v>49</v>
      </c>
      <c r="C18">
        <f>IF(Results!$C$2='Embodied carbon emissions'!$H$3,'Embodied carbon emissions'!C3,'Embodied carbon emissions'!C10)</f>
        <v>405.76596678377535</v>
      </c>
      <c r="D18">
        <f>IF(Results!$C$2='Embodied carbon emissions'!$H$3,'Embodied carbon emissions'!D3,'Embodied carbon emissions'!D10)</f>
        <v>407.2460370488663</v>
      </c>
      <c r="E18">
        <f>IF(Results!$C$2='Embodied carbon emissions'!$H$3,'Embodied carbon emissions'!E3,'Embodied carbon emissions'!E10)</f>
        <v>409.08383966783788</v>
      </c>
      <c r="F18">
        <f>IF(Results!$C$2='Embodied carbon emissions'!$H$3,'Embodied carbon emissions'!F3,'Embodied carbon emissions'!F10)</f>
        <v>409.08371830086247</v>
      </c>
    </row>
    <row r="19" spans="1:6">
      <c r="B19" t="s">
        <v>50</v>
      </c>
      <c r="C19">
        <f>IF(Results!$C$2='Embodied carbon emissions'!$H$3,'Embodied carbon emissions'!C4,'Embodied carbon emissions'!C11)</f>
        <v>137.95154583200249</v>
      </c>
      <c r="D19">
        <f>IF(Results!$C$2='Embodied carbon emissions'!$H$3,'Embodied carbon emissions'!D4,'Embodied carbon emissions'!D11)</f>
        <v>137.95154583200249</v>
      </c>
      <c r="E19">
        <f>IF(Results!$C$2='Embodied carbon emissions'!$H$3,'Embodied carbon emissions'!E4,'Embodied carbon emissions'!E11)</f>
        <v>137.95154583200249</v>
      </c>
      <c r="F19">
        <f>IF(Results!$C$2='Embodied carbon emissions'!$H$3,'Embodied carbon emissions'!F4,'Embodied carbon emissions'!F11)</f>
        <v>137.95154583200249</v>
      </c>
    </row>
    <row r="20" spans="1:6">
      <c r="B20" t="s">
        <v>51</v>
      </c>
      <c r="C20">
        <f>IF(Results!$C$2='Embodied carbon emissions'!$H$3,'Embodied carbon emissions'!C5,'Embodied carbon emissions'!C12)</f>
        <v>142.82977642925576</v>
      </c>
      <c r="D20">
        <f>IF(Results!$C$2='Embodied carbon emissions'!$H$3,'Embodied carbon emissions'!D5,'Embodied carbon emissions'!D12)</f>
        <v>140.00370488661764</v>
      </c>
      <c r="E20">
        <f>IF(Results!$C$2='Embodied carbon emissions'!$H$3,'Embodied carbon emissions'!E5,'Embodied carbon emissions'!E12)</f>
        <v>143.86278824656654</v>
      </c>
      <c r="F20">
        <f>IF(Results!$C$2='Embodied carbon emissions'!$H$3,'Embodied carbon emissions'!F5,'Embodied carbon emissions'!F12)</f>
        <v>140.28146917917593</v>
      </c>
    </row>
    <row r="21" spans="1:6">
      <c r="B21" t="s">
        <v>64</v>
      </c>
      <c r="C21">
        <f>IF(Results!$C$2='Embodied carbon emissions'!$H$3,'Embodied carbon emissions'!C6,'Embodied carbon emissions'!C13)</f>
        <v>447.74589971255227</v>
      </c>
      <c r="D21">
        <f>IF(Results!$C$2='Embodied carbon emissions'!$H$3,'Embodied carbon emissions'!D6,'Embodied carbon emissions'!D13)</f>
        <v>418.22197444905805</v>
      </c>
      <c r="E21">
        <f>IF(Results!$C$2='Embodied carbon emissions'!$H$3,'Embodied carbon emissions'!E6,'Embodied carbon emissions'!E13)</f>
        <v>432.96516512296415</v>
      </c>
      <c r="F21">
        <f>IF(Results!$C$2='Embodied carbon emissions'!$H$3,'Embodied carbon emissions'!F6,'Embodied carbon emissions'!F13)</f>
        <v>419.76226828489325</v>
      </c>
    </row>
    <row r="22" spans="1:6">
      <c r="B22" t="s">
        <v>52</v>
      </c>
      <c r="C22">
        <f>IF(Results!$C$2='Embodied carbon emissions'!$H$3,'Embodied carbon emissions'!C7,'Embodied carbon emissions'!C14)</f>
        <v>481.10252698818294</v>
      </c>
      <c r="D22">
        <f>IF(Results!$C$2='Embodied carbon emissions'!$H$3,'Embodied carbon emissions'!D7,'Embodied carbon emissions'!D14)</f>
        <v>490.64180229958504</v>
      </c>
      <c r="E22">
        <f>IF(Results!$C$2='Embodied carbon emissions'!$H$3,'Embodied carbon emissions'!E7,'Embodied carbon emissions'!E14)</f>
        <v>503.26791440434386</v>
      </c>
      <c r="F22">
        <f>IF(Results!$C$2='Embodied carbon emissions'!$H$3,'Embodied carbon emissions'!F7,'Embodied carbon emissions'!F14)</f>
        <v>533.1416697540725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DE93-1196-42E4-B03A-57E0201D521E}">
  <dimension ref="A1:G62"/>
  <sheetViews>
    <sheetView workbookViewId="0">
      <selection activeCell="A2" sqref="A2:B63"/>
    </sheetView>
  </sheetViews>
  <sheetFormatPr defaultRowHeight="14.5"/>
  <cols>
    <col min="2" max="2" width="12.08984375" customWidth="1"/>
    <col min="3" max="3" width="12.1796875" customWidth="1"/>
  </cols>
  <sheetData>
    <row r="1" spans="1:7">
      <c r="A1" t="s">
        <v>124</v>
      </c>
      <c r="B1" t="s">
        <v>106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>
      <c r="A2">
        <v>2022</v>
      </c>
      <c r="B2">
        <v>0.37117</v>
      </c>
      <c r="C2">
        <v>0.37117</v>
      </c>
      <c r="D2">
        <v>0.37117</v>
      </c>
      <c r="E2">
        <v>0.37117</v>
      </c>
      <c r="F2">
        <v>0.37117</v>
      </c>
      <c r="G2">
        <v>0.37117</v>
      </c>
    </row>
    <row r="3" spans="1:7">
      <c r="A3">
        <v>2023</v>
      </c>
      <c r="B3">
        <v>0.37117</v>
      </c>
      <c r="C3">
        <v>0.36454196428571428</v>
      </c>
      <c r="D3">
        <v>0.36056514285714286</v>
      </c>
      <c r="E3">
        <v>0.35791392857142856</v>
      </c>
      <c r="F3">
        <v>0.34832876923076922</v>
      </c>
      <c r="G3">
        <v>0.34261846153846154</v>
      </c>
    </row>
    <row r="4" spans="1:7">
      <c r="A4">
        <v>2024</v>
      </c>
      <c r="B4">
        <v>0.37117</v>
      </c>
      <c r="C4">
        <v>0.35791392857142856</v>
      </c>
      <c r="D4">
        <v>0.34996028571428572</v>
      </c>
      <c r="E4">
        <v>0.34465785714285713</v>
      </c>
      <c r="F4">
        <v>0.32548753846153844</v>
      </c>
      <c r="G4">
        <v>0.31406692307692308</v>
      </c>
    </row>
    <row r="5" spans="1:7">
      <c r="A5">
        <v>2025</v>
      </c>
      <c r="B5">
        <v>0.37117</v>
      </c>
      <c r="C5">
        <v>0.35128589285714285</v>
      </c>
      <c r="D5">
        <v>0.33935542857142859</v>
      </c>
      <c r="E5">
        <v>0.33140178571428569</v>
      </c>
      <c r="F5">
        <v>0.30264630769230766</v>
      </c>
      <c r="G5">
        <v>0.28551538461538462</v>
      </c>
    </row>
    <row r="6" spans="1:7">
      <c r="A6">
        <v>2026</v>
      </c>
      <c r="B6">
        <v>0.37117</v>
      </c>
      <c r="C6">
        <v>0.34465785714285713</v>
      </c>
      <c r="D6">
        <v>0.32875057142857145</v>
      </c>
      <c r="E6">
        <v>0.31814571428571425</v>
      </c>
      <c r="F6">
        <v>0.27980507692307688</v>
      </c>
      <c r="G6">
        <v>0.25696384615384615</v>
      </c>
    </row>
    <row r="7" spans="1:7">
      <c r="A7">
        <v>2027</v>
      </c>
      <c r="B7">
        <v>0.37117</v>
      </c>
      <c r="C7">
        <v>0.33802982142857141</v>
      </c>
      <c r="D7">
        <v>0.31814571428571431</v>
      </c>
      <c r="E7">
        <v>0.30488964285714282</v>
      </c>
      <c r="F7">
        <v>0.2569638461538461</v>
      </c>
      <c r="G7">
        <v>0.22841230769230769</v>
      </c>
    </row>
    <row r="8" spans="1:7">
      <c r="A8">
        <v>2028</v>
      </c>
      <c r="B8">
        <v>0.37117</v>
      </c>
      <c r="C8">
        <v>0.33140178571428569</v>
      </c>
      <c r="D8">
        <v>0.30754085714285717</v>
      </c>
      <c r="E8">
        <v>0.29163357142857138</v>
      </c>
      <c r="F8">
        <v>0.23412261538461532</v>
      </c>
      <c r="G8">
        <v>0.19986076923076923</v>
      </c>
    </row>
    <row r="9" spans="1:7">
      <c r="A9">
        <v>2029</v>
      </c>
      <c r="B9">
        <v>0.37117</v>
      </c>
      <c r="C9">
        <v>0.32477374999999997</v>
      </c>
      <c r="D9">
        <v>0.29693600000000003</v>
      </c>
      <c r="E9">
        <v>0.27837749999999994</v>
      </c>
      <c r="F9">
        <v>0.21128138461538454</v>
      </c>
      <c r="G9">
        <v>0.17130923076923077</v>
      </c>
    </row>
    <row r="10" spans="1:7">
      <c r="A10">
        <v>2030</v>
      </c>
      <c r="B10">
        <v>0.37117</v>
      </c>
      <c r="C10">
        <v>0.31814571428571425</v>
      </c>
      <c r="D10">
        <v>0.2863311428571429</v>
      </c>
      <c r="E10">
        <v>0.26512142857142851</v>
      </c>
      <c r="F10">
        <v>0.18844015384615376</v>
      </c>
      <c r="G10">
        <v>0.14275769230769231</v>
      </c>
    </row>
    <row r="11" spans="1:7">
      <c r="A11">
        <v>2031</v>
      </c>
      <c r="B11">
        <v>0.37117</v>
      </c>
      <c r="C11">
        <v>0.31151767857142854</v>
      </c>
      <c r="D11">
        <v>0.27572628571428576</v>
      </c>
      <c r="E11">
        <v>0.25186535714285707</v>
      </c>
      <c r="F11">
        <v>0.16559892307692298</v>
      </c>
      <c r="G11">
        <v>0.11420615384615385</v>
      </c>
    </row>
    <row r="12" spans="1:7">
      <c r="A12">
        <v>2032</v>
      </c>
      <c r="B12">
        <v>0.37117</v>
      </c>
      <c r="C12">
        <v>0.30488964285714282</v>
      </c>
      <c r="D12">
        <v>0.26512142857142862</v>
      </c>
      <c r="E12">
        <v>0.23860928571428563</v>
      </c>
      <c r="F12">
        <v>0.1427576923076922</v>
      </c>
      <c r="G12">
        <v>8.5654615384615385E-2</v>
      </c>
    </row>
    <row r="13" spans="1:7">
      <c r="A13">
        <v>2033</v>
      </c>
      <c r="B13">
        <v>0.37117</v>
      </c>
      <c r="C13">
        <v>0.2982616071428571</v>
      </c>
      <c r="D13">
        <v>0.25451657142857148</v>
      </c>
      <c r="E13">
        <v>0.2253532142857142</v>
      </c>
      <c r="F13">
        <v>0.11991646153846142</v>
      </c>
      <c r="G13">
        <v>5.7103076923076923E-2</v>
      </c>
    </row>
    <row r="14" spans="1:7">
      <c r="A14">
        <v>2034</v>
      </c>
      <c r="B14">
        <v>0.37117</v>
      </c>
      <c r="C14">
        <v>0.29163357142857138</v>
      </c>
      <c r="D14">
        <v>0.24391171428571434</v>
      </c>
      <c r="E14">
        <v>0.21209714285714276</v>
      </c>
      <c r="F14">
        <v>9.7075230769230636E-2</v>
      </c>
      <c r="G14">
        <v>2.8551538461538462E-2</v>
      </c>
    </row>
    <row r="15" spans="1:7">
      <c r="A15">
        <v>2035</v>
      </c>
      <c r="B15">
        <v>0.37117</v>
      </c>
      <c r="C15">
        <v>0.28500553571428566</v>
      </c>
      <c r="D15">
        <v>0.2333068571428572</v>
      </c>
      <c r="E15">
        <v>0.19884107142857133</v>
      </c>
      <c r="F15">
        <v>7.4233999999999856E-2</v>
      </c>
      <c r="G15">
        <v>0</v>
      </c>
    </row>
    <row r="16" spans="1:7">
      <c r="A16">
        <v>2036</v>
      </c>
      <c r="B16">
        <v>0.37117</v>
      </c>
      <c r="C16">
        <v>0.27837749999999994</v>
      </c>
      <c r="D16">
        <v>0.22270200000000007</v>
      </c>
      <c r="E16">
        <v>0.18558499999999989</v>
      </c>
      <c r="F16">
        <v>6.9285066666666534E-2</v>
      </c>
      <c r="G16">
        <v>0</v>
      </c>
    </row>
    <row r="17" spans="1:7">
      <c r="A17">
        <v>2037</v>
      </c>
      <c r="B17">
        <v>0.37117</v>
      </c>
      <c r="C17">
        <v>0.27174946428571423</v>
      </c>
      <c r="D17">
        <v>0.21209714285714293</v>
      </c>
      <c r="E17">
        <v>0.17232892857142845</v>
      </c>
      <c r="F17">
        <v>6.4336133333333212E-2</v>
      </c>
      <c r="G17">
        <v>0</v>
      </c>
    </row>
    <row r="18" spans="1:7">
      <c r="A18">
        <v>2038</v>
      </c>
      <c r="B18">
        <v>0.37117</v>
      </c>
      <c r="C18">
        <v>0.26512142857142851</v>
      </c>
      <c r="D18">
        <v>0.20149228571428579</v>
      </c>
      <c r="E18">
        <v>0.15907285714285702</v>
      </c>
      <c r="F18">
        <v>5.938719999999989E-2</v>
      </c>
      <c r="G18">
        <v>0</v>
      </c>
    </row>
    <row r="19" spans="1:7">
      <c r="A19">
        <v>2039</v>
      </c>
      <c r="B19">
        <v>0.37117</v>
      </c>
      <c r="C19">
        <v>0.25849339285714279</v>
      </c>
      <c r="D19">
        <v>0.19088742857142865</v>
      </c>
      <c r="E19">
        <v>0.14581678571428558</v>
      </c>
      <c r="F19">
        <v>5.4438266666666568E-2</v>
      </c>
      <c r="G19">
        <v>0</v>
      </c>
    </row>
    <row r="20" spans="1:7">
      <c r="A20">
        <v>2040</v>
      </c>
      <c r="B20">
        <v>0.37117</v>
      </c>
      <c r="C20">
        <v>0.25186535714285707</v>
      </c>
      <c r="D20">
        <v>0.18028257142857151</v>
      </c>
      <c r="E20">
        <v>0.13256071428571414</v>
      </c>
      <c r="F20">
        <v>4.9489333333333246E-2</v>
      </c>
      <c r="G20">
        <v>0</v>
      </c>
    </row>
    <row r="21" spans="1:7">
      <c r="A21">
        <v>2041</v>
      </c>
      <c r="B21">
        <v>0.37117</v>
      </c>
      <c r="C21">
        <v>0.24523732142857135</v>
      </c>
      <c r="D21">
        <v>0.16967771428571438</v>
      </c>
      <c r="E21">
        <v>0.11930464285714272</v>
      </c>
      <c r="F21">
        <v>4.4540399999999924E-2</v>
      </c>
      <c r="G21">
        <v>0</v>
      </c>
    </row>
    <row r="22" spans="1:7">
      <c r="A22">
        <v>2042</v>
      </c>
      <c r="B22">
        <v>0.37117</v>
      </c>
      <c r="C22">
        <v>0.23860928571428563</v>
      </c>
      <c r="D22">
        <v>0.15907285714285724</v>
      </c>
      <c r="E22">
        <v>0.1060485714285713</v>
      </c>
      <c r="F22">
        <v>3.9591466666666603E-2</v>
      </c>
      <c r="G22">
        <v>0</v>
      </c>
    </row>
    <row r="23" spans="1:7">
      <c r="A23">
        <v>2043</v>
      </c>
      <c r="B23">
        <v>0.37117</v>
      </c>
      <c r="C23">
        <v>0.23198124999999992</v>
      </c>
      <c r="D23">
        <v>0.1484680000000001</v>
      </c>
      <c r="E23">
        <v>9.2792499999999875E-2</v>
      </c>
      <c r="F23">
        <v>3.4642533333333281E-2</v>
      </c>
      <c r="G23">
        <v>0</v>
      </c>
    </row>
    <row r="24" spans="1:7">
      <c r="A24">
        <v>2044</v>
      </c>
      <c r="B24">
        <v>0.37117</v>
      </c>
      <c r="C24">
        <v>0.2253532142857142</v>
      </c>
      <c r="D24">
        <v>0.13786314285714296</v>
      </c>
      <c r="E24">
        <v>7.9536428571428452E-2</v>
      </c>
      <c r="F24">
        <v>2.9693599999999959E-2</v>
      </c>
      <c r="G24">
        <v>0</v>
      </c>
    </row>
    <row r="25" spans="1:7">
      <c r="A25">
        <v>2045</v>
      </c>
      <c r="B25">
        <v>0.37117</v>
      </c>
      <c r="C25">
        <v>0.21872517857142848</v>
      </c>
      <c r="D25">
        <v>0.12725828571428582</v>
      </c>
      <c r="E25">
        <v>6.628035714285703E-2</v>
      </c>
      <c r="F25">
        <v>2.4744666666666637E-2</v>
      </c>
      <c r="G25">
        <v>0</v>
      </c>
    </row>
    <row r="26" spans="1:7">
      <c r="A26">
        <v>2046</v>
      </c>
      <c r="B26">
        <v>0.37117</v>
      </c>
      <c r="C26">
        <v>0.21209714285714276</v>
      </c>
      <c r="D26">
        <v>0.11665342857142869</v>
      </c>
      <c r="E26">
        <v>5.30242857142856E-2</v>
      </c>
      <c r="F26">
        <v>1.9795733333333315E-2</v>
      </c>
      <c r="G26">
        <v>0</v>
      </c>
    </row>
    <row r="27" spans="1:7">
      <c r="A27">
        <v>2047</v>
      </c>
      <c r="B27">
        <v>0.37117</v>
      </c>
      <c r="C27">
        <v>0.20546910714285704</v>
      </c>
      <c r="D27">
        <v>0.10604857142857155</v>
      </c>
      <c r="E27">
        <v>3.9768214285714171E-2</v>
      </c>
      <c r="F27">
        <v>1.4846799999999992E-2</v>
      </c>
      <c r="G27">
        <v>0</v>
      </c>
    </row>
    <row r="28" spans="1:7">
      <c r="A28">
        <v>2048</v>
      </c>
      <c r="B28">
        <v>0.37117</v>
      </c>
      <c r="C28">
        <v>0.19884107142857133</v>
      </c>
      <c r="D28">
        <v>9.5443714285714409E-2</v>
      </c>
      <c r="E28">
        <v>2.6512142857142741E-2</v>
      </c>
      <c r="F28">
        <v>9.897866666666668E-3</v>
      </c>
      <c r="G28">
        <v>0</v>
      </c>
    </row>
    <row r="29" spans="1:7">
      <c r="A29">
        <v>2049</v>
      </c>
      <c r="B29">
        <v>0.37117</v>
      </c>
      <c r="C29">
        <v>0.19221303571428561</v>
      </c>
      <c r="D29">
        <v>8.4838857142857271E-2</v>
      </c>
      <c r="E29">
        <v>1.3256071428571313E-2</v>
      </c>
      <c r="F29">
        <v>4.9489333333333444E-3</v>
      </c>
      <c r="G29">
        <v>0</v>
      </c>
    </row>
    <row r="30" spans="1:7">
      <c r="A30">
        <v>2050</v>
      </c>
      <c r="B30">
        <v>0.37117</v>
      </c>
      <c r="C30">
        <v>0.18558499999999989</v>
      </c>
      <c r="D30">
        <v>7.4234000000000133E-2</v>
      </c>
      <c r="E30">
        <v>0</v>
      </c>
      <c r="F30">
        <v>0</v>
      </c>
      <c r="G30">
        <v>0</v>
      </c>
    </row>
    <row r="31" spans="1:7">
      <c r="A31">
        <v>2051</v>
      </c>
      <c r="B31">
        <v>0.37117</v>
      </c>
      <c r="C31">
        <v>0.18558499999999989</v>
      </c>
      <c r="D31">
        <v>7.4234000000000133E-2</v>
      </c>
      <c r="E31">
        <v>0</v>
      </c>
      <c r="F31">
        <v>0</v>
      </c>
      <c r="G31">
        <v>0</v>
      </c>
    </row>
    <row r="32" spans="1:7">
      <c r="A32">
        <v>2052</v>
      </c>
      <c r="B32">
        <v>0.37117</v>
      </c>
      <c r="C32">
        <v>0.18558499999999989</v>
      </c>
      <c r="D32">
        <v>7.4234000000000133E-2</v>
      </c>
      <c r="E32">
        <v>0</v>
      </c>
      <c r="F32">
        <v>0</v>
      </c>
      <c r="G32">
        <v>0</v>
      </c>
    </row>
    <row r="33" spans="1:7">
      <c r="A33">
        <v>2053</v>
      </c>
      <c r="B33">
        <v>0.37117</v>
      </c>
      <c r="C33">
        <v>0.18558499999999989</v>
      </c>
      <c r="D33">
        <v>7.4234000000000133E-2</v>
      </c>
      <c r="E33">
        <v>0</v>
      </c>
      <c r="F33">
        <v>0</v>
      </c>
      <c r="G33">
        <v>0</v>
      </c>
    </row>
    <row r="34" spans="1:7">
      <c r="A34">
        <v>2054</v>
      </c>
      <c r="B34">
        <v>0.37117</v>
      </c>
      <c r="C34">
        <v>0.18558499999999989</v>
      </c>
      <c r="D34">
        <v>7.4234000000000133E-2</v>
      </c>
      <c r="E34">
        <v>0</v>
      </c>
      <c r="F34">
        <v>0</v>
      </c>
      <c r="G34">
        <v>0</v>
      </c>
    </row>
    <row r="35" spans="1:7">
      <c r="A35">
        <v>2055</v>
      </c>
      <c r="B35">
        <v>0.37117</v>
      </c>
      <c r="C35">
        <v>0.18558499999999989</v>
      </c>
      <c r="D35">
        <v>7.4234000000000133E-2</v>
      </c>
      <c r="E35">
        <v>0</v>
      </c>
      <c r="F35">
        <v>0</v>
      </c>
      <c r="G35">
        <v>0</v>
      </c>
    </row>
    <row r="36" spans="1:7">
      <c r="A36">
        <v>2056</v>
      </c>
      <c r="B36">
        <v>0.37117</v>
      </c>
      <c r="C36">
        <v>0.18558499999999989</v>
      </c>
      <c r="D36">
        <v>7.4234000000000133E-2</v>
      </c>
      <c r="E36">
        <v>0</v>
      </c>
      <c r="F36">
        <v>0</v>
      </c>
      <c r="G36">
        <v>0</v>
      </c>
    </row>
    <row r="37" spans="1:7">
      <c r="A37">
        <v>2057</v>
      </c>
      <c r="B37">
        <v>0.37117</v>
      </c>
      <c r="C37">
        <v>0.18558499999999989</v>
      </c>
      <c r="D37">
        <v>7.4234000000000133E-2</v>
      </c>
      <c r="E37">
        <v>0</v>
      </c>
      <c r="F37">
        <v>0</v>
      </c>
      <c r="G37">
        <v>0</v>
      </c>
    </row>
    <row r="38" spans="1:7">
      <c r="A38">
        <v>2058</v>
      </c>
      <c r="B38">
        <v>0.37117</v>
      </c>
      <c r="C38">
        <v>0.18558499999999989</v>
      </c>
      <c r="D38">
        <v>7.4234000000000133E-2</v>
      </c>
      <c r="E38">
        <v>0</v>
      </c>
      <c r="F38">
        <v>0</v>
      </c>
      <c r="G38">
        <v>0</v>
      </c>
    </row>
    <row r="39" spans="1:7">
      <c r="A39">
        <v>2059</v>
      </c>
      <c r="B39">
        <v>0.37117</v>
      </c>
      <c r="C39">
        <v>0.18558499999999989</v>
      </c>
      <c r="D39">
        <v>7.4234000000000133E-2</v>
      </c>
      <c r="E39">
        <v>0</v>
      </c>
      <c r="F39">
        <v>0</v>
      </c>
      <c r="G39">
        <v>0</v>
      </c>
    </row>
    <row r="40" spans="1:7">
      <c r="A40">
        <v>2060</v>
      </c>
      <c r="B40">
        <v>0.37117</v>
      </c>
      <c r="C40">
        <v>0.18558499999999989</v>
      </c>
      <c r="D40">
        <v>7.4234000000000133E-2</v>
      </c>
      <c r="E40">
        <v>0</v>
      </c>
      <c r="F40">
        <v>0</v>
      </c>
      <c r="G40">
        <v>0</v>
      </c>
    </row>
    <row r="41" spans="1:7">
      <c r="A41">
        <v>2061</v>
      </c>
      <c r="B41">
        <v>0.37117</v>
      </c>
      <c r="C41">
        <v>0.18558499999999989</v>
      </c>
      <c r="D41">
        <v>7.4234000000000133E-2</v>
      </c>
      <c r="E41">
        <v>0</v>
      </c>
      <c r="F41">
        <v>0</v>
      </c>
      <c r="G41">
        <v>0</v>
      </c>
    </row>
    <row r="42" spans="1:7">
      <c r="A42">
        <v>2062</v>
      </c>
      <c r="B42">
        <v>0.37117</v>
      </c>
      <c r="C42">
        <v>0.18558499999999989</v>
      </c>
      <c r="D42">
        <v>7.4234000000000133E-2</v>
      </c>
      <c r="E42">
        <v>0</v>
      </c>
      <c r="F42">
        <v>0</v>
      </c>
      <c r="G42">
        <v>0</v>
      </c>
    </row>
    <row r="43" spans="1:7">
      <c r="A43">
        <v>2063</v>
      </c>
      <c r="B43">
        <v>0.37117</v>
      </c>
      <c r="C43">
        <v>0.18558499999999989</v>
      </c>
      <c r="D43">
        <v>7.4234000000000133E-2</v>
      </c>
      <c r="E43">
        <v>0</v>
      </c>
      <c r="F43">
        <v>0</v>
      </c>
      <c r="G43">
        <v>0</v>
      </c>
    </row>
    <row r="44" spans="1:7">
      <c r="A44">
        <v>2064</v>
      </c>
      <c r="B44">
        <v>0.37117</v>
      </c>
      <c r="C44">
        <v>0.18558499999999989</v>
      </c>
      <c r="D44">
        <v>7.4234000000000133E-2</v>
      </c>
      <c r="E44">
        <v>0</v>
      </c>
      <c r="F44">
        <v>0</v>
      </c>
      <c r="G44">
        <v>0</v>
      </c>
    </row>
    <row r="45" spans="1:7">
      <c r="A45">
        <v>2065</v>
      </c>
      <c r="B45">
        <v>0.37117</v>
      </c>
      <c r="C45">
        <v>0.18558499999999989</v>
      </c>
      <c r="D45">
        <v>7.4234000000000133E-2</v>
      </c>
      <c r="E45">
        <v>0</v>
      </c>
      <c r="F45">
        <v>0</v>
      </c>
      <c r="G45">
        <v>0</v>
      </c>
    </row>
    <row r="46" spans="1:7">
      <c r="A46">
        <v>2066</v>
      </c>
      <c r="B46">
        <v>0.37117</v>
      </c>
      <c r="C46">
        <v>0.18558499999999989</v>
      </c>
      <c r="D46">
        <v>7.4234000000000133E-2</v>
      </c>
      <c r="E46">
        <v>0</v>
      </c>
      <c r="F46">
        <v>0</v>
      </c>
      <c r="G46">
        <v>0</v>
      </c>
    </row>
    <row r="47" spans="1:7">
      <c r="A47">
        <v>2067</v>
      </c>
      <c r="B47">
        <v>0.37117</v>
      </c>
      <c r="C47">
        <v>0.18558499999999989</v>
      </c>
      <c r="D47">
        <v>7.4234000000000133E-2</v>
      </c>
      <c r="E47">
        <v>0</v>
      </c>
      <c r="F47">
        <v>0</v>
      </c>
      <c r="G47">
        <v>0</v>
      </c>
    </row>
    <row r="48" spans="1:7">
      <c r="A48">
        <v>2068</v>
      </c>
      <c r="B48">
        <v>0.37117</v>
      </c>
      <c r="C48">
        <v>0.18558499999999989</v>
      </c>
      <c r="D48">
        <v>7.4234000000000133E-2</v>
      </c>
      <c r="E48">
        <v>0</v>
      </c>
      <c r="F48">
        <v>0</v>
      </c>
      <c r="G48">
        <v>0</v>
      </c>
    </row>
    <row r="49" spans="1:7">
      <c r="A49">
        <v>2069</v>
      </c>
      <c r="B49">
        <v>0.37117</v>
      </c>
      <c r="C49">
        <v>0.18558499999999989</v>
      </c>
      <c r="D49">
        <v>7.4234000000000133E-2</v>
      </c>
      <c r="E49">
        <v>0</v>
      </c>
      <c r="F49">
        <v>0</v>
      </c>
      <c r="G49">
        <v>0</v>
      </c>
    </row>
    <row r="50" spans="1:7">
      <c r="A50">
        <v>2070</v>
      </c>
      <c r="B50">
        <v>0.37117</v>
      </c>
      <c r="C50">
        <v>0.18558499999999989</v>
      </c>
      <c r="D50">
        <v>7.4234000000000133E-2</v>
      </c>
      <c r="E50">
        <v>0</v>
      </c>
      <c r="F50">
        <v>0</v>
      </c>
      <c r="G50">
        <v>0</v>
      </c>
    </row>
    <row r="51" spans="1:7">
      <c r="A51">
        <v>2071</v>
      </c>
      <c r="B51">
        <v>0.37117</v>
      </c>
      <c r="C51">
        <v>0.18558499999999989</v>
      </c>
      <c r="D51">
        <v>7.4234000000000133E-2</v>
      </c>
      <c r="E51">
        <v>0</v>
      </c>
      <c r="F51">
        <v>0</v>
      </c>
      <c r="G51">
        <v>0</v>
      </c>
    </row>
    <row r="52" spans="1:7">
      <c r="A52">
        <v>2072</v>
      </c>
      <c r="B52">
        <v>0.37117</v>
      </c>
      <c r="C52">
        <v>0.18558499999999989</v>
      </c>
      <c r="D52">
        <v>7.4234000000000133E-2</v>
      </c>
      <c r="E52">
        <v>0</v>
      </c>
      <c r="F52">
        <v>0</v>
      </c>
      <c r="G52">
        <v>0</v>
      </c>
    </row>
    <row r="53" spans="1:7">
      <c r="A53">
        <v>2073</v>
      </c>
      <c r="B53">
        <v>0.37117</v>
      </c>
      <c r="C53">
        <v>0.18558499999999989</v>
      </c>
      <c r="D53">
        <v>7.4234000000000133E-2</v>
      </c>
      <c r="E53">
        <v>0</v>
      </c>
      <c r="F53">
        <v>0</v>
      </c>
      <c r="G53">
        <v>0</v>
      </c>
    </row>
    <row r="54" spans="1:7">
      <c r="A54">
        <v>2074</v>
      </c>
      <c r="B54">
        <v>0.37117</v>
      </c>
      <c r="C54">
        <v>0.18558499999999989</v>
      </c>
      <c r="D54">
        <v>7.4234000000000133E-2</v>
      </c>
      <c r="E54">
        <v>0</v>
      </c>
      <c r="F54">
        <v>0</v>
      </c>
      <c r="G54">
        <v>0</v>
      </c>
    </row>
    <row r="55" spans="1:7">
      <c r="A55">
        <v>2075</v>
      </c>
      <c r="B55">
        <v>0.37117</v>
      </c>
      <c r="C55">
        <v>0.18558499999999989</v>
      </c>
      <c r="D55">
        <v>7.4234000000000133E-2</v>
      </c>
      <c r="E55">
        <v>0</v>
      </c>
      <c r="F55">
        <v>0</v>
      </c>
      <c r="G55">
        <v>0</v>
      </c>
    </row>
    <row r="56" spans="1:7">
      <c r="A56">
        <v>2076</v>
      </c>
      <c r="B56">
        <v>0.37117</v>
      </c>
      <c r="C56">
        <v>0.18558499999999989</v>
      </c>
      <c r="D56">
        <v>7.4234000000000133E-2</v>
      </c>
      <c r="E56">
        <v>0</v>
      </c>
      <c r="F56">
        <v>0</v>
      </c>
      <c r="G56">
        <v>0</v>
      </c>
    </row>
    <row r="57" spans="1:7">
      <c r="A57">
        <v>2077</v>
      </c>
      <c r="B57">
        <v>0.37117</v>
      </c>
      <c r="C57">
        <v>0.18558499999999989</v>
      </c>
      <c r="D57">
        <v>7.4234000000000133E-2</v>
      </c>
      <c r="E57">
        <v>0</v>
      </c>
      <c r="F57">
        <v>0</v>
      </c>
      <c r="G57">
        <v>0</v>
      </c>
    </row>
    <row r="58" spans="1:7">
      <c r="A58">
        <v>2078</v>
      </c>
      <c r="B58">
        <v>0.37117</v>
      </c>
      <c r="C58">
        <v>0.18558499999999989</v>
      </c>
      <c r="D58">
        <v>7.4234000000000133E-2</v>
      </c>
      <c r="E58">
        <v>0</v>
      </c>
      <c r="F58">
        <v>0</v>
      </c>
      <c r="G58">
        <v>0</v>
      </c>
    </row>
    <row r="59" spans="1:7">
      <c r="A59">
        <v>2079</v>
      </c>
      <c r="B59">
        <v>0.37117</v>
      </c>
      <c r="C59">
        <v>0.18558499999999989</v>
      </c>
      <c r="D59">
        <v>7.4234000000000133E-2</v>
      </c>
      <c r="E59">
        <v>0</v>
      </c>
      <c r="F59">
        <v>0</v>
      </c>
      <c r="G59">
        <v>0</v>
      </c>
    </row>
    <row r="60" spans="1:7">
      <c r="A60">
        <v>2080</v>
      </c>
      <c r="B60">
        <v>0.37117</v>
      </c>
      <c r="C60">
        <v>0.18558499999999989</v>
      </c>
      <c r="D60">
        <v>7.4234000000000133E-2</v>
      </c>
      <c r="E60">
        <v>0</v>
      </c>
      <c r="F60">
        <v>0</v>
      </c>
      <c r="G60">
        <v>0</v>
      </c>
    </row>
    <row r="61" spans="1:7">
      <c r="A61">
        <v>2081</v>
      </c>
      <c r="B61">
        <v>0.37117</v>
      </c>
      <c r="C61">
        <v>0.18558499999999989</v>
      </c>
      <c r="D61">
        <v>7.4234000000000133E-2</v>
      </c>
      <c r="E61">
        <v>0</v>
      </c>
      <c r="F61">
        <v>0</v>
      </c>
      <c r="G61">
        <v>0</v>
      </c>
    </row>
    <row r="62" spans="1:7">
      <c r="A62">
        <v>2082</v>
      </c>
      <c r="B62">
        <v>0.37117</v>
      </c>
      <c r="C62">
        <v>0.18558499999999989</v>
      </c>
      <c r="D62">
        <v>7.4234000000000133E-2</v>
      </c>
      <c r="E62">
        <v>0</v>
      </c>
      <c r="F62">
        <v>0</v>
      </c>
      <c r="G62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2213-A6B8-4894-BFD9-59654C8B7D68}">
  <dimension ref="A2:M63"/>
  <sheetViews>
    <sheetView topLeftCell="A49" workbookViewId="0">
      <selection activeCell="A2" sqref="A2:B63"/>
    </sheetView>
  </sheetViews>
  <sheetFormatPr defaultRowHeight="14.5"/>
  <cols>
    <col min="1" max="1" width="16.7265625" customWidth="1"/>
    <col min="2" max="2" width="23.36328125" customWidth="1"/>
    <col min="3" max="3" width="18.81640625" customWidth="1"/>
    <col min="6" max="6" width="11.1796875" customWidth="1"/>
    <col min="9" max="9" width="17.90625" customWidth="1"/>
    <col min="10" max="11" width="24.08984375" customWidth="1"/>
    <col min="12" max="12" width="15" customWidth="1"/>
    <col min="13" max="13" width="14.36328125" customWidth="1"/>
  </cols>
  <sheetData>
    <row r="2" spans="1:13">
      <c r="A2" t="s">
        <v>124</v>
      </c>
      <c r="B2" t="s">
        <v>125</v>
      </c>
      <c r="C2" s="1" t="s">
        <v>41</v>
      </c>
      <c r="D2" t="s">
        <v>42</v>
      </c>
      <c r="E2" t="s">
        <v>113</v>
      </c>
      <c r="F2" t="s">
        <v>38</v>
      </c>
      <c r="I2" t="s">
        <v>43</v>
      </c>
      <c r="J2" t="s">
        <v>127</v>
      </c>
      <c r="K2" t="s">
        <v>128</v>
      </c>
      <c r="L2" t="s">
        <v>129</v>
      </c>
      <c r="M2" t="s">
        <v>130</v>
      </c>
    </row>
    <row r="3" spans="1:13">
      <c r="A3">
        <v>2022</v>
      </c>
      <c r="B3">
        <f>K3</f>
        <v>0.37117</v>
      </c>
      <c r="C3">
        <f>K4</f>
        <v>0.378785916</v>
      </c>
      <c r="D3">
        <f>K5</f>
        <v>0.23290153799999999</v>
      </c>
      <c r="E3">
        <f>K6</f>
        <v>0.28785425399999998</v>
      </c>
      <c r="F3">
        <f>K7</f>
        <v>0.10591835400000001</v>
      </c>
      <c r="I3" t="s">
        <v>125</v>
      </c>
      <c r="J3">
        <v>0.8</v>
      </c>
      <c r="K3">
        <v>0.37117</v>
      </c>
      <c r="L3">
        <v>28</v>
      </c>
      <c r="M3">
        <f>J3*K3/L3</f>
        <v>1.0604857142857143E-2</v>
      </c>
    </row>
    <row r="4" spans="1:13">
      <c r="A4">
        <v>2023</v>
      </c>
      <c r="B4">
        <f>B3-$M$3</f>
        <v>0.36056514285714286</v>
      </c>
      <c r="C4">
        <f>C3-$M$4</f>
        <v>0.36796346125714285</v>
      </c>
      <c r="D4">
        <f>D3-$M$5</f>
        <v>0.22624720834285714</v>
      </c>
      <c r="E4">
        <f>E3-$M$6</f>
        <v>0.27962984674285712</v>
      </c>
      <c r="F4">
        <f>F3-$M$7</f>
        <v>0.10289211531428571</v>
      </c>
      <c r="I4" s="16" t="s">
        <v>41</v>
      </c>
      <c r="J4">
        <v>0.8</v>
      </c>
      <c r="K4">
        <v>0.378785916</v>
      </c>
      <c r="L4">
        <v>28</v>
      </c>
      <c r="M4">
        <f t="shared" ref="M4:M7" si="0">J4*K4/L4</f>
        <v>1.0822454742857144E-2</v>
      </c>
    </row>
    <row r="5" spans="1:13">
      <c r="A5">
        <v>2024</v>
      </c>
      <c r="B5">
        <f t="shared" ref="B5:B31" si="1">B4-$M$3</f>
        <v>0.34996028571428572</v>
      </c>
      <c r="C5">
        <f t="shared" ref="C5:C31" si="2">C4-$M$4</f>
        <v>0.35714100651428571</v>
      </c>
      <c r="D5">
        <f t="shared" ref="D5:D31" si="3">D4-$M$5</f>
        <v>0.21959287868571428</v>
      </c>
      <c r="E5">
        <f t="shared" ref="E5:E31" si="4">E4-$M$6</f>
        <v>0.27140543948571427</v>
      </c>
      <c r="F5">
        <f t="shared" ref="F5:F31" si="5">F4-$M$7</f>
        <v>9.9865876628571423E-2</v>
      </c>
      <c r="I5" t="s">
        <v>42</v>
      </c>
      <c r="J5">
        <v>0.8</v>
      </c>
      <c r="K5">
        <v>0.23290153799999999</v>
      </c>
      <c r="L5">
        <v>28</v>
      </c>
      <c r="M5">
        <f t="shared" si="0"/>
        <v>6.6543296571428571E-3</v>
      </c>
    </row>
    <row r="6" spans="1:13">
      <c r="A6">
        <v>2025</v>
      </c>
      <c r="B6">
        <f t="shared" si="1"/>
        <v>0.33935542857142859</v>
      </c>
      <c r="C6">
        <f t="shared" si="2"/>
        <v>0.34631855177142856</v>
      </c>
      <c r="D6">
        <f t="shared" si="3"/>
        <v>0.21293854902857143</v>
      </c>
      <c r="E6">
        <f t="shared" si="4"/>
        <v>0.26318103222857142</v>
      </c>
      <c r="F6">
        <f t="shared" si="5"/>
        <v>9.6839637942857132E-2</v>
      </c>
      <c r="I6" t="s">
        <v>113</v>
      </c>
      <c r="J6">
        <v>0.8</v>
      </c>
      <c r="K6">
        <v>0.28785425399999998</v>
      </c>
      <c r="L6">
        <v>28</v>
      </c>
      <c r="M6">
        <f t="shared" si="0"/>
        <v>8.2244072571428569E-3</v>
      </c>
    </row>
    <row r="7" spans="1:13">
      <c r="A7">
        <v>2026</v>
      </c>
      <c r="B7">
        <f t="shared" si="1"/>
        <v>0.32875057142857145</v>
      </c>
      <c r="C7">
        <f t="shared" si="2"/>
        <v>0.33549609702857142</v>
      </c>
      <c r="D7">
        <f t="shared" si="3"/>
        <v>0.20628421937142857</v>
      </c>
      <c r="E7">
        <f t="shared" si="4"/>
        <v>0.25495662497142857</v>
      </c>
      <c r="F7">
        <f t="shared" si="5"/>
        <v>9.381339925714284E-2</v>
      </c>
      <c r="I7" t="s">
        <v>38</v>
      </c>
      <c r="J7">
        <v>0.8</v>
      </c>
      <c r="K7">
        <v>0.10591835400000001</v>
      </c>
      <c r="L7">
        <v>28</v>
      </c>
      <c r="M7">
        <f t="shared" si="0"/>
        <v>3.0262386857142858E-3</v>
      </c>
    </row>
    <row r="8" spans="1:13">
      <c r="A8">
        <v>2027</v>
      </c>
      <c r="B8">
        <f t="shared" si="1"/>
        <v>0.31814571428571431</v>
      </c>
      <c r="C8">
        <f t="shared" si="2"/>
        <v>0.32467364228571427</v>
      </c>
      <c r="D8">
        <f t="shared" si="3"/>
        <v>0.19962988971428572</v>
      </c>
      <c r="E8">
        <f t="shared" si="4"/>
        <v>0.24673221771428572</v>
      </c>
      <c r="F8">
        <f t="shared" si="5"/>
        <v>9.0787160571428549E-2</v>
      </c>
    </row>
    <row r="9" spans="1:13">
      <c r="A9">
        <v>2028</v>
      </c>
      <c r="B9">
        <f t="shared" si="1"/>
        <v>0.30754085714285717</v>
      </c>
      <c r="C9">
        <f t="shared" si="2"/>
        <v>0.31385118754285712</v>
      </c>
      <c r="D9">
        <f t="shared" si="3"/>
        <v>0.19297556005714286</v>
      </c>
      <c r="E9">
        <f t="shared" si="4"/>
        <v>0.23850781045714287</v>
      </c>
      <c r="F9">
        <f t="shared" si="5"/>
        <v>8.7760921885714258E-2</v>
      </c>
    </row>
    <row r="10" spans="1:13">
      <c r="A10">
        <v>2029</v>
      </c>
      <c r="B10">
        <f t="shared" si="1"/>
        <v>0.29693600000000003</v>
      </c>
      <c r="C10">
        <f t="shared" si="2"/>
        <v>0.30302873279999998</v>
      </c>
      <c r="D10">
        <f t="shared" si="3"/>
        <v>0.18632123040000001</v>
      </c>
      <c r="E10">
        <f t="shared" si="4"/>
        <v>0.23028340320000001</v>
      </c>
      <c r="F10">
        <f t="shared" si="5"/>
        <v>8.4734683199999966E-2</v>
      </c>
    </row>
    <row r="11" spans="1:13">
      <c r="A11">
        <v>2030</v>
      </c>
      <c r="B11">
        <f t="shared" si="1"/>
        <v>0.2863311428571429</v>
      </c>
      <c r="C11">
        <f t="shared" si="2"/>
        <v>0.29220627805714283</v>
      </c>
      <c r="D11">
        <f t="shared" si="3"/>
        <v>0.17966690074285716</v>
      </c>
      <c r="E11">
        <f t="shared" si="4"/>
        <v>0.22205899594285716</v>
      </c>
      <c r="F11">
        <f t="shared" si="5"/>
        <v>8.1708444514285675E-2</v>
      </c>
    </row>
    <row r="12" spans="1:13">
      <c r="A12">
        <v>2031</v>
      </c>
      <c r="B12">
        <f t="shared" si="1"/>
        <v>0.27572628571428576</v>
      </c>
      <c r="C12">
        <f t="shared" si="2"/>
        <v>0.28138382331428569</v>
      </c>
      <c r="D12">
        <f t="shared" si="3"/>
        <v>0.1730125710857143</v>
      </c>
      <c r="E12">
        <f t="shared" si="4"/>
        <v>0.21383458868571431</v>
      </c>
      <c r="F12">
        <f t="shared" si="5"/>
        <v>7.8682205828571383E-2</v>
      </c>
    </row>
    <row r="13" spans="1:13">
      <c r="A13">
        <v>2032</v>
      </c>
      <c r="B13">
        <f t="shared" si="1"/>
        <v>0.26512142857142862</v>
      </c>
      <c r="C13">
        <f t="shared" si="2"/>
        <v>0.27056136857142854</v>
      </c>
      <c r="D13">
        <f t="shared" si="3"/>
        <v>0.16635824142857145</v>
      </c>
      <c r="E13">
        <f t="shared" si="4"/>
        <v>0.20561018142857146</v>
      </c>
      <c r="F13">
        <f t="shared" si="5"/>
        <v>7.5655967142857092E-2</v>
      </c>
    </row>
    <row r="14" spans="1:13">
      <c r="A14">
        <v>2033</v>
      </c>
      <c r="B14">
        <f t="shared" si="1"/>
        <v>0.25451657142857148</v>
      </c>
      <c r="C14">
        <f t="shared" si="2"/>
        <v>0.25973891382857139</v>
      </c>
      <c r="D14">
        <f t="shared" si="3"/>
        <v>0.15970391177142859</v>
      </c>
      <c r="E14">
        <f t="shared" si="4"/>
        <v>0.19738577417142861</v>
      </c>
      <c r="F14">
        <f t="shared" si="5"/>
        <v>7.26297284571428E-2</v>
      </c>
    </row>
    <row r="15" spans="1:13">
      <c r="A15">
        <v>2034</v>
      </c>
      <c r="B15">
        <f t="shared" si="1"/>
        <v>0.24391171428571434</v>
      </c>
      <c r="C15">
        <f t="shared" si="2"/>
        <v>0.24891645908571425</v>
      </c>
      <c r="D15">
        <f t="shared" si="3"/>
        <v>0.15304958211428574</v>
      </c>
      <c r="E15">
        <f t="shared" si="4"/>
        <v>0.18916136691428576</v>
      </c>
      <c r="F15">
        <f t="shared" si="5"/>
        <v>6.9603489771428509E-2</v>
      </c>
    </row>
    <row r="16" spans="1:13">
      <c r="A16">
        <v>2035</v>
      </c>
      <c r="B16">
        <f t="shared" si="1"/>
        <v>0.2333068571428572</v>
      </c>
      <c r="C16">
        <f t="shared" si="2"/>
        <v>0.2380940043428571</v>
      </c>
      <c r="D16">
        <f t="shared" si="3"/>
        <v>0.14639525245714288</v>
      </c>
      <c r="E16">
        <f t="shared" si="4"/>
        <v>0.1809369596571429</v>
      </c>
      <c r="F16">
        <f t="shared" si="5"/>
        <v>6.6577251085714217E-2</v>
      </c>
    </row>
    <row r="17" spans="1:6">
      <c r="A17">
        <v>2036</v>
      </c>
      <c r="B17">
        <f t="shared" si="1"/>
        <v>0.22270200000000007</v>
      </c>
      <c r="C17">
        <f t="shared" si="2"/>
        <v>0.22727154959999996</v>
      </c>
      <c r="D17">
        <f t="shared" si="3"/>
        <v>0.13974092280000003</v>
      </c>
      <c r="E17">
        <f t="shared" si="4"/>
        <v>0.17271255240000005</v>
      </c>
      <c r="F17">
        <f t="shared" si="5"/>
        <v>6.3551012399999926E-2</v>
      </c>
    </row>
    <row r="18" spans="1:6">
      <c r="A18">
        <v>2037</v>
      </c>
      <c r="B18">
        <f t="shared" si="1"/>
        <v>0.21209714285714293</v>
      </c>
      <c r="C18">
        <f t="shared" si="2"/>
        <v>0.21644909485714281</v>
      </c>
      <c r="D18">
        <f t="shared" si="3"/>
        <v>0.13308659314285717</v>
      </c>
      <c r="E18">
        <f t="shared" si="4"/>
        <v>0.1644881451428572</v>
      </c>
      <c r="F18">
        <f t="shared" si="5"/>
        <v>6.0524773714285642E-2</v>
      </c>
    </row>
    <row r="19" spans="1:6">
      <c r="A19">
        <v>2038</v>
      </c>
      <c r="B19">
        <f t="shared" si="1"/>
        <v>0.20149228571428579</v>
      </c>
      <c r="C19">
        <f t="shared" si="2"/>
        <v>0.20562664011428566</v>
      </c>
      <c r="D19">
        <f t="shared" si="3"/>
        <v>0.12643226348571432</v>
      </c>
      <c r="E19">
        <f t="shared" si="4"/>
        <v>0.15626373788571435</v>
      </c>
      <c r="F19">
        <f t="shared" si="5"/>
        <v>5.7498535028571357E-2</v>
      </c>
    </row>
    <row r="20" spans="1:6">
      <c r="A20">
        <v>2039</v>
      </c>
      <c r="B20">
        <f t="shared" si="1"/>
        <v>0.19088742857142865</v>
      </c>
      <c r="C20">
        <f t="shared" si="2"/>
        <v>0.19480418537142852</v>
      </c>
      <c r="D20">
        <f t="shared" si="3"/>
        <v>0.11977793382857146</v>
      </c>
      <c r="E20">
        <f t="shared" si="4"/>
        <v>0.1480393306285715</v>
      </c>
      <c r="F20">
        <f t="shared" si="5"/>
        <v>5.4472296342857073E-2</v>
      </c>
    </row>
    <row r="21" spans="1:6">
      <c r="A21">
        <v>2040</v>
      </c>
      <c r="B21">
        <f t="shared" si="1"/>
        <v>0.18028257142857151</v>
      </c>
      <c r="C21">
        <f t="shared" si="2"/>
        <v>0.18398173062857137</v>
      </c>
      <c r="D21">
        <f t="shared" si="3"/>
        <v>0.11312360417142861</v>
      </c>
      <c r="E21">
        <f t="shared" si="4"/>
        <v>0.13981492337142865</v>
      </c>
      <c r="F21">
        <f t="shared" si="5"/>
        <v>5.1446057657142788E-2</v>
      </c>
    </row>
    <row r="22" spans="1:6">
      <c r="A22">
        <v>2041</v>
      </c>
      <c r="B22">
        <f t="shared" si="1"/>
        <v>0.16967771428571438</v>
      </c>
      <c r="C22">
        <f t="shared" si="2"/>
        <v>0.17315927588571423</v>
      </c>
      <c r="D22">
        <f t="shared" si="3"/>
        <v>0.10646927451428576</v>
      </c>
      <c r="E22">
        <f t="shared" si="4"/>
        <v>0.13159051611428579</v>
      </c>
      <c r="F22">
        <f t="shared" si="5"/>
        <v>4.8419818971428503E-2</v>
      </c>
    </row>
    <row r="23" spans="1:6">
      <c r="A23">
        <v>2042</v>
      </c>
      <c r="B23">
        <f t="shared" si="1"/>
        <v>0.15907285714285724</v>
      </c>
      <c r="C23">
        <f t="shared" si="2"/>
        <v>0.16233682114285708</v>
      </c>
      <c r="D23">
        <f t="shared" si="3"/>
        <v>9.9814944857142901E-2</v>
      </c>
      <c r="E23">
        <f t="shared" si="4"/>
        <v>0.12336610885714294</v>
      </c>
      <c r="F23">
        <f t="shared" si="5"/>
        <v>4.5393580285714219E-2</v>
      </c>
    </row>
    <row r="24" spans="1:6">
      <c r="A24">
        <v>2043</v>
      </c>
      <c r="B24">
        <f t="shared" si="1"/>
        <v>0.1484680000000001</v>
      </c>
      <c r="C24">
        <f t="shared" si="2"/>
        <v>0.15151436639999993</v>
      </c>
      <c r="D24">
        <f t="shared" si="3"/>
        <v>9.3160615200000046E-2</v>
      </c>
      <c r="E24">
        <f t="shared" si="4"/>
        <v>0.11514170160000009</v>
      </c>
      <c r="F24">
        <f t="shared" si="5"/>
        <v>4.2367341599999934E-2</v>
      </c>
    </row>
    <row r="25" spans="1:6">
      <c r="A25">
        <v>2044</v>
      </c>
      <c r="B25">
        <f t="shared" si="1"/>
        <v>0.13786314285714296</v>
      </c>
      <c r="C25">
        <f t="shared" si="2"/>
        <v>0.14069191165714279</v>
      </c>
      <c r="D25">
        <f t="shared" si="3"/>
        <v>8.6506285542857192E-2</v>
      </c>
      <c r="E25">
        <f t="shared" si="4"/>
        <v>0.10691729434285724</v>
      </c>
      <c r="F25">
        <f t="shared" si="5"/>
        <v>3.934110291428565E-2</v>
      </c>
    </row>
    <row r="26" spans="1:6">
      <c r="A26">
        <v>2045</v>
      </c>
      <c r="B26">
        <f t="shared" si="1"/>
        <v>0.12725828571428582</v>
      </c>
      <c r="C26">
        <f t="shared" si="2"/>
        <v>0.12986945691428564</v>
      </c>
      <c r="D26">
        <f t="shared" si="3"/>
        <v>7.9851955885714337E-2</v>
      </c>
      <c r="E26">
        <f t="shared" si="4"/>
        <v>9.8692887085714387E-2</v>
      </c>
      <c r="F26">
        <f t="shared" si="5"/>
        <v>3.6314864228571365E-2</v>
      </c>
    </row>
    <row r="27" spans="1:6">
      <c r="A27">
        <v>2046</v>
      </c>
      <c r="B27">
        <f t="shared" si="1"/>
        <v>0.11665342857142869</v>
      </c>
      <c r="C27">
        <f t="shared" si="2"/>
        <v>0.1190470021714285</v>
      </c>
      <c r="D27">
        <f t="shared" si="3"/>
        <v>7.3197626228571483E-2</v>
      </c>
      <c r="E27">
        <f t="shared" si="4"/>
        <v>9.0468479828571535E-2</v>
      </c>
      <c r="F27">
        <f t="shared" si="5"/>
        <v>3.3288625542857081E-2</v>
      </c>
    </row>
    <row r="28" spans="1:6">
      <c r="A28">
        <v>2047</v>
      </c>
      <c r="B28">
        <f t="shared" si="1"/>
        <v>0.10604857142857155</v>
      </c>
      <c r="C28">
        <f t="shared" si="2"/>
        <v>0.10822454742857135</v>
      </c>
      <c r="D28">
        <f t="shared" si="3"/>
        <v>6.6543296571428628E-2</v>
      </c>
      <c r="E28">
        <f t="shared" si="4"/>
        <v>8.2244072571428684E-2</v>
      </c>
      <c r="F28">
        <f t="shared" si="5"/>
        <v>3.0262386857142796E-2</v>
      </c>
    </row>
    <row r="29" spans="1:6">
      <c r="A29">
        <v>2048</v>
      </c>
      <c r="B29">
        <f t="shared" si="1"/>
        <v>9.5443714285714409E-2</v>
      </c>
      <c r="C29">
        <f t="shared" si="2"/>
        <v>9.7402092685714203E-2</v>
      </c>
      <c r="D29">
        <f t="shared" si="3"/>
        <v>5.9888966914285774E-2</v>
      </c>
      <c r="E29">
        <f t="shared" si="4"/>
        <v>7.4019665314285832E-2</v>
      </c>
      <c r="F29">
        <f t="shared" si="5"/>
        <v>2.7236148171428512E-2</v>
      </c>
    </row>
    <row r="30" spans="1:6">
      <c r="A30">
        <v>2049</v>
      </c>
      <c r="B30">
        <f t="shared" si="1"/>
        <v>8.4838857142857271E-2</v>
      </c>
      <c r="C30">
        <f t="shared" si="2"/>
        <v>8.6579637942857057E-2</v>
      </c>
      <c r="D30">
        <f t="shared" si="3"/>
        <v>5.3234637257142919E-2</v>
      </c>
      <c r="E30">
        <f t="shared" si="4"/>
        <v>6.579525805714298E-2</v>
      </c>
      <c r="F30">
        <f t="shared" si="5"/>
        <v>2.4209909485714227E-2</v>
      </c>
    </row>
    <row r="31" spans="1:6">
      <c r="A31">
        <v>2050</v>
      </c>
      <c r="B31">
        <f t="shared" si="1"/>
        <v>7.4234000000000133E-2</v>
      </c>
      <c r="C31">
        <f t="shared" si="2"/>
        <v>7.5757183199999911E-2</v>
      </c>
      <c r="D31">
        <f t="shared" si="3"/>
        <v>4.6580307600000065E-2</v>
      </c>
      <c r="E31">
        <f t="shared" si="4"/>
        <v>5.7570850800000122E-2</v>
      </c>
      <c r="F31">
        <f t="shared" si="5"/>
        <v>2.1183670799999943E-2</v>
      </c>
    </row>
    <row r="32" spans="1:6">
      <c r="A32">
        <v>2051</v>
      </c>
      <c r="B32">
        <f>B31</f>
        <v>7.4234000000000133E-2</v>
      </c>
      <c r="C32">
        <f>C31</f>
        <v>7.5757183199999911E-2</v>
      </c>
      <c r="D32">
        <f>D31</f>
        <v>4.6580307600000065E-2</v>
      </c>
      <c r="E32">
        <f t="shared" ref="E32:F32" si="6">E31</f>
        <v>5.7570850800000122E-2</v>
      </c>
      <c r="F32">
        <f t="shared" si="6"/>
        <v>2.1183670799999943E-2</v>
      </c>
    </row>
    <row r="33" spans="1:6">
      <c r="A33">
        <v>2052</v>
      </c>
      <c r="B33">
        <f t="shared" ref="B33:D63" si="7">B32</f>
        <v>7.4234000000000133E-2</v>
      </c>
      <c r="C33">
        <f t="shared" si="7"/>
        <v>7.5757183199999911E-2</v>
      </c>
      <c r="D33">
        <f t="shared" si="7"/>
        <v>4.6580307600000065E-2</v>
      </c>
      <c r="E33">
        <f t="shared" ref="E33:E63" si="8">E32</f>
        <v>5.7570850800000122E-2</v>
      </c>
      <c r="F33">
        <f t="shared" ref="F33:F63" si="9">F32</f>
        <v>2.1183670799999943E-2</v>
      </c>
    </row>
    <row r="34" spans="1:6">
      <c r="A34">
        <v>2053</v>
      </c>
      <c r="B34">
        <f t="shared" si="7"/>
        <v>7.4234000000000133E-2</v>
      </c>
      <c r="C34">
        <f t="shared" si="7"/>
        <v>7.5757183199999911E-2</v>
      </c>
      <c r="D34">
        <f t="shared" si="7"/>
        <v>4.6580307600000065E-2</v>
      </c>
      <c r="E34">
        <f t="shared" si="8"/>
        <v>5.7570850800000122E-2</v>
      </c>
      <c r="F34">
        <f t="shared" si="9"/>
        <v>2.1183670799999943E-2</v>
      </c>
    </row>
    <row r="35" spans="1:6">
      <c r="A35">
        <v>2054</v>
      </c>
      <c r="B35">
        <f t="shared" si="7"/>
        <v>7.4234000000000133E-2</v>
      </c>
      <c r="C35">
        <f t="shared" si="7"/>
        <v>7.5757183199999911E-2</v>
      </c>
      <c r="D35">
        <f t="shared" si="7"/>
        <v>4.6580307600000065E-2</v>
      </c>
      <c r="E35">
        <f t="shared" si="8"/>
        <v>5.7570850800000122E-2</v>
      </c>
      <c r="F35">
        <f t="shared" si="9"/>
        <v>2.1183670799999943E-2</v>
      </c>
    </row>
    <row r="36" spans="1:6">
      <c r="A36">
        <v>2055</v>
      </c>
      <c r="B36">
        <f t="shared" si="7"/>
        <v>7.4234000000000133E-2</v>
      </c>
      <c r="C36">
        <f t="shared" si="7"/>
        <v>7.5757183199999911E-2</v>
      </c>
      <c r="D36">
        <f t="shared" si="7"/>
        <v>4.6580307600000065E-2</v>
      </c>
      <c r="E36">
        <f t="shared" si="8"/>
        <v>5.7570850800000122E-2</v>
      </c>
      <c r="F36">
        <f t="shared" si="9"/>
        <v>2.1183670799999943E-2</v>
      </c>
    </row>
    <row r="37" spans="1:6">
      <c r="A37">
        <v>2056</v>
      </c>
      <c r="B37">
        <f t="shared" si="7"/>
        <v>7.4234000000000133E-2</v>
      </c>
      <c r="C37">
        <f t="shared" si="7"/>
        <v>7.5757183199999911E-2</v>
      </c>
      <c r="D37">
        <f t="shared" si="7"/>
        <v>4.6580307600000065E-2</v>
      </c>
      <c r="E37">
        <f t="shared" si="8"/>
        <v>5.7570850800000122E-2</v>
      </c>
      <c r="F37">
        <f t="shared" si="9"/>
        <v>2.1183670799999943E-2</v>
      </c>
    </row>
    <row r="38" spans="1:6">
      <c r="A38">
        <v>2057</v>
      </c>
      <c r="B38">
        <f t="shared" si="7"/>
        <v>7.4234000000000133E-2</v>
      </c>
      <c r="C38">
        <f t="shared" si="7"/>
        <v>7.5757183199999911E-2</v>
      </c>
      <c r="D38">
        <f t="shared" si="7"/>
        <v>4.6580307600000065E-2</v>
      </c>
      <c r="E38">
        <f t="shared" si="8"/>
        <v>5.7570850800000122E-2</v>
      </c>
      <c r="F38">
        <f t="shared" si="9"/>
        <v>2.1183670799999943E-2</v>
      </c>
    </row>
    <row r="39" spans="1:6">
      <c r="A39">
        <v>2058</v>
      </c>
      <c r="B39">
        <f t="shared" si="7"/>
        <v>7.4234000000000133E-2</v>
      </c>
      <c r="C39">
        <f t="shared" si="7"/>
        <v>7.5757183199999911E-2</v>
      </c>
      <c r="D39">
        <f t="shared" si="7"/>
        <v>4.6580307600000065E-2</v>
      </c>
      <c r="E39">
        <f t="shared" si="8"/>
        <v>5.7570850800000122E-2</v>
      </c>
      <c r="F39">
        <f t="shared" si="9"/>
        <v>2.1183670799999943E-2</v>
      </c>
    </row>
    <row r="40" spans="1:6">
      <c r="A40">
        <v>2059</v>
      </c>
      <c r="B40">
        <f t="shared" si="7"/>
        <v>7.4234000000000133E-2</v>
      </c>
      <c r="C40">
        <f t="shared" si="7"/>
        <v>7.5757183199999911E-2</v>
      </c>
      <c r="D40">
        <f t="shared" si="7"/>
        <v>4.6580307600000065E-2</v>
      </c>
      <c r="E40">
        <f t="shared" si="8"/>
        <v>5.7570850800000122E-2</v>
      </c>
      <c r="F40">
        <f t="shared" si="9"/>
        <v>2.1183670799999943E-2</v>
      </c>
    </row>
    <row r="41" spans="1:6">
      <c r="A41">
        <v>2060</v>
      </c>
      <c r="B41">
        <f t="shared" si="7"/>
        <v>7.4234000000000133E-2</v>
      </c>
      <c r="C41">
        <f t="shared" si="7"/>
        <v>7.5757183199999911E-2</v>
      </c>
      <c r="D41">
        <f t="shared" si="7"/>
        <v>4.6580307600000065E-2</v>
      </c>
      <c r="E41">
        <f t="shared" si="8"/>
        <v>5.7570850800000122E-2</v>
      </c>
      <c r="F41">
        <f t="shared" si="9"/>
        <v>2.1183670799999943E-2</v>
      </c>
    </row>
    <row r="42" spans="1:6">
      <c r="A42">
        <v>2061</v>
      </c>
      <c r="B42">
        <f t="shared" si="7"/>
        <v>7.4234000000000133E-2</v>
      </c>
      <c r="C42">
        <f t="shared" si="7"/>
        <v>7.5757183199999911E-2</v>
      </c>
      <c r="D42">
        <f t="shared" si="7"/>
        <v>4.6580307600000065E-2</v>
      </c>
      <c r="E42">
        <f t="shared" si="8"/>
        <v>5.7570850800000122E-2</v>
      </c>
      <c r="F42">
        <f t="shared" si="9"/>
        <v>2.1183670799999943E-2</v>
      </c>
    </row>
    <row r="43" spans="1:6">
      <c r="A43">
        <v>2062</v>
      </c>
      <c r="B43">
        <f t="shared" si="7"/>
        <v>7.4234000000000133E-2</v>
      </c>
      <c r="C43">
        <f t="shared" si="7"/>
        <v>7.5757183199999911E-2</v>
      </c>
      <c r="D43">
        <f t="shared" si="7"/>
        <v>4.6580307600000065E-2</v>
      </c>
      <c r="E43">
        <f t="shared" si="8"/>
        <v>5.7570850800000122E-2</v>
      </c>
      <c r="F43">
        <f t="shared" si="9"/>
        <v>2.1183670799999943E-2</v>
      </c>
    </row>
    <row r="44" spans="1:6">
      <c r="A44">
        <v>2063</v>
      </c>
      <c r="B44">
        <f t="shared" si="7"/>
        <v>7.4234000000000133E-2</v>
      </c>
      <c r="C44">
        <f t="shared" si="7"/>
        <v>7.5757183199999911E-2</v>
      </c>
      <c r="D44">
        <f t="shared" si="7"/>
        <v>4.6580307600000065E-2</v>
      </c>
      <c r="E44">
        <f t="shared" si="8"/>
        <v>5.7570850800000122E-2</v>
      </c>
      <c r="F44">
        <f t="shared" si="9"/>
        <v>2.1183670799999943E-2</v>
      </c>
    </row>
    <row r="45" spans="1:6">
      <c r="A45">
        <v>2064</v>
      </c>
      <c r="B45">
        <f t="shared" si="7"/>
        <v>7.4234000000000133E-2</v>
      </c>
      <c r="C45">
        <f t="shared" si="7"/>
        <v>7.5757183199999911E-2</v>
      </c>
      <c r="D45">
        <f t="shared" si="7"/>
        <v>4.6580307600000065E-2</v>
      </c>
      <c r="E45">
        <f t="shared" si="8"/>
        <v>5.7570850800000122E-2</v>
      </c>
      <c r="F45">
        <f t="shared" si="9"/>
        <v>2.1183670799999943E-2</v>
      </c>
    </row>
    <row r="46" spans="1:6">
      <c r="A46">
        <v>2065</v>
      </c>
      <c r="B46">
        <f t="shared" si="7"/>
        <v>7.4234000000000133E-2</v>
      </c>
      <c r="C46">
        <f t="shared" si="7"/>
        <v>7.5757183199999911E-2</v>
      </c>
      <c r="D46">
        <f t="shared" si="7"/>
        <v>4.6580307600000065E-2</v>
      </c>
      <c r="E46">
        <f t="shared" si="8"/>
        <v>5.7570850800000122E-2</v>
      </c>
      <c r="F46">
        <f t="shared" si="9"/>
        <v>2.1183670799999943E-2</v>
      </c>
    </row>
    <row r="47" spans="1:6">
      <c r="A47">
        <v>2066</v>
      </c>
      <c r="B47">
        <f t="shared" si="7"/>
        <v>7.4234000000000133E-2</v>
      </c>
      <c r="C47">
        <f t="shared" si="7"/>
        <v>7.5757183199999911E-2</v>
      </c>
      <c r="D47">
        <f t="shared" si="7"/>
        <v>4.6580307600000065E-2</v>
      </c>
      <c r="E47">
        <f t="shared" si="8"/>
        <v>5.7570850800000122E-2</v>
      </c>
      <c r="F47">
        <f t="shared" si="9"/>
        <v>2.1183670799999943E-2</v>
      </c>
    </row>
    <row r="48" spans="1:6">
      <c r="A48">
        <v>2067</v>
      </c>
      <c r="B48">
        <f t="shared" si="7"/>
        <v>7.4234000000000133E-2</v>
      </c>
      <c r="C48">
        <f t="shared" si="7"/>
        <v>7.5757183199999911E-2</v>
      </c>
      <c r="D48">
        <f t="shared" si="7"/>
        <v>4.6580307600000065E-2</v>
      </c>
      <c r="E48">
        <f t="shared" si="8"/>
        <v>5.7570850800000122E-2</v>
      </c>
      <c r="F48">
        <f t="shared" si="9"/>
        <v>2.1183670799999943E-2</v>
      </c>
    </row>
    <row r="49" spans="1:6">
      <c r="A49">
        <v>2068</v>
      </c>
      <c r="B49">
        <f t="shared" si="7"/>
        <v>7.4234000000000133E-2</v>
      </c>
      <c r="C49">
        <f t="shared" si="7"/>
        <v>7.5757183199999911E-2</v>
      </c>
      <c r="D49">
        <f t="shared" si="7"/>
        <v>4.6580307600000065E-2</v>
      </c>
      <c r="E49">
        <f t="shared" si="8"/>
        <v>5.7570850800000122E-2</v>
      </c>
      <c r="F49">
        <f t="shared" si="9"/>
        <v>2.1183670799999943E-2</v>
      </c>
    </row>
    <row r="50" spans="1:6">
      <c r="A50">
        <v>2069</v>
      </c>
      <c r="B50">
        <f t="shared" si="7"/>
        <v>7.4234000000000133E-2</v>
      </c>
      <c r="C50">
        <f t="shared" si="7"/>
        <v>7.5757183199999911E-2</v>
      </c>
      <c r="D50">
        <f t="shared" si="7"/>
        <v>4.6580307600000065E-2</v>
      </c>
      <c r="E50">
        <f t="shared" si="8"/>
        <v>5.7570850800000122E-2</v>
      </c>
      <c r="F50">
        <f t="shared" si="9"/>
        <v>2.1183670799999943E-2</v>
      </c>
    </row>
    <row r="51" spans="1:6">
      <c r="A51">
        <v>2070</v>
      </c>
      <c r="B51">
        <f t="shared" si="7"/>
        <v>7.4234000000000133E-2</v>
      </c>
      <c r="C51">
        <f t="shared" si="7"/>
        <v>7.5757183199999911E-2</v>
      </c>
      <c r="D51">
        <f t="shared" si="7"/>
        <v>4.6580307600000065E-2</v>
      </c>
      <c r="E51">
        <f t="shared" si="8"/>
        <v>5.7570850800000122E-2</v>
      </c>
      <c r="F51">
        <f t="shared" si="9"/>
        <v>2.1183670799999943E-2</v>
      </c>
    </row>
    <row r="52" spans="1:6">
      <c r="A52">
        <v>2071</v>
      </c>
      <c r="B52">
        <f t="shared" si="7"/>
        <v>7.4234000000000133E-2</v>
      </c>
      <c r="C52">
        <f t="shared" si="7"/>
        <v>7.5757183199999911E-2</v>
      </c>
      <c r="D52">
        <f t="shared" si="7"/>
        <v>4.6580307600000065E-2</v>
      </c>
      <c r="E52">
        <f t="shared" si="8"/>
        <v>5.7570850800000122E-2</v>
      </c>
      <c r="F52">
        <f t="shared" si="9"/>
        <v>2.1183670799999943E-2</v>
      </c>
    </row>
    <row r="53" spans="1:6">
      <c r="A53">
        <v>2072</v>
      </c>
      <c r="B53">
        <f t="shared" si="7"/>
        <v>7.4234000000000133E-2</v>
      </c>
      <c r="C53">
        <f t="shared" si="7"/>
        <v>7.5757183199999911E-2</v>
      </c>
      <c r="D53">
        <f t="shared" si="7"/>
        <v>4.6580307600000065E-2</v>
      </c>
      <c r="E53">
        <f t="shared" si="8"/>
        <v>5.7570850800000122E-2</v>
      </c>
      <c r="F53">
        <f t="shared" si="9"/>
        <v>2.1183670799999943E-2</v>
      </c>
    </row>
    <row r="54" spans="1:6">
      <c r="A54">
        <v>2073</v>
      </c>
      <c r="B54">
        <f t="shared" si="7"/>
        <v>7.4234000000000133E-2</v>
      </c>
      <c r="C54">
        <f t="shared" si="7"/>
        <v>7.5757183199999911E-2</v>
      </c>
      <c r="D54">
        <f t="shared" si="7"/>
        <v>4.6580307600000065E-2</v>
      </c>
      <c r="E54">
        <f t="shared" si="8"/>
        <v>5.7570850800000122E-2</v>
      </c>
      <c r="F54">
        <f t="shared" si="9"/>
        <v>2.1183670799999943E-2</v>
      </c>
    </row>
    <row r="55" spans="1:6">
      <c r="A55">
        <v>2074</v>
      </c>
      <c r="B55">
        <f t="shared" si="7"/>
        <v>7.4234000000000133E-2</v>
      </c>
      <c r="C55">
        <f t="shared" si="7"/>
        <v>7.5757183199999911E-2</v>
      </c>
      <c r="D55">
        <f t="shared" si="7"/>
        <v>4.6580307600000065E-2</v>
      </c>
      <c r="E55">
        <f t="shared" si="8"/>
        <v>5.7570850800000122E-2</v>
      </c>
      <c r="F55">
        <f t="shared" si="9"/>
        <v>2.1183670799999943E-2</v>
      </c>
    </row>
    <row r="56" spans="1:6">
      <c r="A56">
        <v>2075</v>
      </c>
      <c r="B56">
        <f t="shared" si="7"/>
        <v>7.4234000000000133E-2</v>
      </c>
      <c r="C56">
        <f t="shared" si="7"/>
        <v>7.5757183199999911E-2</v>
      </c>
      <c r="D56">
        <f t="shared" si="7"/>
        <v>4.6580307600000065E-2</v>
      </c>
      <c r="E56">
        <f t="shared" si="8"/>
        <v>5.7570850800000122E-2</v>
      </c>
      <c r="F56">
        <f t="shared" si="9"/>
        <v>2.1183670799999943E-2</v>
      </c>
    </row>
    <row r="57" spans="1:6">
      <c r="A57">
        <v>2076</v>
      </c>
      <c r="B57">
        <f t="shared" si="7"/>
        <v>7.4234000000000133E-2</v>
      </c>
      <c r="C57">
        <f t="shared" si="7"/>
        <v>7.5757183199999911E-2</v>
      </c>
      <c r="D57">
        <f t="shared" si="7"/>
        <v>4.6580307600000065E-2</v>
      </c>
      <c r="E57">
        <f t="shared" si="8"/>
        <v>5.7570850800000122E-2</v>
      </c>
      <c r="F57">
        <f t="shared" si="9"/>
        <v>2.1183670799999943E-2</v>
      </c>
    </row>
    <row r="58" spans="1:6">
      <c r="A58">
        <v>2077</v>
      </c>
      <c r="B58">
        <f t="shared" si="7"/>
        <v>7.4234000000000133E-2</v>
      </c>
      <c r="C58">
        <f t="shared" si="7"/>
        <v>7.5757183199999911E-2</v>
      </c>
      <c r="D58">
        <f t="shared" si="7"/>
        <v>4.6580307600000065E-2</v>
      </c>
      <c r="E58">
        <f t="shared" si="8"/>
        <v>5.7570850800000122E-2</v>
      </c>
      <c r="F58">
        <f t="shared" si="9"/>
        <v>2.1183670799999943E-2</v>
      </c>
    </row>
    <row r="59" spans="1:6">
      <c r="A59">
        <v>2078</v>
      </c>
      <c r="B59">
        <f t="shared" si="7"/>
        <v>7.4234000000000133E-2</v>
      </c>
      <c r="C59">
        <f t="shared" si="7"/>
        <v>7.5757183199999911E-2</v>
      </c>
      <c r="D59">
        <f t="shared" si="7"/>
        <v>4.6580307600000065E-2</v>
      </c>
      <c r="E59">
        <f t="shared" si="8"/>
        <v>5.7570850800000122E-2</v>
      </c>
      <c r="F59">
        <f t="shared" si="9"/>
        <v>2.1183670799999943E-2</v>
      </c>
    </row>
    <row r="60" spans="1:6">
      <c r="A60">
        <v>2079</v>
      </c>
      <c r="B60">
        <f t="shared" si="7"/>
        <v>7.4234000000000133E-2</v>
      </c>
      <c r="C60">
        <f t="shared" si="7"/>
        <v>7.5757183199999911E-2</v>
      </c>
      <c r="D60">
        <f t="shared" si="7"/>
        <v>4.6580307600000065E-2</v>
      </c>
      <c r="E60">
        <f t="shared" si="8"/>
        <v>5.7570850800000122E-2</v>
      </c>
      <c r="F60">
        <f t="shared" si="9"/>
        <v>2.1183670799999943E-2</v>
      </c>
    </row>
    <row r="61" spans="1:6">
      <c r="A61">
        <v>2080</v>
      </c>
      <c r="B61">
        <f t="shared" si="7"/>
        <v>7.4234000000000133E-2</v>
      </c>
      <c r="C61">
        <f t="shared" si="7"/>
        <v>7.5757183199999911E-2</v>
      </c>
      <c r="D61">
        <f t="shared" si="7"/>
        <v>4.6580307600000065E-2</v>
      </c>
      <c r="E61">
        <f t="shared" si="8"/>
        <v>5.7570850800000122E-2</v>
      </c>
      <c r="F61">
        <f t="shared" si="9"/>
        <v>2.1183670799999943E-2</v>
      </c>
    </row>
    <row r="62" spans="1:6">
      <c r="A62">
        <v>2081</v>
      </c>
      <c r="B62">
        <f t="shared" si="7"/>
        <v>7.4234000000000133E-2</v>
      </c>
      <c r="C62">
        <f t="shared" si="7"/>
        <v>7.5757183199999911E-2</v>
      </c>
      <c r="D62">
        <f t="shared" si="7"/>
        <v>4.6580307600000065E-2</v>
      </c>
      <c r="E62">
        <f t="shared" si="8"/>
        <v>5.7570850800000122E-2</v>
      </c>
      <c r="F62">
        <f t="shared" si="9"/>
        <v>2.1183670799999943E-2</v>
      </c>
    </row>
    <row r="63" spans="1:6">
      <c r="A63">
        <v>2082</v>
      </c>
      <c r="B63">
        <f t="shared" si="7"/>
        <v>7.4234000000000133E-2</v>
      </c>
      <c r="C63">
        <f t="shared" si="7"/>
        <v>7.5757183199999911E-2</v>
      </c>
      <c r="D63">
        <f t="shared" si="7"/>
        <v>4.6580307600000065E-2</v>
      </c>
      <c r="E63">
        <f t="shared" si="8"/>
        <v>5.7570850800000122E-2</v>
      </c>
      <c r="F63">
        <f t="shared" si="9"/>
        <v>2.1183670799999943E-2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04DF-EDC5-405F-A790-3696D1610F70}">
  <dimension ref="A1:C13"/>
  <sheetViews>
    <sheetView workbookViewId="0">
      <selection activeCell="B33" sqref="B33"/>
    </sheetView>
  </sheetViews>
  <sheetFormatPr defaultRowHeight="14.5"/>
  <cols>
    <col min="1" max="1" width="21.36328125" customWidth="1"/>
    <col min="2" max="2" width="25" customWidth="1"/>
    <col min="3" max="3" width="56.26953125" customWidth="1"/>
  </cols>
  <sheetData>
    <row r="1" spans="1:3">
      <c r="A1" s="10" t="s">
        <v>103</v>
      </c>
      <c r="B1" s="11" t="s">
        <v>29</v>
      </c>
      <c r="C1" s="12" t="s">
        <v>104</v>
      </c>
    </row>
    <row r="2" spans="1:3" ht="29">
      <c r="A2" s="17" t="s">
        <v>43</v>
      </c>
      <c r="B2" s="14" t="s">
        <v>107</v>
      </c>
      <c r="C2" s="13" t="s">
        <v>110</v>
      </c>
    </row>
    <row r="3" spans="1:3" ht="43.5">
      <c r="A3" s="18"/>
      <c r="B3" s="14" t="s">
        <v>108</v>
      </c>
      <c r="C3" s="13" t="s">
        <v>112</v>
      </c>
    </row>
    <row r="4" spans="1:3">
      <c r="A4" s="17" t="s">
        <v>105</v>
      </c>
      <c r="B4" s="14" t="s">
        <v>106</v>
      </c>
      <c r="C4" s="13" t="s">
        <v>114</v>
      </c>
    </row>
    <row r="5" spans="1:3" ht="29">
      <c r="A5" s="19"/>
      <c r="B5" s="14" t="s">
        <v>31</v>
      </c>
      <c r="C5" s="13" t="s">
        <v>115</v>
      </c>
    </row>
    <row r="6" spans="1:3" ht="29">
      <c r="A6" s="19"/>
      <c r="B6" s="14" t="s">
        <v>32</v>
      </c>
      <c r="C6" s="13" t="s">
        <v>116</v>
      </c>
    </row>
    <row r="7" spans="1:3" ht="29">
      <c r="A7" s="19"/>
      <c r="B7" s="14" t="s">
        <v>33</v>
      </c>
      <c r="C7" s="13" t="s">
        <v>117</v>
      </c>
    </row>
    <row r="8" spans="1:3" ht="29">
      <c r="A8" s="19"/>
      <c r="B8" s="14" t="s">
        <v>34</v>
      </c>
      <c r="C8" s="13" t="s">
        <v>119</v>
      </c>
    </row>
    <row r="9" spans="1:3" ht="29">
      <c r="A9" s="18"/>
      <c r="B9" s="14" t="s">
        <v>35</v>
      </c>
      <c r="C9" s="13" t="s">
        <v>118</v>
      </c>
    </row>
    <row r="10" spans="1:3">
      <c r="A10" s="17" t="s">
        <v>46</v>
      </c>
      <c r="B10" s="14" t="s">
        <v>47</v>
      </c>
      <c r="C10" s="13" t="s">
        <v>120</v>
      </c>
    </row>
    <row r="11" spans="1:3" ht="29">
      <c r="A11" s="18"/>
      <c r="B11" s="14" t="s">
        <v>48</v>
      </c>
      <c r="C11" s="13" t="s">
        <v>121</v>
      </c>
    </row>
    <row r="12" spans="1:3" ht="29">
      <c r="A12" s="17" t="s">
        <v>71</v>
      </c>
      <c r="B12" s="14" t="s">
        <v>109</v>
      </c>
      <c r="C12" s="13" t="s">
        <v>122</v>
      </c>
    </row>
    <row r="13" spans="1:3">
      <c r="A13" s="18"/>
      <c r="B13" s="15" t="s">
        <v>102</v>
      </c>
      <c r="C13" s="13" t="s">
        <v>123</v>
      </c>
    </row>
  </sheetData>
  <mergeCells count="4">
    <mergeCell ref="A2:A3"/>
    <mergeCell ref="A4:A9"/>
    <mergeCell ref="A10:A11"/>
    <mergeCell ref="A12:A13"/>
  </mergeCells>
  <phoneticPr fontId="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77F07-EDF1-489B-9957-A7817EA4B235}">
  <dimension ref="A2:J63"/>
  <sheetViews>
    <sheetView topLeftCell="A55" workbookViewId="0">
      <selection activeCell="A2" sqref="A2:B63"/>
    </sheetView>
  </sheetViews>
  <sheetFormatPr defaultRowHeight="14.5"/>
  <cols>
    <col min="1" max="1" width="16.7265625" customWidth="1"/>
    <col min="2" max="2" width="18.1796875" customWidth="1"/>
    <col min="3" max="3" width="18.81640625" customWidth="1"/>
    <col min="8" max="8" width="19.7265625" customWidth="1"/>
  </cols>
  <sheetData>
    <row r="2" spans="1:10">
      <c r="A2" t="s">
        <v>124</v>
      </c>
      <c r="B2" t="s">
        <v>125</v>
      </c>
      <c r="C2" s="16" t="s">
        <v>41</v>
      </c>
      <c r="D2" s="16" t="s">
        <v>42</v>
      </c>
      <c r="E2" s="16" t="s">
        <v>113</v>
      </c>
      <c r="F2" s="16" t="s">
        <v>38</v>
      </c>
      <c r="G2" s="16"/>
      <c r="I2" s="5" t="s">
        <v>20</v>
      </c>
    </row>
    <row r="3" spans="1:10">
      <c r="A3">
        <v>2022</v>
      </c>
      <c r="B3">
        <f>I4</f>
        <v>0.37117</v>
      </c>
      <c r="C3">
        <v>0.378785916</v>
      </c>
      <c r="D3">
        <v>0.23290153799999999</v>
      </c>
      <c r="E3">
        <v>0.28785425399999998</v>
      </c>
      <c r="F3">
        <v>0.10591835400000001</v>
      </c>
      <c r="I3" t="s">
        <v>19</v>
      </c>
    </row>
    <row r="4" spans="1:10">
      <c r="A4">
        <v>2023</v>
      </c>
      <c r="B4">
        <f t="shared" ref="B4:B30" si="0">B3-$J$4</f>
        <v>0.35791392857142856</v>
      </c>
      <c r="C4">
        <f>C3-$J$5</f>
        <v>0.3652578475714286</v>
      </c>
      <c r="D4">
        <f>D3-$J$6</f>
        <v>0.22458362592857142</v>
      </c>
      <c r="E4">
        <f>E3-$J$7</f>
        <v>0.2775737449285714</v>
      </c>
      <c r="F4">
        <f>F3-$J$8</f>
        <v>0.10213555564285715</v>
      </c>
      <c r="H4" t="s">
        <v>126</v>
      </c>
      <c r="I4" s="5">
        <v>0.37117</v>
      </c>
      <c r="J4">
        <f>I4/28</f>
        <v>1.3256071428571428E-2</v>
      </c>
    </row>
    <row r="5" spans="1:10">
      <c r="A5">
        <v>2024</v>
      </c>
      <c r="B5">
        <f t="shared" si="0"/>
        <v>0.34465785714285713</v>
      </c>
      <c r="C5">
        <f t="shared" ref="C5:C30" si="1">C4-$J$5</f>
        <v>0.35172977914285719</v>
      </c>
      <c r="D5">
        <f t="shared" ref="D5:D30" si="2">D4-$J$6</f>
        <v>0.21626571385714286</v>
      </c>
      <c r="E5">
        <f t="shared" ref="E5:E30" si="3">E4-$J$7</f>
        <v>0.26729323585714282</v>
      </c>
      <c r="F5">
        <f t="shared" ref="F5:F30" si="4">F4-$J$8</f>
        <v>9.8352757285714285E-2</v>
      </c>
      <c r="H5" t="s">
        <v>41</v>
      </c>
      <c r="I5">
        <v>0.378785916</v>
      </c>
      <c r="J5">
        <f t="shared" ref="J5:J8" si="5">I5/28</f>
        <v>1.3528068428571429E-2</v>
      </c>
    </row>
    <row r="6" spans="1:10">
      <c r="A6">
        <v>2025</v>
      </c>
      <c r="B6">
        <f t="shared" si="0"/>
        <v>0.33140178571428569</v>
      </c>
      <c r="C6">
        <f t="shared" si="1"/>
        <v>0.33820171071428579</v>
      </c>
      <c r="D6">
        <f t="shared" si="2"/>
        <v>0.20794780178571429</v>
      </c>
      <c r="E6">
        <f t="shared" si="3"/>
        <v>0.25701272678571424</v>
      </c>
      <c r="F6">
        <f t="shared" si="4"/>
        <v>9.4569958928571424E-2</v>
      </c>
      <c r="H6" t="s">
        <v>42</v>
      </c>
      <c r="I6">
        <v>0.23290153799999999</v>
      </c>
      <c r="J6">
        <f t="shared" si="5"/>
        <v>8.3179120714285716E-3</v>
      </c>
    </row>
    <row r="7" spans="1:10">
      <c r="A7">
        <v>2026</v>
      </c>
      <c r="B7">
        <f t="shared" si="0"/>
        <v>0.31814571428571425</v>
      </c>
      <c r="C7">
        <f t="shared" si="1"/>
        <v>0.32467364228571438</v>
      </c>
      <c r="D7">
        <f t="shared" si="2"/>
        <v>0.19962988971428572</v>
      </c>
      <c r="E7">
        <f t="shared" si="3"/>
        <v>0.24673221771428566</v>
      </c>
      <c r="F7">
        <f t="shared" si="4"/>
        <v>9.0787160571428563E-2</v>
      </c>
      <c r="H7" t="s">
        <v>113</v>
      </c>
      <c r="I7">
        <v>0.28785425399999998</v>
      </c>
      <c r="J7">
        <f t="shared" si="5"/>
        <v>1.028050907142857E-2</v>
      </c>
    </row>
    <row r="8" spans="1:10">
      <c r="A8">
        <v>2027</v>
      </c>
      <c r="B8">
        <f t="shared" si="0"/>
        <v>0.30488964285714282</v>
      </c>
      <c r="C8">
        <f t="shared" si="1"/>
        <v>0.31114557385714298</v>
      </c>
      <c r="D8">
        <f t="shared" si="2"/>
        <v>0.19131197764285715</v>
      </c>
      <c r="E8">
        <f t="shared" si="3"/>
        <v>0.23645170864285708</v>
      </c>
      <c r="F8">
        <f t="shared" si="4"/>
        <v>8.7004362214285702E-2</v>
      </c>
      <c r="H8" t="s">
        <v>38</v>
      </c>
      <c r="I8">
        <v>0.10591835400000001</v>
      </c>
      <c r="J8">
        <f t="shared" si="5"/>
        <v>3.7827983571428574E-3</v>
      </c>
    </row>
    <row r="9" spans="1:10">
      <c r="A9">
        <v>2028</v>
      </c>
      <c r="B9">
        <f t="shared" si="0"/>
        <v>0.29163357142857138</v>
      </c>
      <c r="C9">
        <f t="shared" si="1"/>
        <v>0.29761750542857157</v>
      </c>
      <c r="D9">
        <f t="shared" si="2"/>
        <v>0.18299406557142858</v>
      </c>
      <c r="E9">
        <f t="shared" si="3"/>
        <v>0.22617119957142851</v>
      </c>
      <c r="F9">
        <f t="shared" si="4"/>
        <v>8.3221563857142841E-2</v>
      </c>
    </row>
    <row r="10" spans="1:10">
      <c r="A10">
        <v>2029</v>
      </c>
      <c r="B10">
        <f t="shared" si="0"/>
        <v>0.27837749999999994</v>
      </c>
      <c r="C10">
        <f t="shared" si="1"/>
        <v>0.28408943700000017</v>
      </c>
      <c r="D10">
        <f t="shared" si="2"/>
        <v>0.17467615350000001</v>
      </c>
      <c r="E10">
        <f t="shared" si="3"/>
        <v>0.21589069049999993</v>
      </c>
      <c r="F10">
        <f t="shared" si="4"/>
        <v>7.943876549999998E-2</v>
      </c>
    </row>
    <row r="11" spans="1:10">
      <c r="A11">
        <v>2030</v>
      </c>
      <c r="B11">
        <f t="shared" si="0"/>
        <v>0.26512142857142851</v>
      </c>
      <c r="C11">
        <f t="shared" si="1"/>
        <v>0.27056136857142876</v>
      </c>
      <c r="D11">
        <f t="shared" si="2"/>
        <v>0.16635824142857145</v>
      </c>
      <c r="E11">
        <f t="shared" si="3"/>
        <v>0.20561018142857135</v>
      </c>
      <c r="F11">
        <f t="shared" si="4"/>
        <v>7.565596714285712E-2</v>
      </c>
    </row>
    <row r="12" spans="1:10">
      <c r="A12">
        <v>2031</v>
      </c>
      <c r="B12">
        <f t="shared" si="0"/>
        <v>0.25186535714285707</v>
      </c>
      <c r="C12">
        <f t="shared" si="1"/>
        <v>0.25703330014285736</v>
      </c>
      <c r="D12">
        <f t="shared" si="2"/>
        <v>0.15804032935714288</v>
      </c>
      <c r="E12">
        <f t="shared" si="3"/>
        <v>0.19532967235714277</v>
      </c>
      <c r="F12">
        <f t="shared" si="4"/>
        <v>7.1873168785714259E-2</v>
      </c>
    </row>
    <row r="13" spans="1:10">
      <c r="A13">
        <v>2032</v>
      </c>
      <c r="B13">
        <f t="shared" si="0"/>
        <v>0.23860928571428563</v>
      </c>
      <c r="C13">
        <f t="shared" si="1"/>
        <v>0.24350523171428592</v>
      </c>
      <c r="D13">
        <f t="shared" si="2"/>
        <v>0.14972241728571431</v>
      </c>
      <c r="E13">
        <f t="shared" si="3"/>
        <v>0.18504916328571419</v>
      </c>
      <c r="F13">
        <f t="shared" si="4"/>
        <v>6.8090370428571398E-2</v>
      </c>
    </row>
    <row r="14" spans="1:10">
      <c r="A14">
        <v>2033</v>
      </c>
      <c r="B14">
        <f t="shared" si="0"/>
        <v>0.2253532142857142</v>
      </c>
      <c r="C14">
        <f t="shared" si="1"/>
        <v>0.22997716328571449</v>
      </c>
      <c r="D14">
        <f t="shared" si="2"/>
        <v>0.14140450521428574</v>
      </c>
      <c r="E14">
        <f t="shared" si="3"/>
        <v>0.17476865421428561</v>
      </c>
      <c r="F14">
        <f t="shared" si="4"/>
        <v>6.4307572071428537E-2</v>
      </c>
    </row>
    <row r="15" spans="1:10">
      <c r="A15">
        <v>2034</v>
      </c>
      <c r="B15">
        <f t="shared" si="0"/>
        <v>0.21209714285714276</v>
      </c>
      <c r="C15">
        <f t="shared" si="1"/>
        <v>0.21644909485714306</v>
      </c>
      <c r="D15">
        <f t="shared" si="2"/>
        <v>0.13308659314285717</v>
      </c>
      <c r="E15">
        <f t="shared" si="3"/>
        <v>0.16448814514285703</v>
      </c>
      <c r="F15">
        <f t="shared" si="4"/>
        <v>6.0524773714285676E-2</v>
      </c>
    </row>
    <row r="16" spans="1:10">
      <c r="A16">
        <v>2035</v>
      </c>
      <c r="B16">
        <f t="shared" si="0"/>
        <v>0.19884107142857133</v>
      </c>
      <c r="C16">
        <f t="shared" si="1"/>
        <v>0.20292102642857163</v>
      </c>
      <c r="D16">
        <f t="shared" si="2"/>
        <v>0.12476868107142861</v>
      </c>
      <c r="E16">
        <f t="shared" si="3"/>
        <v>0.15420763607142846</v>
      </c>
      <c r="F16">
        <f t="shared" si="4"/>
        <v>5.6741975357142815E-2</v>
      </c>
    </row>
    <row r="17" spans="1:6">
      <c r="A17">
        <v>2036</v>
      </c>
      <c r="B17">
        <f t="shared" si="0"/>
        <v>0.18558499999999989</v>
      </c>
      <c r="C17">
        <f t="shared" si="1"/>
        <v>0.18939295800000019</v>
      </c>
      <c r="D17">
        <f t="shared" si="2"/>
        <v>0.11645076900000004</v>
      </c>
      <c r="E17">
        <f t="shared" si="3"/>
        <v>0.14392712699999988</v>
      </c>
      <c r="F17">
        <f t="shared" si="4"/>
        <v>5.2959176999999955E-2</v>
      </c>
    </row>
    <row r="18" spans="1:6">
      <c r="A18">
        <v>2037</v>
      </c>
      <c r="B18">
        <f t="shared" si="0"/>
        <v>0.17232892857142845</v>
      </c>
      <c r="C18">
        <f t="shared" si="1"/>
        <v>0.17586488957142876</v>
      </c>
      <c r="D18">
        <f t="shared" si="2"/>
        <v>0.10813285692857147</v>
      </c>
      <c r="E18">
        <f t="shared" si="3"/>
        <v>0.1336466179285713</v>
      </c>
      <c r="F18">
        <f t="shared" si="4"/>
        <v>4.9176378642857094E-2</v>
      </c>
    </row>
    <row r="19" spans="1:6">
      <c r="A19">
        <v>2038</v>
      </c>
      <c r="B19">
        <f t="shared" si="0"/>
        <v>0.15907285714285702</v>
      </c>
      <c r="C19">
        <f t="shared" si="1"/>
        <v>0.16233682114285733</v>
      </c>
      <c r="D19">
        <f t="shared" si="2"/>
        <v>9.9814944857142901E-2</v>
      </c>
      <c r="E19">
        <f t="shared" si="3"/>
        <v>0.12336610885714273</v>
      </c>
      <c r="F19">
        <f t="shared" si="4"/>
        <v>4.5393580285714233E-2</v>
      </c>
    </row>
    <row r="20" spans="1:6">
      <c r="A20">
        <v>2039</v>
      </c>
      <c r="B20">
        <f t="shared" si="0"/>
        <v>0.14581678571428558</v>
      </c>
      <c r="C20">
        <f t="shared" si="1"/>
        <v>0.1488087527142859</v>
      </c>
      <c r="D20">
        <f t="shared" si="2"/>
        <v>9.1497032785714333E-2</v>
      </c>
      <c r="E20">
        <f t="shared" si="3"/>
        <v>0.11308559978571417</v>
      </c>
      <c r="F20">
        <f t="shared" si="4"/>
        <v>4.1610781928571372E-2</v>
      </c>
    </row>
    <row r="21" spans="1:6">
      <c r="A21">
        <v>2040</v>
      </c>
      <c r="B21">
        <f t="shared" si="0"/>
        <v>0.13256071428571414</v>
      </c>
      <c r="C21">
        <f t="shared" si="1"/>
        <v>0.13528068428571446</v>
      </c>
      <c r="D21">
        <f t="shared" si="2"/>
        <v>8.3179120714285765E-2</v>
      </c>
      <c r="E21">
        <f t="shared" si="3"/>
        <v>0.1028050907142856</v>
      </c>
      <c r="F21">
        <f t="shared" si="4"/>
        <v>3.7827983571428511E-2</v>
      </c>
    </row>
    <row r="22" spans="1:6">
      <c r="A22">
        <v>2041</v>
      </c>
      <c r="B22">
        <f t="shared" si="0"/>
        <v>0.11930464285714272</v>
      </c>
      <c r="C22">
        <f t="shared" si="1"/>
        <v>0.12175261585714303</v>
      </c>
      <c r="D22">
        <f t="shared" si="2"/>
        <v>7.4861208642857197E-2</v>
      </c>
      <c r="E22">
        <f t="shared" si="3"/>
        <v>9.252458164285704E-2</v>
      </c>
      <c r="F22">
        <f t="shared" si="4"/>
        <v>3.404518521428565E-2</v>
      </c>
    </row>
    <row r="23" spans="1:6">
      <c r="A23">
        <v>2042</v>
      </c>
      <c r="B23">
        <f t="shared" si="0"/>
        <v>0.1060485714285713</v>
      </c>
      <c r="C23">
        <f t="shared" si="1"/>
        <v>0.1082245474285716</v>
      </c>
      <c r="D23">
        <f t="shared" si="2"/>
        <v>6.6543296571428628E-2</v>
      </c>
      <c r="E23">
        <f t="shared" si="3"/>
        <v>8.2244072571428475E-2</v>
      </c>
      <c r="F23">
        <f t="shared" si="4"/>
        <v>3.0262386857142793E-2</v>
      </c>
    </row>
    <row r="24" spans="1:6">
      <c r="A24">
        <v>2043</v>
      </c>
      <c r="B24">
        <f t="shared" si="0"/>
        <v>9.2792499999999875E-2</v>
      </c>
      <c r="C24">
        <f t="shared" si="1"/>
        <v>9.4696479000000167E-2</v>
      </c>
      <c r="D24">
        <f t="shared" si="2"/>
        <v>5.822538450000006E-2</v>
      </c>
      <c r="E24">
        <f t="shared" si="3"/>
        <v>7.1963563499999911E-2</v>
      </c>
      <c r="F24">
        <f t="shared" si="4"/>
        <v>2.6479588499999936E-2</v>
      </c>
    </row>
    <row r="25" spans="1:6">
      <c r="A25">
        <v>2044</v>
      </c>
      <c r="B25">
        <f t="shared" si="0"/>
        <v>7.9536428571428452E-2</v>
      </c>
      <c r="C25">
        <f t="shared" si="1"/>
        <v>8.1168410571428734E-2</v>
      </c>
      <c r="D25">
        <f t="shared" si="2"/>
        <v>4.9907472428571492E-2</v>
      </c>
      <c r="E25">
        <f t="shared" si="3"/>
        <v>6.1683054428571339E-2</v>
      </c>
      <c r="F25">
        <f t="shared" si="4"/>
        <v>2.2696790142857078E-2</v>
      </c>
    </row>
    <row r="26" spans="1:6">
      <c r="A26">
        <v>2045</v>
      </c>
      <c r="B26">
        <f t="shared" si="0"/>
        <v>6.628035714285703E-2</v>
      </c>
      <c r="C26">
        <f t="shared" si="1"/>
        <v>6.7640342142857302E-2</v>
      </c>
      <c r="D26">
        <f t="shared" si="2"/>
        <v>4.1589560357142924E-2</v>
      </c>
      <c r="E26">
        <f t="shared" si="3"/>
        <v>5.1402545357142768E-2</v>
      </c>
      <c r="F26">
        <f t="shared" si="4"/>
        <v>1.8913991785714221E-2</v>
      </c>
    </row>
    <row r="27" spans="1:6">
      <c r="A27">
        <v>2046</v>
      </c>
      <c r="B27">
        <f t="shared" si="0"/>
        <v>5.30242857142856E-2</v>
      </c>
      <c r="C27">
        <f t="shared" si="1"/>
        <v>5.4112273714285869E-2</v>
      </c>
      <c r="D27">
        <f t="shared" si="2"/>
        <v>3.3271648285714356E-2</v>
      </c>
      <c r="E27">
        <f t="shared" si="3"/>
        <v>4.1122036285714196E-2</v>
      </c>
      <c r="F27">
        <f t="shared" si="4"/>
        <v>1.5131193428571364E-2</v>
      </c>
    </row>
    <row r="28" spans="1:6">
      <c r="A28">
        <v>2047</v>
      </c>
      <c r="B28">
        <f t="shared" si="0"/>
        <v>3.9768214285714171E-2</v>
      </c>
      <c r="C28">
        <f t="shared" si="1"/>
        <v>4.0584205285714436E-2</v>
      </c>
      <c r="D28">
        <f t="shared" si="2"/>
        <v>2.4953736214285784E-2</v>
      </c>
      <c r="E28">
        <f t="shared" si="3"/>
        <v>3.0841527214285624E-2</v>
      </c>
      <c r="F28">
        <f t="shared" si="4"/>
        <v>1.1348395071428506E-2</v>
      </c>
    </row>
    <row r="29" spans="1:6">
      <c r="A29">
        <v>2048</v>
      </c>
      <c r="B29">
        <f t="shared" si="0"/>
        <v>2.6512142857142741E-2</v>
      </c>
      <c r="C29">
        <f t="shared" si="1"/>
        <v>2.7056136857143007E-2</v>
      </c>
      <c r="D29">
        <f t="shared" si="2"/>
        <v>1.6635824142857213E-2</v>
      </c>
      <c r="E29">
        <f t="shared" si="3"/>
        <v>2.0561018142857053E-2</v>
      </c>
      <c r="F29">
        <f t="shared" si="4"/>
        <v>7.5655967142856488E-3</v>
      </c>
    </row>
    <row r="30" spans="1:6">
      <c r="A30">
        <v>2049</v>
      </c>
      <c r="B30">
        <f t="shared" si="0"/>
        <v>1.3256071428571313E-2</v>
      </c>
      <c r="C30">
        <f t="shared" si="1"/>
        <v>1.3528068428571578E-2</v>
      </c>
      <c r="D30">
        <f t="shared" si="2"/>
        <v>8.317912071428641E-3</v>
      </c>
      <c r="E30">
        <f t="shared" si="3"/>
        <v>1.0280509071428483E-2</v>
      </c>
      <c r="F30">
        <f t="shared" si="4"/>
        <v>3.7827983571427914E-3</v>
      </c>
    </row>
    <row r="31" spans="1:6">
      <c r="A31">
        <v>2050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>
        <v>2051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>
        <v>2052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>
        <v>2053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>
        <v>2054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>
        <v>2055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>
        <v>2056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>
        <v>2057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>
        <v>2058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>
        <v>2059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>
        <v>2060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>
        <v>2061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>
        <v>2062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>
        <v>2063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>
        <v>2064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>
        <v>2065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>
        <v>2066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>
        <v>2067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>
        <v>2068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>
        <v>2069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>
        <v>2070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>
        <v>2071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>
        <v>2072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>
        <v>2073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>
        <v>2074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>
        <v>2075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>
        <v>2076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>
        <v>2077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>
        <v>2078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>
        <v>2079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>
        <v>2080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>
        <v>2081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>
        <v>2082</v>
      </c>
      <c r="B63">
        <v>0</v>
      </c>
      <c r="C63">
        <v>0</v>
      </c>
      <c r="D63">
        <v>0</v>
      </c>
      <c r="E63">
        <v>0</v>
      </c>
      <c r="F63">
        <v>0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22F8-1C54-4802-95B3-03A6881CBA0D}">
  <dimension ref="A2:M63"/>
  <sheetViews>
    <sheetView topLeftCell="A55" workbookViewId="0">
      <selection activeCell="A2" sqref="A2:B63"/>
    </sheetView>
  </sheetViews>
  <sheetFormatPr defaultRowHeight="14.5"/>
  <cols>
    <col min="1" max="1" width="16.7265625" customWidth="1"/>
    <col min="2" max="2" width="23.36328125" customWidth="1"/>
    <col min="3" max="3" width="18.81640625" customWidth="1"/>
    <col min="6" max="6" width="11.1796875" customWidth="1"/>
    <col min="9" max="9" width="17.90625" customWidth="1"/>
    <col min="10" max="11" width="24.08984375" customWidth="1"/>
    <col min="12" max="12" width="15" customWidth="1"/>
    <col min="13" max="13" width="14.36328125" customWidth="1"/>
  </cols>
  <sheetData>
    <row r="2" spans="1:13">
      <c r="A2" t="s">
        <v>124</v>
      </c>
      <c r="B2" t="s">
        <v>125</v>
      </c>
      <c r="C2" s="1" t="s">
        <v>41</v>
      </c>
      <c r="D2" t="s">
        <v>42</v>
      </c>
      <c r="E2" t="s">
        <v>113</v>
      </c>
      <c r="F2" t="s">
        <v>38</v>
      </c>
      <c r="I2" t="s">
        <v>43</v>
      </c>
      <c r="J2" t="s">
        <v>127</v>
      </c>
      <c r="K2" t="s">
        <v>128</v>
      </c>
      <c r="L2" t="s">
        <v>129</v>
      </c>
      <c r="M2" t="s">
        <v>130</v>
      </c>
    </row>
    <row r="3" spans="1:13">
      <c r="A3">
        <v>2022</v>
      </c>
      <c r="B3">
        <f>K3</f>
        <v>0.37117</v>
      </c>
      <c r="C3">
        <f>K4</f>
        <v>0.378785916</v>
      </c>
      <c r="D3">
        <f>K5</f>
        <v>0.23290153799999999</v>
      </c>
      <c r="E3">
        <f>K6</f>
        <v>0.28785425399999998</v>
      </c>
      <c r="F3">
        <f>K7</f>
        <v>0.10591835400000001</v>
      </c>
      <c r="I3" t="s">
        <v>125</v>
      </c>
      <c r="J3">
        <v>0.5</v>
      </c>
      <c r="K3">
        <v>0.37117</v>
      </c>
      <c r="L3">
        <v>28</v>
      </c>
      <c r="M3">
        <f>J3*K3/L3</f>
        <v>6.6280357142857139E-3</v>
      </c>
    </row>
    <row r="4" spans="1:13">
      <c r="A4">
        <v>2023</v>
      </c>
      <c r="B4">
        <f>B3-$M$3</f>
        <v>0.36454196428571428</v>
      </c>
      <c r="C4">
        <f>C3-$M$4</f>
        <v>0.37202188178571427</v>
      </c>
      <c r="D4">
        <f>D3-$M$5</f>
        <v>0.22874258196428571</v>
      </c>
      <c r="E4">
        <f>E3-$M$6</f>
        <v>0.28271399946428571</v>
      </c>
      <c r="F4">
        <f>F3-$M$7</f>
        <v>0.10402695482142858</v>
      </c>
      <c r="I4" s="16" t="s">
        <v>41</v>
      </c>
      <c r="J4">
        <v>0.5</v>
      </c>
      <c r="K4">
        <v>0.378785916</v>
      </c>
      <c r="L4">
        <v>28</v>
      </c>
      <c r="M4">
        <f t="shared" ref="M4:M7" si="0">J4*K4/L4</f>
        <v>6.7640342142857145E-3</v>
      </c>
    </row>
    <row r="5" spans="1:13">
      <c r="A5">
        <v>2024</v>
      </c>
      <c r="B5">
        <f t="shared" ref="B5:B31" si="1">B4-$M$3</f>
        <v>0.35791392857142856</v>
      </c>
      <c r="C5">
        <f t="shared" ref="C5:C31" si="2">C4-$M$4</f>
        <v>0.36525784757142854</v>
      </c>
      <c r="D5">
        <f t="shared" ref="D5:D31" si="3">D4-$M$5</f>
        <v>0.22458362592857142</v>
      </c>
      <c r="E5">
        <f t="shared" ref="E5:E31" si="4">E4-$M$6</f>
        <v>0.27757374492857145</v>
      </c>
      <c r="F5">
        <f t="shared" ref="F5:F31" si="5">F4-$M$7</f>
        <v>0.10213555564285716</v>
      </c>
      <c r="I5" t="s">
        <v>42</v>
      </c>
      <c r="J5">
        <v>0.5</v>
      </c>
      <c r="K5">
        <v>0.23290153799999999</v>
      </c>
      <c r="L5">
        <v>28</v>
      </c>
      <c r="M5">
        <f t="shared" si="0"/>
        <v>4.1589560357142858E-3</v>
      </c>
    </row>
    <row r="6" spans="1:13">
      <c r="A6">
        <v>2025</v>
      </c>
      <c r="B6">
        <f t="shared" si="1"/>
        <v>0.35128589285714285</v>
      </c>
      <c r="C6">
        <f t="shared" si="2"/>
        <v>0.35849381335714281</v>
      </c>
      <c r="D6">
        <f t="shared" si="3"/>
        <v>0.22042466989285714</v>
      </c>
      <c r="E6">
        <f t="shared" si="4"/>
        <v>0.27243349039285719</v>
      </c>
      <c r="F6">
        <f t="shared" si="5"/>
        <v>0.10024415646428574</v>
      </c>
      <c r="I6" t="s">
        <v>113</v>
      </c>
      <c r="J6">
        <v>0.5</v>
      </c>
      <c r="K6">
        <v>0.28785425399999998</v>
      </c>
      <c r="L6">
        <v>28</v>
      </c>
      <c r="M6">
        <f t="shared" si="0"/>
        <v>5.1402545357142849E-3</v>
      </c>
    </row>
    <row r="7" spans="1:13">
      <c r="A7">
        <v>2026</v>
      </c>
      <c r="B7">
        <f t="shared" si="1"/>
        <v>0.34465785714285713</v>
      </c>
      <c r="C7">
        <f t="shared" si="2"/>
        <v>0.35172977914285708</v>
      </c>
      <c r="D7">
        <f t="shared" si="3"/>
        <v>0.21626571385714286</v>
      </c>
      <c r="E7">
        <f t="shared" si="4"/>
        <v>0.26729323585714293</v>
      </c>
      <c r="F7">
        <f t="shared" si="5"/>
        <v>9.8352757285714312E-2</v>
      </c>
      <c r="I7" t="s">
        <v>38</v>
      </c>
      <c r="J7">
        <v>0.5</v>
      </c>
      <c r="K7">
        <v>0.10591835400000001</v>
      </c>
      <c r="L7">
        <v>28</v>
      </c>
      <c r="M7">
        <f t="shared" si="0"/>
        <v>1.8913991785714287E-3</v>
      </c>
    </row>
    <row r="8" spans="1:13">
      <c r="A8">
        <v>2027</v>
      </c>
      <c r="B8">
        <f t="shared" si="1"/>
        <v>0.33802982142857141</v>
      </c>
      <c r="C8">
        <f t="shared" si="2"/>
        <v>0.34496574492857135</v>
      </c>
      <c r="D8">
        <f t="shared" si="3"/>
        <v>0.21210675782142857</v>
      </c>
      <c r="E8">
        <f t="shared" si="4"/>
        <v>0.26215298132142867</v>
      </c>
      <c r="F8">
        <f t="shared" si="5"/>
        <v>9.6461358107142889E-2</v>
      </c>
    </row>
    <row r="9" spans="1:13">
      <c r="A9">
        <v>2028</v>
      </c>
      <c r="B9">
        <f t="shared" si="1"/>
        <v>0.33140178571428569</v>
      </c>
      <c r="C9">
        <f t="shared" si="2"/>
        <v>0.33820171071428562</v>
      </c>
      <c r="D9">
        <f t="shared" si="3"/>
        <v>0.20794780178571429</v>
      </c>
      <c r="E9">
        <f t="shared" si="4"/>
        <v>0.25701272678571441</v>
      </c>
      <c r="F9">
        <f t="shared" si="5"/>
        <v>9.4569958928571465E-2</v>
      </c>
    </row>
    <row r="10" spans="1:13">
      <c r="A10">
        <v>2029</v>
      </c>
      <c r="B10">
        <f t="shared" si="1"/>
        <v>0.32477374999999997</v>
      </c>
      <c r="C10">
        <f t="shared" si="2"/>
        <v>0.33143767649999989</v>
      </c>
      <c r="D10">
        <f t="shared" si="3"/>
        <v>0.20378884575</v>
      </c>
      <c r="E10">
        <f t="shared" si="4"/>
        <v>0.25187247225000015</v>
      </c>
      <c r="F10">
        <f t="shared" si="5"/>
        <v>9.2678559750000042E-2</v>
      </c>
    </row>
    <row r="11" spans="1:13">
      <c r="A11">
        <v>2030</v>
      </c>
      <c r="B11">
        <f t="shared" si="1"/>
        <v>0.31814571428571425</v>
      </c>
      <c r="C11">
        <f t="shared" si="2"/>
        <v>0.32467364228571416</v>
      </c>
      <c r="D11">
        <f t="shared" si="3"/>
        <v>0.19962988971428572</v>
      </c>
      <c r="E11">
        <f t="shared" si="4"/>
        <v>0.24673221771428586</v>
      </c>
      <c r="F11">
        <f t="shared" si="5"/>
        <v>9.0787160571428618E-2</v>
      </c>
    </row>
    <row r="12" spans="1:13">
      <c r="A12">
        <v>2031</v>
      </c>
      <c r="B12">
        <f t="shared" si="1"/>
        <v>0.31151767857142854</v>
      </c>
      <c r="C12">
        <f t="shared" si="2"/>
        <v>0.31790960807142843</v>
      </c>
      <c r="D12">
        <f t="shared" si="3"/>
        <v>0.19547093367857143</v>
      </c>
      <c r="E12">
        <f t="shared" si="4"/>
        <v>0.24159196317857157</v>
      </c>
      <c r="F12">
        <f t="shared" si="5"/>
        <v>8.8895761392857195E-2</v>
      </c>
    </row>
    <row r="13" spans="1:13">
      <c r="A13">
        <v>2032</v>
      </c>
      <c r="B13">
        <f t="shared" si="1"/>
        <v>0.30488964285714282</v>
      </c>
      <c r="C13">
        <f t="shared" si="2"/>
        <v>0.3111455738571427</v>
      </c>
      <c r="D13">
        <f t="shared" si="3"/>
        <v>0.19131197764285715</v>
      </c>
      <c r="E13">
        <f t="shared" si="4"/>
        <v>0.23645170864285728</v>
      </c>
      <c r="F13">
        <f t="shared" si="5"/>
        <v>8.7004362214285771E-2</v>
      </c>
    </row>
    <row r="14" spans="1:13">
      <c r="A14">
        <v>2033</v>
      </c>
      <c r="B14">
        <f t="shared" si="1"/>
        <v>0.2982616071428571</v>
      </c>
      <c r="C14">
        <f t="shared" si="2"/>
        <v>0.30438153964285697</v>
      </c>
      <c r="D14">
        <f t="shared" si="3"/>
        <v>0.18715302160714287</v>
      </c>
      <c r="E14">
        <f t="shared" si="4"/>
        <v>0.23131145410714299</v>
      </c>
      <c r="F14">
        <f t="shared" si="5"/>
        <v>8.5112963035714348E-2</v>
      </c>
    </row>
    <row r="15" spans="1:13">
      <c r="A15">
        <v>2034</v>
      </c>
      <c r="B15">
        <f t="shared" si="1"/>
        <v>0.29163357142857138</v>
      </c>
      <c r="C15">
        <f t="shared" si="2"/>
        <v>0.29761750542857124</v>
      </c>
      <c r="D15">
        <f t="shared" si="3"/>
        <v>0.18299406557142858</v>
      </c>
      <c r="E15">
        <f t="shared" si="4"/>
        <v>0.2261711995714287</v>
      </c>
      <c r="F15">
        <f t="shared" si="5"/>
        <v>8.3221563857142924E-2</v>
      </c>
    </row>
    <row r="16" spans="1:13">
      <c r="A16">
        <v>2035</v>
      </c>
      <c r="B16">
        <f t="shared" si="1"/>
        <v>0.28500553571428566</v>
      </c>
      <c r="C16">
        <f t="shared" si="2"/>
        <v>0.29085347121428551</v>
      </c>
      <c r="D16">
        <f t="shared" si="3"/>
        <v>0.1788351095357143</v>
      </c>
      <c r="E16">
        <f t="shared" si="4"/>
        <v>0.22103094503571441</v>
      </c>
      <c r="F16">
        <f t="shared" si="5"/>
        <v>8.1330164678571501E-2</v>
      </c>
    </row>
    <row r="17" spans="1:6">
      <c r="A17">
        <v>2036</v>
      </c>
      <c r="B17">
        <f t="shared" si="1"/>
        <v>0.27837749999999994</v>
      </c>
      <c r="C17">
        <f t="shared" si="2"/>
        <v>0.28408943699999978</v>
      </c>
      <c r="D17">
        <f t="shared" si="3"/>
        <v>0.17467615350000001</v>
      </c>
      <c r="E17">
        <f t="shared" si="4"/>
        <v>0.21589069050000012</v>
      </c>
      <c r="F17">
        <f t="shared" si="5"/>
        <v>7.9438765500000078E-2</v>
      </c>
    </row>
    <row r="18" spans="1:6">
      <c r="A18">
        <v>2037</v>
      </c>
      <c r="B18">
        <f t="shared" si="1"/>
        <v>0.27174946428571423</v>
      </c>
      <c r="C18">
        <f t="shared" si="2"/>
        <v>0.27732540278571405</v>
      </c>
      <c r="D18">
        <f t="shared" si="3"/>
        <v>0.17051719746428573</v>
      </c>
      <c r="E18">
        <f t="shared" si="4"/>
        <v>0.21075043596428583</v>
      </c>
      <c r="F18">
        <f t="shared" si="5"/>
        <v>7.7547366321428654E-2</v>
      </c>
    </row>
    <row r="19" spans="1:6">
      <c r="A19">
        <v>2038</v>
      </c>
      <c r="B19">
        <f t="shared" si="1"/>
        <v>0.26512142857142851</v>
      </c>
      <c r="C19">
        <f t="shared" si="2"/>
        <v>0.27056136857142832</v>
      </c>
      <c r="D19">
        <f t="shared" si="3"/>
        <v>0.16635824142857145</v>
      </c>
      <c r="E19">
        <f t="shared" si="4"/>
        <v>0.20561018142857154</v>
      </c>
      <c r="F19">
        <f t="shared" si="5"/>
        <v>7.5655967142857231E-2</v>
      </c>
    </row>
    <row r="20" spans="1:6">
      <c r="A20">
        <v>2039</v>
      </c>
      <c r="B20">
        <f t="shared" si="1"/>
        <v>0.25849339285714279</v>
      </c>
      <c r="C20">
        <f t="shared" si="2"/>
        <v>0.26379733435714259</v>
      </c>
      <c r="D20">
        <f t="shared" si="3"/>
        <v>0.16219928539285716</v>
      </c>
      <c r="E20">
        <f t="shared" si="4"/>
        <v>0.20046992689285725</v>
      </c>
      <c r="F20">
        <f t="shared" si="5"/>
        <v>7.3764567964285807E-2</v>
      </c>
    </row>
    <row r="21" spans="1:6">
      <c r="A21">
        <v>2040</v>
      </c>
      <c r="B21">
        <f t="shared" si="1"/>
        <v>0.25186535714285707</v>
      </c>
      <c r="C21">
        <f t="shared" si="2"/>
        <v>0.25703330014285686</v>
      </c>
      <c r="D21">
        <f t="shared" si="3"/>
        <v>0.15804032935714288</v>
      </c>
      <c r="E21">
        <f t="shared" si="4"/>
        <v>0.19532967235714296</v>
      </c>
      <c r="F21">
        <f t="shared" si="5"/>
        <v>7.1873168785714384E-2</v>
      </c>
    </row>
    <row r="22" spans="1:6">
      <c r="A22">
        <v>2041</v>
      </c>
      <c r="B22">
        <f t="shared" si="1"/>
        <v>0.24523732142857135</v>
      </c>
      <c r="C22">
        <f t="shared" si="2"/>
        <v>0.25026926592857113</v>
      </c>
      <c r="D22">
        <f t="shared" si="3"/>
        <v>0.15388137332142859</v>
      </c>
      <c r="E22">
        <f t="shared" si="4"/>
        <v>0.19018941782142867</v>
      </c>
      <c r="F22">
        <f t="shared" si="5"/>
        <v>6.998176960714296E-2</v>
      </c>
    </row>
    <row r="23" spans="1:6">
      <c r="A23">
        <v>2042</v>
      </c>
      <c r="B23">
        <f t="shared" si="1"/>
        <v>0.23860928571428563</v>
      </c>
      <c r="C23">
        <f t="shared" si="2"/>
        <v>0.24350523171428543</v>
      </c>
      <c r="D23">
        <f t="shared" si="3"/>
        <v>0.14972241728571431</v>
      </c>
      <c r="E23">
        <f t="shared" si="4"/>
        <v>0.18504916328571439</v>
      </c>
      <c r="F23">
        <f t="shared" si="5"/>
        <v>6.8090370428571537E-2</v>
      </c>
    </row>
    <row r="24" spans="1:6">
      <c r="A24">
        <v>2043</v>
      </c>
      <c r="B24">
        <f t="shared" si="1"/>
        <v>0.23198124999999992</v>
      </c>
      <c r="C24">
        <f t="shared" si="2"/>
        <v>0.23674119749999972</v>
      </c>
      <c r="D24">
        <f t="shared" si="3"/>
        <v>0.14556346125000003</v>
      </c>
      <c r="E24">
        <f t="shared" si="4"/>
        <v>0.1799089087500001</v>
      </c>
      <c r="F24">
        <f t="shared" si="5"/>
        <v>6.6198971250000113E-2</v>
      </c>
    </row>
    <row r="25" spans="1:6">
      <c r="A25">
        <v>2044</v>
      </c>
      <c r="B25">
        <f t="shared" si="1"/>
        <v>0.2253532142857142</v>
      </c>
      <c r="C25">
        <f t="shared" si="2"/>
        <v>0.22997716328571402</v>
      </c>
      <c r="D25">
        <f t="shared" si="3"/>
        <v>0.14140450521428574</v>
      </c>
      <c r="E25">
        <f t="shared" si="4"/>
        <v>0.17476865421428581</v>
      </c>
      <c r="F25">
        <f t="shared" si="5"/>
        <v>6.430757207142869E-2</v>
      </c>
    </row>
    <row r="26" spans="1:6">
      <c r="A26">
        <v>2045</v>
      </c>
      <c r="B26">
        <f t="shared" si="1"/>
        <v>0.21872517857142848</v>
      </c>
      <c r="C26">
        <f t="shared" si="2"/>
        <v>0.22321312907142832</v>
      </c>
      <c r="D26">
        <f t="shared" si="3"/>
        <v>0.13724554917857146</v>
      </c>
      <c r="E26">
        <f t="shared" si="4"/>
        <v>0.16962839967857152</v>
      </c>
      <c r="F26">
        <f t="shared" si="5"/>
        <v>6.2416172892857259E-2</v>
      </c>
    </row>
    <row r="27" spans="1:6">
      <c r="A27">
        <v>2046</v>
      </c>
      <c r="B27">
        <f t="shared" si="1"/>
        <v>0.21209714285714276</v>
      </c>
      <c r="C27">
        <f t="shared" si="2"/>
        <v>0.21644909485714262</v>
      </c>
      <c r="D27">
        <f t="shared" si="3"/>
        <v>0.13308659314285717</v>
      </c>
      <c r="E27">
        <f t="shared" si="4"/>
        <v>0.16448814514285723</v>
      </c>
      <c r="F27">
        <f t="shared" si="5"/>
        <v>6.0524773714285829E-2</v>
      </c>
    </row>
    <row r="28" spans="1:6">
      <c r="A28">
        <v>2047</v>
      </c>
      <c r="B28">
        <f t="shared" si="1"/>
        <v>0.20546910714285704</v>
      </c>
      <c r="C28">
        <f t="shared" si="2"/>
        <v>0.20968506064285691</v>
      </c>
      <c r="D28">
        <f t="shared" si="3"/>
        <v>0.12892763710714289</v>
      </c>
      <c r="E28">
        <f t="shared" si="4"/>
        <v>0.15934789060714294</v>
      </c>
      <c r="F28">
        <f t="shared" si="5"/>
        <v>5.8633374535714398E-2</v>
      </c>
    </row>
    <row r="29" spans="1:6">
      <c r="A29">
        <v>2048</v>
      </c>
      <c r="B29">
        <f t="shared" si="1"/>
        <v>0.19884107142857133</v>
      </c>
      <c r="C29">
        <f t="shared" si="2"/>
        <v>0.20292102642857121</v>
      </c>
      <c r="D29">
        <f t="shared" si="3"/>
        <v>0.12476868107142861</v>
      </c>
      <c r="E29">
        <f t="shared" si="4"/>
        <v>0.15420763607142865</v>
      </c>
      <c r="F29">
        <f t="shared" si="5"/>
        <v>5.6741975357142968E-2</v>
      </c>
    </row>
    <row r="30" spans="1:6">
      <c r="A30">
        <v>2049</v>
      </c>
      <c r="B30">
        <f t="shared" si="1"/>
        <v>0.19221303571428561</v>
      </c>
      <c r="C30">
        <f t="shared" si="2"/>
        <v>0.19615699221428551</v>
      </c>
      <c r="D30">
        <f t="shared" si="3"/>
        <v>0.12060972503571432</v>
      </c>
      <c r="E30">
        <f t="shared" si="4"/>
        <v>0.14906738153571436</v>
      </c>
      <c r="F30">
        <f t="shared" si="5"/>
        <v>5.4850576178571538E-2</v>
      </c>
    </row>
    <row r="31" spans="1:6">
      <c r="A31">
        <v>2050</v>
      </c>
      <c r="B31">
        <f t="shared" si="1"/>
        <v>0.18558499999999989</v>
      </c>
      <c r="C31">
        <f t="shared" si="2"/>
        <v>0.18939295799999981</v>
      </c>
      <c r="D31">
        <f t="shared" si="3"/>
        <v>0.11645076900000004</v>
      </c>
      <c r="E31">
        <f t="shared" si="4"/>
        <v>0.14392712700000007</v>
      </c>
      <c r="F31">
        <f t="shared" si="5"/>
        <v>5.2959177000000107E-2</v>
      </c>
    </row>
    <row r="32" spans="1:6">
      <c r="A32">
        <v>2051</v>
      </c>
      <c r="B32">
        <f>B31</f>
        <v>0.18558499999999989</v>
      </c>
      <c r="C32">
        <f>C31</f>
        <v>0.18939295799999981</v>
      </c>
      <c r="D32">
        <f>D31</f>
        <v>0.11645076900000004</v>
      </c>
      <c r="E32">
        <f t="shared" ref="E32:F47" si="6">E31</f>
        <v>0.14392712700000007</v>
      </c>
      <c r="F32">
        <f t="shared" si="6"/>
        <v>5.2959177000000107E-2</v>
      </c>
    </row>
    <row r="33" spans="1:6">
      <c r="A33">
        <v>2052</v>
      </c>
      <c r="B33">
        <f t="shared" ref="B33:F48" si="7">B32</f>
        <v>0.18558499999999989</v>
      </c>
      <c r="C33">
        <f t="shared" si="7"/>
        <v>0.18939295799999981</v>
      </c>
      <c r="D33">
        <f t="shared" si="7"/>
        <v>0.11645076900000004</v>
      </c>
      <c r="E33">
        <f t="shared" si="6"/>
        <v>0.14392712700000007</v>
      </c>
      <c r="F33">
        <f t="shared" si="6"/>
        <v>5.2959177000000107E-2</v>
      </c>
    </row>
    <row r="34" spans="1:6">
      <c r="A34">
        <v>2053</v>
      </c>
      <c r="B34">
        <f t="shared" si="7"/>
        <v>0.18558499999999989</v>
      </c>
      <c r="C34">
        <f t="shared" si="7"/>
        <v>0.18939295799999981</v>
      </c>
      <c r="D34">
        <f t="shared" si="7"/>
        <v>0.11645076900000004</v>
      </c>
      <c r="E34">
        <f t="shared" si="6"/>
        <v>0.14392712700000007</v>
      </c>
      <c r="F34">
        <f t="shared" si="6"/>
        <v>5.2959177000000107E-2</v>
      </c>
    </row>
    <row r="35" spans="1:6">
      <c r="A35">
        <v>2054</v>
      </c>
      <c r="B35">
        <f t="shared" si="7"/>
        <v>0.18558499999999989</v>
      </c>
      <c r="C35">
        <f t="shared" si="7"/>
        <v>0.18939295799999981</v>
      </c>
      <c r="D35">
        <f t="shared" si="7"/>
        <v>0.11645076900000004</v>
      </c>
      <c r="E35">
        <f t="shared" si="6"/>
        <v>0.14392712700000007</v>
      </c>
      <c r="F35">
        <f t="shared" si="6"/>
        <v>5.2959177000000107E-2</v>
      </c>
    </row>
    <row r="36" spans="1:6">
      <c r="A36">
        <v>2055</v>
      </c>
      <c r="B36">
        <f t="shared" si="7"/>
        <v>0.18558499999999989</v>
      </c>
      <c r="C36">
        <f t="shared" si="7"/>
        <v>0.18939295799999981</v>
      </c>
      <c r="D36">
        <f t="shared" si="7"/>
        <v>0.11645076900000004</v>
      </c>
      <c r="E36">
        <f t="shared" si="6"/>
        <v>0.14392712700000007</v>
      </c>
      <c r="F36">
        <f t="shared" si="6"/>
        <v>5.2959177000000107E-2</v>
      </c>
    </row>
    <row r="37" spans="1:6">
      <c r="A37">
        <v>2056</v>
      </c>
      <c r="B37">
        <f t="shared" si="7"/>
        <v>0.18558499999999989</v>
      </c>
      <c r="C37">
        <f t="shared" si="7"/>
        <v>0.18939295799999981</v>
      </c>
      <c r="D37">
        <f t="shared" si="7"/>
        <v>0.11645076900000004</v>
      </c>
      <c r="E37">
        <f t="shared" si="6"/>
        <v>0.14392712700000007</v>
      </c>
      <c r="F37">
        <f t="shared" si="6"/>
        <v>5.2959177000000107E-2</v>
      </c>
    </row>
    <row r="38" spans="1:6">
      <c r="A38">
        <v>2057</v>
      </c>
      <c r="B38">
        <f t="shared" si="7"/>
        <v>0.18558499999999989</v>
      </c>
      <c r="C38">
        <f t="shared" si="7"/>
        <v>0.18939295799999981</v>
      </c>
      <c r="D38">
        <f t="shared" si="7"/>
        <v>0.11645076900000004</v>
      </c>
      <c r="E38">
        <f t="shared" si="6"/>
        <v>0.14392712700000007</v>
      </c>
      <c r="F38">
        <f t="shared" si="6"/>
        <v>5.2959177000000107E-2</v>
      </c>
    </row>
    <row r="39" spans="1:6">
      <c r="A39">
        <v>2058</v>
      </c>
      <c r="B39">
        <f t="shared" si="7"/>
        <v>0.18558499999999989</v>
      </c>
      <c r="C39">
        <f t="shared" si="7"/>
        <v>0.18939295799999981</v>
      </c>
      <c r="D39">
        <f t="shared" si="7"/>
        <v>0.11645076900000004</v>
      </c>
      <c r="E39">
        <f t="shared" si="6"/>
        <v>0.14392712700000007</v>
      </c>
      <c r="F39">
        <f t="shared" si="6"/>
        <v>5.2959177000000107E-2</v>
      </c>
    </row>
    <row r="40" spans="1:6">
      <c r="A40">
        <v>2059</v>
      </c>
      <c r="B40">
        <f t="shared" si="7"/>
        <v>0.18558499999999989</v>
      </c>
      <c r="C40">
        <f t="shared" si="7"/>
        <v>0.18939295799999981</v>
      </c>
      <c r="D40">
        <f t="shared" si="7"/>
        <v>0.11645076900000004</v>
      </c>
      <c r="E40">
        <f t="shared" si="6"/>
        <v>0.14392712700000007</v>
      </c>
      <c r="F40">
        <f t="shared" si="6"/>
        <v>5.2959177000000107E-2</v>
      </c>
    </row>
    <row r="41" spans="1:6">
      <c r="A41">
        <v>2060</v>
      </c>
      <c r="B41">
        <f t="shared" si="7"/>
        <v>0.18558499999999989</v>
      </c>
      <c r="C41">
        <f t="shared" si="7"/>
        <v>0.18939295799999981</v>
      </c>
      <c r="D41">
        <f t="shared" si="7"/>
        <v>0.11645076900000004</v>
      </c>
      <c r="E41">
        <f t="shared" si="6"/>
        <v>0.14392712700000007</v>
      </c>
      <c r="F41">
        <f t="shared" si="6"/>
        <v>5.2959177000000107E-2</v>
      </c>
    </row>
    <row r="42" spans="1:6">
      <c r="A42">
        <v>2061</v>
      </c>
      <c r="B42">
        <f t="shared" si="7"/>
        <v>0.18558499999999989</v>
      </c>
      <c r="C42">
        <f t="shared" si="7"/>
        <v>0.18939295799999981</v>
      </c>
      <c r="D42">
        <f t="shared" si="7"/>
        <v>0.11645076900000004</v>
      </c>
      <c r="E42">
        <f t="shared" si="6"/>
        <v>0.14392712700000007</v>
      </c>
      <c r="F42">
        <f t="shared" si="6"/>
        <v>5.2959177000000107E-2</v>
      </c>
    </row>
    <row r="43" spans="1:6">
      <c r="A43">
        <v>2062</v>
      </c>
      <c r="B43">
        <f t="shared" si="7"/>
        <v>0.18558499999999989</v>
      </c>
      <c r="C43">
        <f t="shared" si="7"/>
        <v>0.18939295799999981</v>
      </c>
      <c r="D43">
        <f t="shared" si="7"/>
        <v>0.11645076900000004</v>
      </c>
      <c r="E43">
        <f t="shared" si="6"/>
        <v>0.14392712700000007</v>
      </c>
      <c r="F43">
        <f t="shared" si="6"/>
        <v>5.2959177000000107E-2</v>
      </c>
    </row>
    <row r="44" spans="1:6">
      <c r="A44">
        <v>2063</v>
      </c>
      <c r="B44">
        <f t="shared" si="7"/>
        <v>0.18558499999999989</v>
      </c>
      <c r="C44">
        <f t="shared" si="7"/>
        <v>0.18939295799999981</v>
      </c>
      <c r="D44">
        <f t="shared" si="7"/>
        <v>0.11645076900000004</v>
      </c>
      <c r="E44">
        <f t="shared" si="6"/>
        <v>0.14392712700000007</v>
      </c>
      <c r="F44">
        <f t="shared" si="6"/>
        <v>5.2959177000000107E-2</v>
      </c>
    </row>
    <row r="45" spans="1:6">
      <c r="A45">
        <v>2064</v>
      </c>
      <c r="B45">
        <f t="shared" si="7"/>
        <v>0.18558499999999989</v>
      </c>
      <c r="C45">
        <f t="shared" si="7"/>
        <v>0.18939295799999981</v>
      </c>
      <c r="D45">
        <f t="shared" si="7"/>
        <v>0.11645076900000004</v>
      </c>
      <c r="E45">
        <f t="shared" si="6"/>
        <v>0.14392712700000007</v>
      </c>
      <c r="F45">
        <f t="shared" si="6"/>
        <v>5.2959177000000107E-2</v>
      </c>
    </row>
    <row r="46" spans="1:6">
      <c r="A46">
        <v>2065</v>
      </c>
      <c r="B46">
        <f t="shared" si="7"/>
        <v>0.18558499999999989</v>
      </c>
      <c r="C46">
        <f t="shared" si="7"/>
        <v>0.18939295799999981</v>
      </c>
      <c r="D46">
        <f t="shared" si="7"/>
        <v>0.11645076900000004</v>
      </c>
      <c r="E46">
        <f t="shared" si="6"/>
        <v>0.14392712700000007</v>
      </c>
      <c r="F46">
        <f t="shared" si="6"/>
        <v>5.2959177000000107E-2</v>
      </c>
    </row>
    <row r="47" spans="1:6">
      <c r="A47">
        <v>2066</v>
      </c>
      <c r="B47">
        <f t="shared" si="7"/>
        <v>0.18558499999999989</v>
      </c>
      <c r="C47">
        <f t="shared" si="7"/>
        <v>0.18939295799999981</v>
      </c>
      <c r="D47">
        <f t="shared" si="7"/>
        <v>0.11645076900000004</v>
      </c>
      <c r="E47">
        <f t="shared" si="6"/>
        <v>0.14392712700000007</v>
      </c>
      <c r="F47">
        <f t="shared" si="6"/>
        <v>5.2959177000000107E-2</v>
      </c>
    </row>
    <row r="48" spans="1:6">
      <c r="A48">
        <v>2067</v>
      </c>
      <c r="B48">
        <f t="shared" si="7"/>
        <v>0.18558499999999989</v>
      </c>
      <c r="C48">
        <f t="shared" si="7"/>
        <v>0.18939295799999981</v>
      </c>
      <c r="D48">
        <f t="shared" si="7"/>
        <v>0.11645076900000004</v>
      </c>
      <c r="E48">
        <f t="shared" si="7"/>
        <v>0.14392712700000007</v>
      </c>
      <c r="F48">
        <f t="shared" si="7"/>
        <v>5.2959177000000107E-2</v>
      </c>
    </row>
    <row r="49" spans="1:6">
      <c r="A49">
        <v>2068</v>
      </c>
      <c r="B49">
        <f t="shared" ref="B49:F63" si="8">B48</f>
        <v>0.18558499999999989</v>
      </c>
      <c r="C49">
        <f t="shared" si="8"/>
        <v>0.18939295799999981</v>
      </c>
      <c r="D49">
        <f t="shared" si="8"/>
        <v>0.11645076900000004</v>
      </c>
      <c r="E49">
        <f t="shared" si="8"/>
        <v>0.14392712700000007</v>
      </c>
      <c r="F49">
        <f t="shared" si="8"/>
        <v>5.2959177000000107E-2</v>
      </c>
    </row>
    <row r="50" spans="1:6">
      <c r="A50">
        <v>2069</v>
      </c>
      <c r="B50">
        <f t="shared" si="8"/>
        <v>0.18558499999999989</v>
      </c>
      <c r="C50">
        <f t="shared" si="8"/>
        <v>0.18939295799999981</v>
      </c>
      <c r="D50">
        <f t="shared" si="8"/>
        <v>0.11645076900000004</v>
      </c>
      <c r="E50">
        <f t="shared" si="8"/>
        <v>0.14392712700000007</v>
      </c>
      <c r="F50">
        <f t="shared" si="8"/>
        <v>5.2959177000000107E-2</v>
      </c>
    </row>
    <row r="51" spans="1:6">
      <c r="A51">
        <v>2070</v>
      </c>
      <c r="B51">
        <f t="shared" si="8"/>
        <v>0.18558499999999989</v>
      </c>
      <c r="C51">
        <f t="shared" si="8"/>
        <v>0.18939295799999981</v>
      </c>
      <c r="D51">
        <f t="shared" si="8"/>
        <v>0.11645076900000004</v>
      </c>
      <c r="E51">
        <f t="shared" si="8"/>
        <v>0.14392712700000007</v>
      </c>
      <c r="F51">
        <f t="shared" si="8"/>
        <v>5.2959177000000107E-2</v>
      </c>
    </row>
    <row r="52" spans="1:6">
      <c r="A52">
        <v>2071</v>
      </c>
      <c r="B52">
        <f t="shared" si="8"/>
        <v>0.18558499999999989</v>
      </c>
      <c r="C52">
        <f t="shared" si="8"/>
        <v>0.18939295799999981</v>
      </c>
      <c r="D52">
        <f t="shared" si="8"/>
        <v>0.11645076900000004</v>
      </c>
      <c r="E52">
        <f t="shared" si="8"/>
        <v>0.14392712700000007</v>
      </c>
      <c r="F52">
        <f t="shared" si="8"/>
        <v>5.2959177000000107E-2</v>
      </c>
    </row>
    <row r="53" spans="1:6">
      <c r="A53">
        <v>2072</v>
      </c>
      <c r="B53">
        <f t="shared" si="8"/>
        <v>0.18558499999999989</v>
      </c>
      <c r="C53">
        <f t="shared" si="8"/>
        <v>0.18939295799999981</v>
      </c>
      <c r="D53">
        <f t="shared" si="8"/>
        <v>0.11645076900000004</v>
      </c>
      <c r="E53">
        <f t="shared" si="8"/>
        <v>0.14392712700000007</v>
      </c>
      <c r="F53">
        <f t="shared" si="8"/>
        <v>5.2959177000000107E-2</v>
      </c>
    </row>
    <row r="54" spans="1:6">
      <c r="A54">
        <v>2073</v>
      </c>
      <c r="B54">
        <f t="shared" si="8"/>
        <v>0.18558499999999989</v>
      </c>
      <c r="C54">
        <f t="shared" si="8"/>
        <v>0.18939295799999981</v>
      </c>
      <c r="D54">
        <f t="shared" si="8"/>
        <v>0.11645076900000004</v>
      </c>
      <c r="E54">
        <f t="shared" si="8"/>
        <v>0.14392712700000007</v>
      </c>
      <c r="F54">
        <f t="shared" si="8"/>
        <v>5.2959177000000107E-2</v>
      </c>
    </row>
    <row r="55" spans="1:6">
      <c r="A55">
        <v>2074</v>
      </c>
      <c r="B55">
        <f t="shared" si="8"/>
        <v>0.18558499999999989</v>
      </c>
      <c r="C55">
        <f t="shared" si="8"/>
        <v>0.18939295799999981</v>
      </c>
      <c r="D55">
        <f t="shared" si="8"/>
        <v>0.11645076900000004</v>
      </c>
      <c r="E55">
        <f t="shared" si="8"/>
        <v>0.14392712700000007</v>
      </c>
      <c r="F55">
        <f t="shared" si="8"/>
        <v>5.2959177000000107E-2</v>
      </c>
    </row>
    <row r="56" spans="1:6">
      <c r="A56">
        <v>2075</v>
      </c>
      <c r="B56">
        <f t="shared" si="8"/>
        <v>0.18558499999999989</v>
      </c>
      <c r="C56">
        <f t="shared" si="8"/>
        <v>0.18939295799999981</v>
      </c>
      <c r="D56">
        <f t="shared" si="8"/>
        <v>0.11645076900000004</v>
      </c>
      <c r="E56">
        <f t="shared" si="8"/>
        <v>0.14392712700000007</v>
      </c>
      <c r="F56">
        <f t="shared" si="8"/>
        <v>5.2959177000000107E-2</v>
      </c>
    </row>
    <row r="57" spans="1:6">
      <c r="A57">
        <v>2076</v>
      </c>
      <c r="B57">
        <f t="shared" si="8"/>
        <v>0.18558499999999989</v>
      </c>
      <c r="C57">
        <f t="shared" si="8"/>
        <v>0.18939295799999981</v>
      </c>
      <c r="D57">
        <f t="shared" si="8"/>
        <v>0.11645076900000004</v>
      </c>
      <c r="E57">
        <f t="shared" si="8"/>
        <v>0.14392712700000007</v>
      </c>
      <c r="F57">
        <f t="shared" si="8"/>
        <v>5.2959177000000107E-2</v>
      </c>
    </row>
    <row r="58" spans="1:6">
      <c r="A58">
        <v>2077</v>
      </c>
      <c r="B58">
        <f t="shared" si="8"/>
        <v>0.18558499999999989</v>
      </c>
      <c r="C58">
        <f t="shared" si="8"/>
        <v>0.18939295799999981</v>
      </c>
      <c r="D58">
        <f t="shared" si="8"/>
        <v>0.11645076900000004</v>
      </c>
      <c r="E58">
        <f t="shared" si="8"/>
        <v>0.14392712700000007</v>
      </c>
      <c r="F58">
        <f t="shared" si="8"/>
        <v>5.2959177000000107E-2</v>
      </c>
    </row>
    <row r="59" spans="1:6">
      <c r="A59">
        <v>2078</v>
      </c>
      <c r="B59">
        <f t="shared" si="8"/>
        <v>0.18558499999999989</v>
      </c>
      <c r="C59">
        <f t="shared" si="8"/>
        <v>0.18939295799999981</v>
      </c>
      <c r="D59">
        <f t="shared" si="8"/>
        <v>0.11645076900000004</v>
      </c>
      <c r="E59">
        <f t="shared" si="8"/>
        <v>0.14392712700000007</v>
      </c>
      <c r="F59">
        <f t="shared" si="8"/>
        <v>5.2959177000000107E-2</v>
      </c>
    </row>
    <row r="60" spans="1:6">
      <c r="A60">
        <v>2079</v>
      </c>
      <c r="B60">
        <f t="shared" si="8"/>
        <v>0.18558499999999989</v>
      </c>
      <c r="C60">
        <f t="shared" si="8"/>
        <v>0.18939295799999981</v>
      </c>
      <c r="D60">
        <f t="shared" si="8"/>
        <v>0.11645076900000004</v>
      </c>
      <c r="E60">
        <f t="shared" si="8"/>
        <v>0.14392712700000007</v>
      </c>
      <c r="F60">
        <f t="shared" si="8"/>
        <v>5.2959177000000107E-2</v>
      </c>
    </row>
    <row r="61" spans="1:6">
      <c r="A61">
        <v>2080</v>
      </c>
      <c r="B61">
        <f t="shared" si="8"/>
        <v>0.18558499999999989</v>
      </c>
      <c r="C61">
        <f t="shared" si="8"/>
        <v>0.18939295799999981</v>
      </c>
      <c r="D61">
        <f t="shared" si="8"/>
        <v>0.11645076900000004</v>
      </c>
      <c r="E61">
        <f t="shared" si="8"/>
        <v>0.14392712700000007</v>
      </c>
      <c r="F61">
        <f t="shared" si="8"/>
        <v>5.2959177000000107E-2</v>
      </c>
    </row>
    <row r="62" spans="1:6">
      <c r="A62">
        <v>2081</v>
      </c>
      <c r="B62">
        <f t="shared" si="8"/>
        <v>0.18558499999999989</v>
      </c>
      <c r="C62">
        <f t="shared" si="8"/>
        <v>0.18939295799999981</v>
      </c>
      <c r="D62">
        <f t="shared" si="8"/>
        <v>0.11645076900000004</v>
      </c>
      <c r="E62">
        <f t="shared" si="8"/>
        <v>0.14392712700000007</v>
      </c>
      <c r="F62">
        <f t="shared" si="8"/>
        <v>5.2959177000000107E-2</v>
      </c>
    </row>
    <row r="63" spans="1:6">
      <c r="A63">
        <v>2082</v>
      </c>
      <c r="B63">
        <f t="shared" si="8"/>
        <v>0.18558499999999989</v>
      </c>
      <c r="C63">
        <f t="shared" si="8"/>
        <v>0.18939295799999981</v>
      </c>
      <c r="D63">
        <f t="shared" si="8"/>
        <v>0.11645076900000004</v>
      </c>
      <c r="E63">
        <f t="shared" si="8"/>
        <v>0.14392712700000007</v>
      </c>
      <c r="F63">
        <f t="shared" si="8"/>
        <v>5.2959177000000107E-2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073F9-0460-4BEE-A326-B93E89BD7B78}">
  <dimension ref="A2:M63"/>
  <sheetViews>
    <sheetView topLeftCell="A55" workbookViewId="0">
      <selection activeCell="A2" sqref="A2:B63"/>
    </sheetView>
  </sheetViews>
  <sheetFormatPr defaultRowHeight="14.5"/>
  <cols>
    <col min="1" max="1" width="16.7265625" customWidth="1"/>
    <col min="2" max="2" width="23.36328125" customWidth="1"/>
    <col min="3" max="3" width="18.81640625" customWidth="1"/>
    <col min="6" max="6" width="11.1796875" customWidth="1"/>
    <col min="9" max="9" width="17.90625" customWidth="1"/>
    <col min="10" max="11" width="24.08984375" customWidth="1"/>
    <col min="12" max="12" width="15" customWidth="1"/>
    <col min="13" max="13" width="14.36328125" customWidth="1"/>
  </cols>
  <sheetData>
    <row r="2" spans="1:13">
      <c r="A2" t="s">
        <v>124</v>
      </c>
      <c r="B2" t="s">
        <v>125</v>
      </c>
      <c r="C2" s="1" t="s">
        <v>41</v>
      </c>
      <c r="D2" t="s">
        <v>42</v>
      </c>
      <c r="E2" t="s">
        <v>113</v>
      </c>
      <c r="F2" t="s">
        <v>38</v>
      </c>
      <c r="I2" t="s">
        <v>43</v>
      </c>
      <c r="J2" t="s">
        <v>127</v>
      </c>
      <c r="K2" t="s">
        <v>128</v>
      </c>
      <c r="L2" t="s">
        <v>129</v>
      </c>
      <c r="M2" t="s">
        <v>130</v>
      </c>
    </row>
    <row r="3" spans="1:13">
      <c r="A3">
        <v>2022</v>
      </c>
      <c r="B3">
        <f>K3</f>
        <v>0.37117</v>
      </c>
      <c r="C3">
        <f>K4</f>
        <v>0.378785916</v>
      </c>
      <c r="D3">
        <f>K5</f>
        <v>0.23290153799999999</v>
      </c>
      <c r="E3">
        <f>K6</f>
        <v>0.28785425399999998</v>
      </c>
      <c r="F3">
        <f>K7</f>
        <v>0.10591835400000001</v>
      </c>
      <c r="I3" t="s">
        <v>125</v>
      </c>
      <c r="J3">
        <v>1</v>
      </c>
      <c r="K3">
        <v>0.37117</v>
      </c>
      <c r="L3">
        <v>13</v>
      </c>
      <c r="M3">
        <f>J3*K3/L3</f>
        <v>2.8551538461538462E-2</v>
      </c>
    </row>
    <row r="4" spans="1:13">
      <c r="A4">
        <v>2023</v>
      </c>
      <c r="B4">
        <f>B3-$M$3</f>
        <v>0.34261846153846154</v>
      </c>
      <c r="C4">
        <f>C3-$M$4</f>
        <v>0.34964853784615385</v>
      </c>
      <c r="D4">
        <f>D3-$M$5</f>
        <v>0.21498603507692307</v>
      </c>
      <c r="E4">
        <f>E3-$M$6</f>
        <v>0.26571161907692303</v>
      </c>
      <c r="F4">
        <f>F3-$M$7</f>
        <v>9.7770788307692313E-2</v>
      </c>
      <c r="I4" s="16" t="s">
        <v>41</v>
      </c>
      <c r="J4">
        <v>1</v>
      </c>
      <c r="K4">
        <v>0.378785916</v>
      </c>
      <c r="L4">
        <v>13</v>
      </c>
      <c r="M4">
        <f t="shared" ref="M4:M7" si="0">J4*K4/L4</f>
        <v>2.9137378153846153E-2</v>
      </c>
    </row>
    <row r="5" spans="1:13">
      <c r="A5">
        <v>2024</v>
      </c>
      <c r="B5">
        <f t="shared" ref="B5:B16" si="1">B4-$M$3</f>
        <v>0.31406692307692308</v>
      </c>
      <c r="C5">
        <f t="shared" ref="C5:C15" si="2">C4-$M$4</f>
        <v>0.3205111596923077</v>
      </c>
      <c r="D5">
        <f t="shared" ref="D5:D16" si="3">D4-$M$5</f>
        <v>0.19707053215384615</v>
      </c>
      <c r="E5">
        <f t="shared" ref="E5:E15" si="4">E4-$M$6</f>
        <v>0.24356898415384612</v>
      </c>
      <c r="F5">
        <f t="shared" ref="F5:F16" si="5">F4-$M$7</f>
        <v>8.9623222615384621E-2</v>
      </c>
      <c r="I5" t="s">
        <v>42</v>
      </c>
      <c r="J5">
        <v>1</v>
      </c>
      <c r="K5">
        <v>0.23290153799999999</v>
      </c>
      <c r="L5">
        <v>13</v>
      </c>
      <c r="M5">
        <f t="shared" si="0"/>
        <v>1.7915502923076924E-2</v>
      </c>
    </row>
    <row r="6" spans="1:13">
      <c r="A6">
        <v>2025</v>
      </c>
      <c r="B6">
        <f t="shared" si="1"/>
        <v>0.28551538461538462</v>
      </c>
      <c r="C6">
        <f t="shared" si="2"/>
        <v>0.29137378153846155</v>
      </c>
      <c r="D6">
        <f t="shared" si="3"/>
        <v>0.17915502923076923</v>
      </c>
      <c r="E6">
        <f t="shared" si="4"/>
        <v>0.2214263492307692</v>
      </c>
      <c r="F6">
        <f t="shared" si="5"/>
        <v>8.1475656923076928E-2</v>
      </c>
      <c r="I6" t="s">
        <v>113</v>
      </c>
      <c r="J6">
        <v>1</v>
      </c>
      <c r="K6">
        <v>0.28785425399999998</v>
      </c>
      <c r="L6">
        <v>13</v>
      </c>
      <c r="M6">
        <f t="shared" si="0"/>
        <v>2.2142634923076922E-2</v>
      </c>
    </row>
    <row r="7" spans="1:13">
      <c r="A7">
        <v>2026</v>
      </c>
      <c r="B7">
        <f t="shared" si="1"/>
        <v>0.25696384615384615</v>
      </c>
      <c r="C7">
        <f t="shared" si="2"/>
        <v>0.2622364033846154</v>
      </c>
      <c r="D7">
        <f t="shared" si="3"/>
        <v>0.16123952630769231</v>
      </c>
      <c r="E7">
        <f t="shared" si="4"/>
        <v>0.19928371430769229</v>
      </c>
      <c r="F7">
        <f t="shared" si="5"/>
        <v>7.3328091230769235E-2</v>
      </c>
      <c r="I7" t="s">
        <v>38</v>
      </c>
      <c r="J7">
        <v>1</v>
      </c>
      <c r="K7">
        <v>0.10591835400000001</v>
      </c>
      <c r="L7">
        <v>13</v>
      </c>
      <c r="M7">
        <f t="shared" si="0"/>
        <v>8.1475656923076928E-3</v>
      </c>
    </row>
    <row r="8" spans="1:13">
      <c r="A8">
        <v>2027</v>
      </c>
      <c r="B8">
        <f t="shared" si="1"/>
        <v>0.22841230769230769</v>
      </c>
      <c r="C8">
        <f t="shared" si="2"/>
        <v>0.23309902523076925</v>
      </c>
      <c r="D8">
        <f t="shared" si="3"/>
        <v>0.14332402338461539</v>
      </c>
      <c r="E8">
        <f t="shared" si="4"/>
        <v>0.17714107938461537</v>
      </c>
      <c r="F8">
        <f t="shared" si="5"/>
        <v>6.5180525538461542E-2</v>
      </c>
    </row>
    <row r="9" spans="1:13">
      <c r="A9">
        <v>2028</v>
      </c>
      <c r="B9">
        <f t="shared" si="1"/>
        <v>0.19986076923076923</v>
      </c>
      <c r="C9">
        <f t="shared" si="2"/>
        <v>0.2039616470769231</v>
      </c>
      <c r="D9">
        <f t="shared" si="3"/>
        <v>0.12540852046153847</v>
      </c>
      <c r="E9">
        <f t="shared" si="4"/>
        <v>0.15499844446153846</v>
      </c>
      <c r="F9">
        <f t="shared" si="5"/>
        <v>5.703295984615385E-2</v>
      </c>
    </row>
    <row r="10" spans="1:13">
      <c r="A10">
        <v>2029</v>
      </c>
      <c r="B10">
        <f t="shared" si="1"/>
        <v>0.17130923076923077</v>
      </c>
      <c r="C10">
        <f t="shared" si="2"/>
        <v>0.17482426892307695</v>
      </c>
      <c r="D10">
        <f t="shared" si="3"/>
        <v>0.10749301753846155</v>
      </c>
      <c r="E10">
        <f t="shared" si="4"/>
        <v>0.13285580953846154</v>
      </c>
      <c r="F10">
        <f t="shared" si="5"/>
        <v>4.8885394153846157E-2</v>
      </c>
    </row>
    <row r="11" spans="1:13">
      <c r="A11">
        <v>2030</v>
      </c>
      <c r="B11">
        <f t="shared" si="1"/>
        <v>0.14275769230769231</v>
      </c>
      <c r="C11">
        <f t="shared" si="2"/>
        <v>0.1456868907692308</v>
      </c>
      <c r="D11">
        <f t="shared" si="3"/>
        <v>8.9577514615384629E-2</v>
      </c>
      <c r="E11">
        <f t="shared" si="4"/>
        <v>0.11071317461538463</v>
      </c>
      <c r="F11">
        <f t="shared" si="5"/>
        <v>4.0737828461538464E-2</v>
      </c>
    </row>
    <row r="12" spans="1:13">
      <c r="A12">
        <v>2031</v>
      </c>
      <c r="B12">
        <f t="shared" si="1"/>
        <v>0.11420615384615385</v>
      </c>
      <c r="C12">
        <f t="shared" si="2"/>
        <v>0.11654951261538465</v>
      </c>
      <c r="D12">
        <f t="shared" si="3"/>
        <v>7.1662011692307709E-2</v>
      </c>
      <c r="E12">
        <f t="shared" si="4"/>
        <v>8.8570539692307715E-2</v>
      </c>
      <c r="F12">
        <f t="shared" si="5"/>
        <v>3.2590262769230771E-2</v>
      </c>
    </row>
    <row r="13" spans="1:13">
      <c r="A13">
        <v>2032</v>
      </c>
      <c r="B13">
        <f t="shared" si="1"/>
        <v>8.5654615384615385E-2</v>
      </c>
      <c r="C13">
        <f t="shared" si="2"/>
        <v>8.7412134461538504E-2</v>
      </c>
      <c r="D13">
        <f t="shared" si="3"/>
        <v>5.3746508769230789E-2</v>
      </c>
      <c r="E13">
        <f t="shared" si="4"/>
        <v>6.64279047692308E-2</v>
      </c>
      <c r="F13">
        <f t="shared" si="5"/>
        <v>2.4442697076923078E-2</v>
      </c>
    </row>
    <row r="14" spans="1:13">
      <c r="A14">
        <v>2033</v>
      </c>
      <c r="B14">
        <f t="shared" si="1"/>
        <v>5.7103076923076923E-2</v>
      </c>
      <c r="C14">
        <f t="shared" si="2"/>
        <v>5.8274756307692355E-2</v>
      </c>
      <c r="D14">
        <f t="shared" si="3"/>
        <v>3.5831005846153868E-2</v>
      </c>
      <c r="E14">
        <f t="shared" si="4"/>
        <v>4.4285269846153878E-2</v>
      </c>
      <c r="F14">
        <f t="shared" si="5"/>
        <v>1.6295131384615386E-2</v>
      </c>
    </row>
    <row r="15" spans="1:13">
      <c r="A15">
        <v>2034</v>
      </c>
      <c r="B15">
        <f t="shared" si="1"/>
        <v>2.8551538461538462E-2</v>
      </c>
      <c r="C15">
        <f t="shared" si="2"/>
        <v>2.9137378153846202E-2</v>
      </c>
      <c r="D15">
        <f t="shared" si="3"/>
        <v>1.7915502923076945E-2</v>
      </c>
      <c r="E15">
        <f t="shared" si="4"/>
        <v>2.2142634923076956E-2</v>
      </c>
      <c r="F15">
        <f t="shared" si="5"/>
        <v>8.1475656923076928E-3</v>
      </c>
    </row>
    <row r="16" spans="1:13">
      <c r="A16">
        <v>2035</v>
      </c>
      <c r="B16">
        <f t="shared" si="1"/>
        <v>0</v>
      </c>
      <c r="C16">
        <v>0</v>
      </c>
      <c r="D16">
        <f t="shared" si="3"/>
        <v>0</v>
      </c>
      <c r="E16">
        <v>0</v>
      </c>
      <c r="F16">
        <f t="shared" si="5"/>
        <v>0</v>
      </c>
    </row>
    <row r="17" spans="1:6">
      <c r="A17">
        <v>2036</v>
      </c>
      <c r="B17">
        <f>B16</f>
        <v>0</v>
      </c>
      <c r="C17">
        <f t="shared" ref="C17:F17" si="6">C16</f>
        <v>0</v>
      </c>
      <c r="D17">
        <f t="shared" si="6"/>
        <v>0</v>
      </c>
      <c r="E17">
        <f t="shared" si="6"/>
        <v>0</v>
      </c>
      <c r="F17">
        <f t="shared" si="6"/>
        <v>0</v>
      </c>
    </row>
    <row r="18" spans="1:6">
      <c r="A18">
        <v>2037</v>
      </c>
      <c r="B18">
        <f t="shared" ref="B18:B63" si="7">B17</f>
        <v>0</v>
      </c>
      <c r="C18">
        <f t="shared" ref="C18:C63" si="8">C17</f>
        <v>0</v>
      </c>
      <c r="D18">
        <f t="shared" ref="D18:D63" si="9">D17</f>
        <v>0</v>
      </c>
      <c r="E18">
        <f t="shared" ref="E18:E63" si="10">E17</f>
        <v>0</v>
      </c>
      <c r="F18">
        <f t="shared" ref="F18:F63" si="11">F17</f>
        <v>0</v>
      </c>
    </row>
    <row r="19" spans="1:6">
      <c r="A19">
        <v>2038</v>
      </c>
      <c r="B19">
        <f t="shared" si="7"/>
        <v>0</v>
      </c>
      <c r="C19">
        <f t="shared" si="8"/>
        <v>0</v>
      </c>
      <c r="D19">
        <f t="shared" si="9"/>
        <v>0</v>
      </c>
      <c r="E19">
        <f t="shared" si="10"/>
        <v>0</v>
      </c>
      <c r="F19">
        <f t="shared" si="11"/>
        <v>0</v>
      </c>
    </row>
    <row r="20" spans="1:6">
      <c r="A20">
        <v>2039</v>
      </c>
      <c r="B20">
        <f t="shared" si="7"/>
        <v>0</v>
      </c>
      <c r="C20">
        <f t="shared" si="8"/>
        <v>0</v>
      </c>
      <c r="D20">
        <f t="shared" si="9"/>
        <v>0</v>
      </c>
      <c r="E20">
        <f t="shared" si="10"/>
        <v>0</v>
      </c>
      <c r="F20">
        <f t="shared" si="11"/>
        <v>0</v>
      </c>
    </row>
    <row r="21" spans="1:6">
      <c r="A21">
        <v>2040</v>
      </c>
      <c r="B21">
        <f t="shared" si="7"/>
        <v>0</v>
      </c>
      <c r="C21">
        <f t="shared" si="8"/>
        <v>0</v>
      </c>
      <c r="D21">
        <f t="shared" si="9"/>
        <v>0</v>
      </c>
      <c r="E21">
        <f t="shared" si="10"/>
        <v>0</v>
      </c>
      <c r="F21">
        <f t="shared" si="11"/>
        <v>0</v>
      </c>
    </row>
    <row r="22" spans="1:6">
      <c r="A22">
        <v>2041</v>
      </c>
      <c r="B22">
        <f t="shared" si="7"/>
        <v>0</v>
      </c>
      <c r="C22">
        <f t="shared" si="8"/>
        <v>0</v>
      </c>
      <c r="D22">
        <f t="shared" si="9"/>
        <v>0</v>
      </c>
      <c r="E22">
        <f t="shared" si="10"/>
        <v>0</v>
      </c>
      <c r="F22">
        <f t="shared" si="11"/>
        <v>0</v>
      </c>
    </row>
    <row r="23" spans="1:6">
      <c r="A23">
        <v>2042</v>
      </c>
      <c r="B23">
        <f t="shared" si="7"/>
        <v>0</v>
      </c>
      <c r="C23">
        <f t="shared" si="8"/>
        <v>0</v>
      </c>
      <c r="D23">
        <f t="shared" si="9"/>
        <v>0</v>
      </c>
      <c r="E23">
        <f t="shared" si="10"/>
        <v>0</v>
      </c>
      <c r="F23">
        <f t="shared" si="11"/>
        <v>0</v>
      </c>
    </row>
    <row r="24" spans="1:6">
      <c r="A24">
        <v>2043</v>
      </c>
      <c r="B24">
        <f t="shared" si="7"/>
        <v>0</v>
      </c>
      <c r="C24">
        <f t="shared" si="8"/>
        <v>0</v>
      </c>
      <c r="D24">
        <f t="shared" si="9"/>
        <v>0</v>
      </c>
      <c r="E24">
        <f t="shared" si="10"/>
        <v>0</v>
      </c>
      <c r="F24">
        <f t="shared" si="11"/>
        <v>0</v>
      </c>
    </row>
    <row r="25" spans="1:6">
      <c r="A25">
        <v>2044</v>
      </c>
      <c r="B25">
        <f t="shared" si="7"/>
        <v>0</v>
      </c>
      <c r="C25">
        <f t="shared" si="8"/>
        <v>0</v>
      </c>
      <c r="D25">
        <f t="shared" si="9"/>
        <v>0</v>
      </c>
      <c r="E25">
        <f t="shared" si="10"/>
        <v>0</v>
      </c>
      <c r="F25">
        <f t="shared" si="11"/>
        <v>0</v>
      </c>
    </row>
    <row r="26" spans="1:6">
      <c r="A26">
        <v>2045</v>
      </c>
      <c r="B26">
        <f t="shared" si="7"/>
        <v>0</v>
      </c>
      <c r="C26">
        <f t="shared" si="8"/>
        <v>0</v>
      </c>
      <c r="D26">
        <f t="shared" si="9"/>
        <v>0</v>
      </c>
      <c r="E26">
        <f t="shared" si="10"/>
        <v>0</v>
      </c>
      <c r="F26">
        <f t="shared" si="11"/>
        <v>0</v>
      </c>
    </row>
    <row r="27" spans="1:6">
      <c r="A27">
        <v>2046</v>
      </c>
      <c r="B27">
        <f t="shared" si="7"/>
        <v>0</v>
      </c>
      <c r="C27">
        <f t="shared" si="8"/>
        <v>0</v>
      </c>
      <c r="D27">
        <f t="shared" si="9"/>
        <v>0</v>
      </c>
      <c r="E27">
        <f t="shared" si="10"/>
        <v>0</v>
      </c>
      <c r="F27">
        <f t="shared" si="11"/>
        <v>0</v>
      </c>
    </row>
    <row r="28" spans="1:6">
      <c r="A28">
        <v>2047</v>
      </c>
      <c r="B28">
        <f t="shared" si="7"/>
        <v>0</v>
      </c>
      <c r="C28">
        <f t="shared" si="8"/>
        <v>0</v>
      </c>
      <c r="D28">
        <f t="shared" si="9"/>
        <v>0</v>
      </c>
      <c r="E28">
        <f t="shared" si="10"/>
        <v>0</v>
      </c>
      <c r="F28">
        <f t="shared" si="11"/>
        <v>0</v>
      </c>
    </row>
    <row r="29" spans="1:6">
      <c r="A29">
        <v>2048</v>
      </c>
      <c r="B29">
        <f t="shared" si="7"/>
        <v>0</v>
      </c>
      <c r="C29">
        <f t="shared" si="8"/>
        <v>0</v>
      </c>
      <c r="D29">
        <f t="shared" si="9"/>
        <v>0</v>
      </c>
      <c r="E29">
        <f t="shared" si="10"/>
        <v>0</v>
      </c>
      <c r="F29">
        <f t="shared" si="11"/>
        <v>0</v>
      </c>
    </row>
    <row r="30" spans="1:6">
      <c r="A30">
        <v>2049</v>
      </c>
      <c r="B30">
        <f t="shared" si="7"/>
        <v>0</v>
      </c>
      <c r="C30">
        <f t="shared" si="8"/>
        <v>0</v>
      </c>
      <c r="D30">
        <f t="shared" si="9"/>
        <v>0</v>
      </c>
      <c r="E30">
        <f t="shared" si="10"/>
        <v>0</v>
      </c>
      <c r="F30">
        <f t="shared" si="11"/>
        <v>0</v>
      </c>
    </row>
    <row r="31" spans="1:6">
      <c r="A31">
        <v>2050</v>
      </c>
      <c r="B31">
        <f t="shared" si="7"/>
        <v>0</v>
      </c>
      <c r="C31">
        <f t="shared" si="8"/>
        <v>0</v>
      </c>
      <c r="D31">
        <f t="shared" si="9"/>
        <v>0</v>
      </c>
      <c r="E31">
        <f t="shared" si="10"/>
        <v>0</v>
      </c>
      <c r="F31">
        <f t="shared" si="11"/>
        <v>0</v>
      </c>
    </row>
    <row r="32" spans="1:6">
      <c r="A32">
        <v>2051</v>
      </c>
      <c r="B32">
        <f t="shared" si="7"/>
        <v>0</v>
      </c>
      <c r="C32">
        <f t="shared" si="8"/>
        <v>0</v>
      </c>
      <c r="D32">
        <f t="shared" si="9"/>
        <v>0</v>
      </c>
      <c r="E32">
        <f t="shared" si="10"/>
        <v>0</v>
      </c>
      <c r="F32">
        <f t="shared" si="11"/>
        <v>0</v>
      </c>
    </row>
    <row r="33" spans="1:6">
      <c r="A33">
        <v>2052</v>
      </c>
      <c r="B33">
        <f t="shared" si="7"/>
        <v>0</v>
      </c>
      <c r="C33">
        <f t="shared" si="8"/>
        <v>0</v>
      </c>
      <c r="D33">
        <f t="shared" si="9"/>
        <v>0</v>
      </c>
      <c r="E33">
        <f t="shared" si="10"/>
        <v>0</v>
      </c>
      <c r="F33">
        <f t="shared" si="11"/>
        <v>0</v>
      </c>
    </row>
    <row r="34" spans="1:6">
      <c r="A34">
        <v>2053</v>
      </c>
      <c r="B34">
        <f t="shared" si="7"/>
        <v>0</v>
      </c>
      <c r="C34">
        <f t="shared" si="8"/>
        <v>0</v>
      </c>
      <c r="D34">
        <f t="shared" si="9"/>
        <v>0</v>
      </c>
      <c r="E34">
        <f t="shared" si="10"/>
        <v>0</v>
      </c>
      <c r="F34">
        <f t="shared" si="11"/>
        <v>0</v>
      </c>
    </row>
    <row r="35" spans="1:6">
      <c r="A35">
        <v>2054</v>
      </c>
      <c r="B35">
        <f t="shared" si="7"/>
        <v>0</v>
      </c>
      <c r="C35">
        <f t="shared" si="8"/>
        <v>0</v>
      </c>
      <c r="D35">
        <f t="shared" si="9"/>
        <v>0</v>
      </c>
      <c r="E35">
        <f t="shared" si="10"/>
        <v>0</v>
      </c>
      <c r="F35">
        <f t="shared" si="11"/>
        <v>0</v>
      </c>
    </row>
    <row r="36" spans="1:6">
      <c r="A36">
        <v>2055</v>
      </c>
      <c r="B36">
        <f t="shared" si="7"/>
        <v>0</v>
      </c>
      <c r="C36">
        <f t="shared" si="8"/>
        <v>0</v>
      </c>
      <c r="D36">
        <f t="shared" si="9"/>
        <v>0</v>
      </c>
      <c r="E36">
        <f t="shared" si="10"/>
        <v>0</v>
      </c>
      <c r="F36">
        <f t="shared" si="11"/>
        <v>0</v>
      </c>
    </row>
    <row r="37" spans="1:6">
      <c r="A37">
        <v>2056</v>
      </c>
      <c r="B37">
        <f t="shared" si="7"/>
        <v>0</v>
      </c>
      <c r="C37">
        <f t="shared" si="8"/>
        <v>0</v>
      </c>
      <c r="D37">
        <f t="shared" si="9"/>
        <v>0</v>
      </c>
      <c r="E37">
        <f t="shared" si="10"/>
        <v>0</v>
      </c>
      <c r="F37">
        <f t="shared" si="11"/>
        <v>0</v>
      </c>
    </row>
    <row r="38" spans="1:6">
      <c r="A38">
        <v>2057</v>
      </c>
      <c r="B38">
        <f t="shared" si="7"/>
        <v>0</v>
      </c>
      <c r="C38">
        <f t="shared" si="8"/>
        <v>0</v>
      </c>
      <c r="D38">
        <f t="shared" si="9"/>
        <v>0</v>
      </c>
      <c r="E38">
        <f t="shared" si="10"/>
        <v>0</v>
      </c>
      <c r="F38">
        <f t="shared" si="11"/>
        <v>0</v>
      </c>
    </row>
    <row r="39" spans="1:6">
      <c r="A39">
        <v>2058</v>
      </c>
      <c r="B39">
        <f t="shared" si="7"/>
        <v>0</v>
      </c>
      <c r="C39">
        <f t="shared" si="8"/>
        <v>0</v>
      </c>
      <c r="D39">
        <f t="shared" si="9"/>
        <v>0</v>
      </c>
      <c r="E39">
        <f t="shared" si="10"/>
        <v>0</v>
      </c>
      <c r="F39">
        <f t="shared" si="11"/>
        <v>0</v>
      </c>
    </row>
    <row r="40" spans="1:6">
      <c r="A40">
        <v>2059</v>
      </c>
      <c r="B40">
        <f t="shared" si="7"/>
        <v>0</v>
      </c>
      <c r="C40">
        <f t="shared" si="8"/>
        <v>0</v>
      </c>
      <c r="D40">
        <f t="shared" si="9"/>
        <v>0</v>
      </c>
      <c r="E40">
        <f t="shared" si="10"/>
        <v>0</v>
      </c>
      <c r="F40">
        <f t="shared" si="11"/>
        <v>0</v>
      </c>
    </row>
    <row r="41" spans="1:6">
      <c r="A41">
        <v>2060</v>
      </c>
      <c r="B41">
        <f t="shared" si="7"/>
        <v>0</v>
      </c>
      <c r="C41">
        <f t="shared" si="8"/>
        <v>0</v>
      </c>
      <c r="D41">
        <f t="shared" si="9"/>
        <v>0</v>
      </c>
      <c r="E41">
        <f t="shared" si="10"/>
        <v>0</v>
      </c>
      <c r="F41">
        <f t="shared" si="11"/>
        <v>0</v>
      </c>
    </row>
    <row r="42" spans="1:6">
      <c r="A42">
        <v>2061</v>
      </c>
      <c r="B42">
        <f t="shared" si="7"/>
        <v>0</v>
      </c>
      <c r="C42">
        <f t="shared" si="8"/>
        <v>0</v>
      </c>
      <c r="D42">
        <f t="shared" si="9"/>
        <v>0</v>
      </c>
      <c r="E42">
        <f t="shared" si="10"/>
        <v>0</v>
      </c>
      <c r="F42">
        <f t="shared" si="11"/>
        <v>0</v>
      </c>
    </row>
    <row r="43" spans="1:6">
      <c r="A43">
        <v>2062</v>
      </c>
      <c r="B43">
        <f t="shared" si="7"/>
        <v>0</v>
      </c>
      <c r="C43">
        <f t="shared" si="8"/>
        <v>0</v>
      </c>
      <c r="D43">
        <f t="shared" si="9"/>
        <v>0</v>
      </c>
      <c r="E43">
        <f t="shared" si="10"/>
        <v>0</v>
      </c>
      <c r="F43">
        <f t="shared" si="11"/>
        <v>0</v>
      </c>
    </row>
    <row r="44" spans="1:6">
      <c r="A44">
        <v>2063</v>
      </c>
      <c r="B44">
        <f t="shared" si="7"/>
        <v>0</v>
      </c>
      <c r="C44">
        <f t="shared" si="8"/>
        <v>0</v>
      </c>
      <c r="D44">
        <f t="shared" si="9"/>
        <v>0</v>
      </c>
      <c r="E44">
        <f t="shared" si="10"/>
        <v>0</v>
      </c>
      <c r="F44">
        <f t="shared" si="11"/>
        <v>0</v>
      </c>
    </row>
    <row r="45" spans="1:6">
      <c r="A45">
        <v>2064</v>
      </c>
      <c r="B45">
        <f t="shared" si="7"/>
        <v>0</v>
      </c>
      <c r="C45">
        <f t="shared" si="8"/>
        <v>0</v>
      </c>
      <c r="D45">
        <f t="shared" si="9"/>
        <v>0</v>
      </c>
      <c r="E45">
        <f t="shared" si="10"/>
        <v>0</v>
      </c>
      <c r="F45">
        <f t="shared" si="11"/>
        <v>0</v>
      </c>
    </row>
    <row r="46" spans="1:6">
      <c r="A46">
        <v>2065</v>
      </c>
      <c r="B46">
        <f t="shared" si="7"/>
        <v>0</v>
      </c>
      <c r="C46">
        <f t="shared" si="8"/>
        <v>0</v>
      </c>
      <c r="D46">
        <f t="shared" si="9"/>
        <v>0</v>
      </c>
      <c r="E46">
        <f t="shared" si="10"/>
        <v>0</v>
      </c>
      <c r="F46">
        <f t="shared" si="11"/>
        <v>0</v>
      </c>
    </row>
    <row r="47" spans="1:6">
      <c r="A47">
        <v>2066</v>
      </c>
      <c r="B47">
        <f t="shared" si="7"/>
        <v>0</v>
      </c>
      <c r="C47">
        <f t="shared" si="8"/>
        <v>0</v>
      </c>
      <c r="D47">
        <f t="shared" si="9"/>
        <v>0</v>
      </c>
      <c r="E47">
        <f t="shared" si="10"/>
        <v>0</v>
      </c>
      <c r="F47">
        <f t="shared" si="11"/>
        <v>0</v>
      </c>
    </row>
    <row r="48" spans="1:6">
      <c r="A48">
        <v>2067</v>
      </c>
      <c r="B48">
        <f t="shared" si="7"/>
        <v>0</v>
      </c>
      <c r="C48">
        <f t="shared" si="8"/>
        <v>0</v>
      </c>
      <c r="D48">
        <f t="shared" si="9"/>
        <v>0</v>
      </c>
      <c r="E48">
        <f t="shared" si="10"/>
        <v>0</v>
      </c>
      <c r="F48">
        <f t="shared" si="11"/>
        <v>0</v>
      </c>
    </row>
    <row r="49" spans="1:6">
      <c r="A49">
        <v>2068</v>
      </c>
      <c r="B49">
        <f t="shared" si="7"/>
        <v>0</v>
      </c>
      <c r="C49">
        <f t="shared" si="8"/>
        <v>0</v>
      </c>
      <c r="D49">
        <f t="shared" si="9"/>
        <v>0</v>
      </c>
      <c r="E49">
        <f t="shared" si="10"/>
        <v>0</v>
      </c>
      <c r="F49">
        <f t="shared" si="11"/>
        <v>0</v>
      </c>
    </row>
    <row r="50" spans="1:6">
      <c r="A50">
        <v>2069</v>
      </c>
      <c r="B50">
        <f t="shared" si="7"/>
        <v>0</v>
      </c>
      <c r="C50">
        <f t="shared" si="8"/>
        <v>0</v>
      </c>
      <c r="D50">
        <f t="shared" si="9"/>
        <v>0</v>
      </c>
      <c r="E50">
        <f t="shared" si="10"/>
        <v>0</v>
      </c>
      <c r="F50">
        <f t="shared" si="11"/>
        <v>0</v>
      </c>
    </row>
    <row r="51" spans="1:6">
      <c r="A51">
        <v>2070</v>
      </c>
      <c r="B51">
        <f t="shared" si="7"/>
        <v>0</v>
      </c>
      <c r="C51">
        <f t="shared" si="8"/>
        <v>0</v>
      </c>
      <c r="D51">
        <f t="shared" si="9"/>
        <v>0</v>
      </c>
      <c r="E51">
        <f t="shared" si="10"/>
        <v>0</v>
      </c>
      <c r="F51">
        <f t="shared" si="11"/>
        <v>0</v>
      </c>
    </row>
    <row r="52" spans="1:6">
      <c r="A52">
        <v>2071</v>
      </c>
      <c r="B52">
        <f t="shared" si="7"/>
        <v>0</v>
      </c>
      <c r="C52">
        <f t="shared" si="8"/>
        <v>0</v>
      </c>
      <c r="D52">
        <f t="shared" si="9"/>
        <v>0</v>
      </c>
      <c r="E52">
        <f t="shared" si="10"/>
        <v>0</v>
      </c>
      <c r="F52">
        <f t="shared" si="11"/>
        <v>0</v>
      </c>
    </row>
    <row r="53" spans="1:6">
      <c r="A53">
        <v>2072</v>
      </c>
      <c r="B53">
        <f t="shared" si="7"/>
        <v>0</v>
      </c>
      <c r="C53">
        <f t="shared" si="8"/>
        <v>0</v>
      </c>
      <c r="D53">
        <f t="shared" si="9"/>
        <v>0</v>
      </c>
      <c r="E53">
        <f t="shared" si="10"/>
        <v>0</v>
      </c>
      <c r="F53">
        <f t="shared" si="11"/>
        <v>0</v>
      </c>
    </row>
    <row r="54" spans="1:6">
      <c r="A54">
        <v>2073</v>
      </c>
      <c r="B54">
        <f t="shared" si="7"/>
        <v>0</v>
      </c>
      <c r="C54">
        <f t="shared" si="8"/>
        <v>0</v>
      </c>
      <c r="D54">
        <f t="shared" si="9"/>
        <v>0</v>
      </c>
      <c r="E54">
        <f t="shared" si="10"/>
        <v>0</v>
      </c>
      <c r="F54">
        <f t="shared" si="11"/>
        <v>0</v>
      </c>
    </row>
    <row r="55" spans="1:6">
      <c r="A55">
        <v>2074</v>
      </c>
      <c r="B55">
        <f t="shared" si="7"/>
        <v>0</v>
      </c>
      <c r="C55">
        <f t="shared" si="8"/>
        <v>0</v>
      </c>
      <c r="D55">
        <f t="shared" si="9"/>
        <v>0</v>
      </c>
      <c r="E55">
        <f t="shared" si="10"/>
        <v>0</v>
      </c>
      <c r="F55">
        <f t="shared" si="11"/>
        <v>0</v>
      </c>
    </row>
    <row r="56" spans="1:6">
      <c r="A56">
        <v>2075</v>
      </c>
      <c r="B56">
        <f t="shared" si="7"/>
        <v>0</v>
      </c>
      <c r="C56">
        <f t="shared" si="8"/>
        <v>0</v>
      </c>
      <c r="D56">
        <f t="shared" si="9"/>
        <v>0</v>
      </c>
      <c r="E56">
        <f t="shared" si="10"/>
        <v>0</v>
      </c>
      <c r="F56">
        <f t="shared" si="11"/>
        <v>0</v>
      </c>
    </row>
    <row r="57" spans="1:6">
      <c r="A57">
        <v>2076</v>
      </c>
      <c r="B57">
        <f t="shared" si="7"/>
        <v>0</v>
      </c>
      <c r="C57">
        <f t="shared" si="8"/>
        <v>0</v>
      </c>
      <c r="D57">
        <f t="shared" si="9"/>
        <v>0</v>
      </c>
      <c r="E57">
        <f t="shared" si="10"/>
        <v>0</v>
      </c>
      <c r="F57">
        <f t="shared" si="11"/>
        <v>0</v>
      </c>
    </row>
    <row r="58" spans="1:6">
      <c r="A58">
        <v>2077</v>
      </c>
      <c r="B58">
        <f t="shared" si="7"/>
        <v>0</v>
      </c>
      <c r="C58">
        <f t="shared" si="8"/>
        <v>0</v>
      </c>
      <c r="D58">
        <f t="shared" si="9"/>
        <v>0</v>
      </c>
      <c r="E58">
        <f t="shared" si="10"/>
        <v>0</v>
      </c>
      <c r="F58">
        <f t="shared" si="11"/>
        <v>0</v>
      </c>
    </row>
    <row r="59" spans="1:6">
      <c r="A59">
        <v>2078</v>
      </c>
      <c r="B59">
        <f t="shared" si="7"/>
        <v>0</v>
      </c>
      <c r="C59">
        <f t="shared" si="8"/>
        <v>0</v>
      </c>
      <c r="D59">
        <f t="shared" si="9"/>
        <v>0</v>
      </c>
      <c r="E59">
        <f t="shared" si="10"/>
        <v>0</v>
      </c>
      <c r="F59">
        <f t="shared" si="11"/>
        <v>0</v>
      </c>
    </row>
    <row r="60" spans="1:6">
      <c r="A60">
        <v>2079</v>
      </c>
      <c r="B60">
        <f t="shared" si="7"/>
        <v>0</v>
      </c>
      <c r="C60">
        <f t="shared" si="8"/>
        <v>0</v>
      </c>
      <c r="D60">
        <f t="shared" si="9"/>
        <v>0</v>
      </c>
      <c r="E60">
        <f t="shared" si="10"/>
        <v>0</v>
      </c>
      <c r="F60">
        <f t="shared" si="11"/>
        <v>0</v>
      </c>
    </row>
    <row r="61" spans="1:6">
      <c r="A61">
        <v>2080</v>
      </c>
      <c r="B61">
        <f t="shared" si="7"/>
        <v>0</v>
      </c>
      <c r="C61">
        <f t="shared" si="8"/>
        <v>0</v>
      </c>
      <c r="D61">
        <f t="shared" si="9"/>
        <v>0</v>
      </c>
      <c r="E61">
        <f t="shared" si="10"/>
        <v>0</v>
      </c>
      <c r="F61">
        <f t="shared" si="11"/>
        <v>0</v>
      </c>
    </row>
    <row r="62" spans="1:6">
      <c r="A62">
        <v>2081</v>
      </c>
      <c r="B62">
        <f t="shared" si="7"/>
        <v>0</v>
      </c>
      <c r="C62">
        <f t="shared" si="8"/>
        <v>0</v>
      </c>
      <c r="D62">
        <f t="shared" si="9"/>
        <v>0</v>
      </c>
      <c r="E62">
        <f t="shared" si="10"/>
        <v>0</v>
      </c>
      <c r="F62">
        <f t="shared" si="11"/>
        <v>0</v>
      </c>
    </row>
    <row r="63" spans="1:6">
      <c r="A63">
        <v>2082</v>
      </c>
      <c r="B63">
        <f t="shared" si="7"/>
        <v>0</v>
      </c>
      <c r="C63">
        <f t="shared" si="8"/>
        <v>0</v>
      </c>
      <c r="D63">
        <f t="shared" si="9"/>
        <v>0</v>
      </c>
      <c r="E63">
        <f t="shared" si="10"/>
        <v>0</v>
      </c>
      <c r="F63">
        <f t="shared" si="11"/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FE46-59ED-4599-BD22-7713BDA10D2A}">
  <dimension ref="A2:M63"/>
  <sheetViews>
    <sheetView workbookViewId="0">
      <selection activeCell="A2" sqref="A2:B63"/>
    </sheetView>
  </sheetViews>
  <sheetFormatPr defaultRowHeight="14.5"/>
  <cols>
    <col min="1" max="1" width="16.7265625" customWidth="1"/>
    <col min="2" max="2" width="23.36328125" customWidth="1"/>
    <col min="3" max="3" width="18.81640625" customWidth="1"/>
    <col min="6" max="6" width="11.1796875" customWidth="1"/>
    <col min="9" max="9" width="17.90625" customWidth="1"/>
    <col min="10" max="11" width="24.08984375" customWidth="1"/>
    <col min="12" max="12" width="15" customWidth="1"/>
    <col min="13" max="13" width="14.36328125" customWidth="1"/>
  </cols>
  <sheetData>
    <row r="2" spans="1:13">
      <c r="A2" t="s">
        <v>124</v>
      </c>
      <c r="B2" t="s">
        <v>125</v>
      </c>
      <c r="C2" s="1" t="s">
        <v>41</v>
      </c>
      <c r="D2" t="s">
        <v>42</v>
      </c>
      <c r="E2" t="s">
        <v>113</v>
      </c>
      <c r="F2" t="s">
        <v>38</v>
      </c>
      <c r="I2" t="s">
        <v>43</v>
      </c>
      <c r="J2" t="s">
        <v>127</v>
      </c>
      <c r="K2" t="s">
        <v>128</v>
      </c>
      <c r="L2" t="s">
        <v>129</v>
      </c>
      <c r="M2" t="s">
        <v>130</v>
      </c>
    </row>
    <row r="3" spans="1:13">
      <c r="A3">
        <v>2022</v>
      </c>
      <c r="B3">
        <f>K3</f>
        <v>0.37117</v>
      </c>
      <c r="C3">
        <f>K4</f>
        <v>0.378785916</v>
      </c>
      <c r="D3">
        <f>K5</f>
        <v>0.23290153799999999</v>
      </c>
      <c r="E3">
        <f>K6</f>
        <v>0.28785425399999998</v>
      </c>
      <c r="F3">
        <f>K7</f>
        <v>0.10591835400000001</v>
      </c>
      <c r="I3" t="s">
        <v>125</v>
      </c>
      <c r="J3">
        <v>0.8</v>
      </c>
      <c r="K3">
        <v>0.37117</v>
      </c>
      <c r="L3">
        <v>13</v>
      </c>
      <c r="M3">
        <f>J3*K3/L3</f>
        <v>2.2841230769230773E-2</v>
      </c>
    </row>
    <row r="4" spans="1:13">
      <c r="A4">
        <v>2023</v>
      </c>
      <c r="B4">
        <f>B3-$M$3</f>
        <v>0.34832876923076922</v>
      </c>
      <c r="C4">
        <f>C3-$M$4</f>
        <v>0.35547601347692309</v>
      </c>
      <c r="D4">
        <f>D3-$M$5</f>
        <v>0.21856913566153846</v>
      </c>
      <c r="E4">
        <f>E3-$M$6</f>
        <v>0.27014014606153847</v>
      </c>
      <c r="F4">
        <f>F3-$M$7</f>
        <v>9.9400301446153846E-2</v>
      </c>
      <c r="I4" s="16" t="s">
        <v>41</v>
      </c>
      <c r="J4">
        <v>0.8</v>
      </c>
      <c r="K4">
        <v>0.378785916</v>
      </c>
      <c r="L4">
        <v>13</v>
      </c>
      <c r="M4">
        <f t="shared" ref="M4:M7" si="0">J4*K4/L4</f>
        <v>2.3309902523076926E-2</v>
      </c>
    </row>
    <row r="5" spans="1:13">
      <c r="A5">
        <v>2024</v>
      </c>
      <c r="B5">
        <f t="shared" ref="B5:B16" si="1">B4-$M$3</f>
        <v>0.32548753846153844</v>
      </c>
      <c r="C5">
        <f t="shared" ref="C5:C15" si="2">C4-$M$4</f>
        <v>0.33216611095384618</v>
      </c>
      <c r="D5">
        <f t="shared" ref="D5:D15" si="3">D4-$M$5</f>
        <v>0.20423673332307693</v>
      </c>
      <c r="E5">
        <f t="shared" ref="E5:E15" si="4">E4-$M$6</f>
        <v>0.25242603812307696</v>
      </c>
      <c r="F5">
        <f t="shared" ref="F5:F15" si="5">F4-$M$7</f>
        <v>9.2882248892307687E-2</v>
      </c>
      <c r="I5" t="s">
        <v>42</v>
      </c>
      <c r="J5">
        <v>0.8</v>
      </c>
      <c r="K5">
        <v>0.23290153799999999</v>
      </c>
      <c r="L5">
        <v>13</v>
      </c>
      <c r="M5">
        <f t="shared" si="0"/>
        <v>1.4332402338461539E-2</v>
      </c>
    </row>
    <row r="6" spans="1:13">
      <c r="A6">
        <v>2025</v>
      </c>
      <c r="B6">
        <f t="shared" si="1"/>
        <v>0.30264630769230766</v>
      </c>
      <c r="C6">
        <f t="shared" si="2"/>
        <v>0.30885620843076927</v>
      </c>
      <c r="D6">
        <f t="shared" si="3"/>
        <v>0.1899043309846154</v>
      </c>
      <c r="E6">
        <f t="shared" si="4"/>
        <v>0.23471193018461542</v>
      </c>
      <c r="F6">
        <f t="shared" si="5"/>
        <v>8.6364196338461527E-2</v>
      </c>
      <c r="I6" t="s">
        <v>113</v>
      </c>
      <c r="J6">
        <v>0.8</v>
      </c>
      <c r="K6">
        <v>0.28785425399999998</v>
      </c>
      <c r="L6">
        <v>13</v>
      </c>
      <c r="M6">
        <f t="shared" si="0"/>
        <v>1.7714107938461537E-2</v>
      </c>
    </row>
    <row r="7" spans="1:13">
      <c r="A7">
        <v>2026</v>
      </c>
      <c r="B7">
        <f t="shared" si="1"/>
        <v>0.27980507692307688</v>
      </c>
      <c r="C7">
        <f t="shared" si="2"/>
        <v>0.28554630590769237</v>
      </c>
      <c r="D7">
        <f t="shared" si="3"/>
        <v>0.17557192864615387</v>
      </c>
      <c r="E7">
        <f t="shared" si="4"/>
        <v>0.21699782224615388</v>
      </c>
      <c r="F7">
        <f t="shared" si="5"/>
        <v>7.9846143784615367E-2</v>
      </c>
      <c r="I7" t="s">
        <v>38</v>
      </c>
      <c r="J7">
        <v>0.8</v>
      </c>
      <c r="K7">
        <v>0.10591835400000001</v>
      </c>
      <c r="L7">
        <v>13</v>
      </c>
      <c r="M7">
        <f t="shared" si="0"/>
        <v>6.5180525538461546E-3</v>
      </c>
    </row>
    <row r="8" spans="1:13">
      <c r="A8">
        <v>2027</v>
      </c>
      <c r="B8">
        <f t="shared" si="1"/>
        <v>0.2569638461538461</v>
      </c>
      <c r="C8">
        <f t="shared" si="2"/>
        <v>0.26223640338461546</v>
      </c>
      <c r="D8">
        <f t="shared" si="3"/>
        <v>0.16123952630769234</v>
      </c>
      <c r="E8">
        <f t="shared" si="4"/>
        <v>0.19928371430769234</v>
      </c>
      <c r="F8">
        <f t="shared" si="5"/>
        <v>7.3328091230769207E-2</v>
      </c>
    </row>
    <row r="9" spans="1:13">
      <c r="A9">
        <v>2028</v>
      </c>
      <c r="B9">
        <f t="shared" si="1"/>
        <v>0.23412261538461532</v>
      </c>
      <c r="C9">
        <f t="shared" si="2"/>
        <v>0.23892650086153852</v>
      </c>
      <c r="D9">
        <f t="shared" si="3"/>
        <v>0.14690712396923081</v>
      </c>
      <c r="E9">
        <f t="shared" si="4"/>
        <v>0.18156960636923081</v>
      </c>
      <c r="F9">
        <f t="shared" si="5"/>
        <v>6.6810038676923048E-2</v>
      </c>
      <c r="I9" t="s">
        <v>43</v>
      </c>
      <c r="J9" t="s">
        <v>127</v>
      </c>
      <c r="K9" t="s">
        <v>128</v>
      </c>
      <c r="L9" t="s">
        <v>129</v>
      </c>
      <c r="M9" t="s">
        <v>130</v>
      </c>
    </row>
    <row r="10" spans="1:13">
      <c r="A10">
        <v>2029</v>
      </c>
      <c r="B10">
        <f t="shared" si="1"/>
        <v>0.21128138461538454</v>
      </c>
      <c r="C10">
        <f t="shared" si="2"/>
        <v>0.21561659833846158</v>
      </c>
      <c r="D10">
        <f t="shared" si="3"/>
        <v>0.13257472163076928</v>
      </c>
      <c r="E10">
        <f t="shared" si="4"/>
        <v>0.16385549843076927</v>
      </c>
      <c r="F10">
        <f t="shared" si="5"/>
        <v>6.0291986123076895E-2</v>
      </c>
      <c r="I10" t="s">
        <v>125</v>
      </c>
      <c r="J10">
        <v>1</v>
      </c>
      <c r="K10">
        <f>B16</f>
        <v>7.4233999999999856E-2</v>
      </c>
      <c r="L10">
        <v>15</v>
      </c>
      <c r="M10">
        <f>J10*K10/L10</f>
        <v>4.9489333333333236E-3</v>
      </c>
    </row>
    <row r="11" spans="1:13">
      <c r="A11">
        <v>2030</v>
      </c>
      <c r="B11">
        <f t="shared" si="1"/>
        <v>0.18844015384615376</v>
      </c>
      <c r="C11">
        <f t="shared" si="2"/>
        <v>0.19230669581538465</v>
      </c>
      <c r="D11">
        <f t="shared" si="3"/>
        <v>0.11824231929230773</v>
      </c>
      <c r="E11">
        <f t="shared" si="4"/>
        <v>0.14614139049230773</v>
      </c>
      <c r="F11">
        <f t="shared" si="5"/>
        <v>5.3773933569230742E-2</v>
      </c>
      <c r="I11" s="16" t="s">
        <v>41</v>
      </c>
      <c r="J11">
        <v>1</v>
      </c>
      <c r="K11">
        <f>C16</f>
        <v>7.5757183200000008E-2</v>
      </c>
      <c r="L11">
        <v>15</v>
      </c>
      <c r="M11">
        <f t="shared" ref="M11:M14" si="6">J11*K11/L11</f>
        <v>5.0504788800000006E-3</v>
      </c>
    </row>
    <row r="12" spans="1:13">
      <c r="A12">
        <v>2031</v>
      </c>
      <c r="B12">
        <f t="shared" si="1"/>
        <v>0.16559892307692298</v>
      </c>
      <c r="C12">
        <f t="shared" si="2"/>
        <v>0.16899679329230771</v>
      </c>
      <c r="D12">
        <f t="shared" si="3"/>
        <v>0.10390991695384619</v>
      </c>
      <c r="E12">
        <f t="shared" si="4"/>
        <v>0.12842728255384619</v>
      </c>
      <c r="F12">
        <f t="shared" si="5"/>
        <v>4.7255881015384589E-2</v>
      </c>
      <c r="I12" t="s">
        <v>42</v>
      </c>
      <c r="J12">
        <v>1</v>
      </c>
      <c r="K12">
        <f>D16</f>
        <v>4.6580307600000023E-2</v>
      </c>
      <c r="L12">
        <v>15</v>
      </c>
      <c r="M12">
        <f t="shared" si="6"/>
        <v>3.1053538400000013E-3</v>
      </c>
    </row>
    <row r="13" spans="1:13">
      <c r="A13">
        <v>2032</v>
      </c>
      <c r="B13">
        <f t="shared" si="1"/>
        <v>0.1427576923076922</v>
      </c>
      <c r="C13">
        <f t="shared" si="2"/>
        <v>0.14568689076923078</v>
      </c>
      <c r="D13">
        <f t="shared" si="3"/>
        <v>8.9577514615384643E-2</v>
      </c>
      <c r="E13">
        <f t="shared" si="4"/>
        <v>0.11071317461538466</v>
      </c>
      <c r="F13">
        <f t="shared" si="5"/>
        <v>4.0737828461538436E-2</v>
      </c>
      <c r="I13" t="s">
        <v>113</v>
      </c>
      <c r="J13">
        <v>1</v>
      </c>
      <c r="K13">
        <f>E16</f>
        <v>5.7570850800000045E-2</v>
      </c>
      <c r="L13">
        <v>15</v>
      </c>
      <c r="M13">
        <f t="shared" si="6"/>
        <v>3.838056720000003E-3</v>
      </c>
    </row>
    <row r="14" spans="1:13">
      <c r="A14">
        <v>2033</v>
      </c>
      <c r="B14">
        <f t="shared" si="1"/>
        <v>0.11991646153846142</v>
      </c>
      <c r="C14">
        <f t="shared" si="2"/>
        <v>0.12237698824615385</v>
      </c>
      <c r="D14">
        <f t="shared" si="3"/>
        <v>7.5245112276923098E-2</v>
      </c>
      <c r="E14">
        <f t="shared" si="4"/>
        <v>9.299906667692312E-2</v>
      </c>
      <c r="F14">
        <f t="shared" si="5"/>
        <v>3.4219775907692283E-2</v>
      </c>
      <c r="I14" t="s">
        <v>38</v>
      </c>
      <c r="J14">
        <v>1</v>
      </c>
      <c r="K14">
        <f>F16</f>
        <v>2.1183670799999978E-2</v>
      </c>
      <c r="L14">
        <v>15</v>
      </c>
      <c r="M14">
        <f t="shared" si="6"/>
        <v>1.4122447199999984E-3</v>
      </c>
    </row>
    <row r="15" spans="1:13">
      <c r="A15">
        <v>2034</v>
      </c>
      <c r="B15">
        <f t="shared" si="1"/>
        <v>9.7075230769230636E-2</v>
      </c>
      <c r="C15">
        <f t="shared" si="2"/>
        <v>9.9067085723076931E-2</v>
      </c>
      <c r="D15">
        <f t="shared" si="3"/>
        <v>6.0912709938461561E-2</v>
      </c>
      <c r="E15">
        <f t="shared" si="4"/>
        <v>7.5284958738461583E-2</v>
      </c>
      <c r="F15">
        <f t="shared" si="5"/>
        <v>2.770172335384613E-2</v>
      </c>
    </row>
    <row r="16" spans="1:13">
      <c r="A16">
        <v>2035</v>
      </c>
      <c r="B16">
        <f t="shared" si="1"/>
        <v>7.4233999999999856E-2</v>
      </c>
      <c r="C16">
        <f t="shared" ref="C16" si="7">C15-$M$4</f>
        <v>7.5757183200000008E-2</v>
      </c>
      <c r="D16">
        <f t="shared" ref="D16" si="8">D15-$M$5</f>
        <v>4.6580307600000023E-2</v>
      </c>
      <c r="E16">
        <f t="shared" ref="E16" si="9">E15-$M$6</f>
        <v>5.7570850800000045E-2</v>
      </c>
      <c r="F16">
        <f t="shared" ref="F16" si="10">F15-$M$7</f>
        <v>2.1183670799999978E-2</v>
      </c>
    </row>
    <row r="17" spans="1:6">
      <c r="A17">
        <v>2036</v>
      </c>
      <c r="B17">
        <f>B16-$M$10</f>
        <v>6.9285066666666534E-2</v>
      </c>
      <c r="C17">
        <f>C16-$M$11</f>
        <v>7.0706704320000008E-2</v>
      </c>
      <c r="D17">
        <f>D16-$M$12</f>
        <v>4.3474953760000025E-2</v>
      </c>
      <c r="E17">
        <f>E16-$M$13</f>
        <v>5.3732794080000042E-2</v>
      </c>
      <c r="F17">
        <f>F16-$M$14</f>
        <v>1.9771426079999981E-2</v>
      </c>
    </row>
    <row r="18" spans="1:6">
      <c r="A18">
        <v>2037</v>
      </c>
      <c r="B18">
        <f t="shared" ref="B18:B30" si="11">B17-$M$10</f>
        <v>6.4336133333333212E-2</v>
      </c>
      <c r="C18">
        <f t="shared" ref="C18:C31" si="12">C17-$M$11</f>
        <v>6.5656225440000007E-2</v>
      </c>
      <c r="D18">
        <f t="shared" ref="D18:D30" si="13">D17-$M$12</f>
        <v>4.0369599920000027E-2</v>
      </c>
      <c r="E18">
        <f t="shared" ref="E18:E30" si="14">E17-$M$13</f>
        <v>4.9894737360000038E-2</v>
      </c>
      <c r="F18">
        <f t="shared" ref="F18:F30" si="15">F17-$M$14</f>
        <v>1.8359181359999983E-2</v>
      </c>
    </row>
    <row r="19" spans="1:6">
      <c r="A19">
        <v>2038</v>
      </c>
      <c r="B19">
        <f t="shared" si="11"/>
        <v>5.938719999999989E-2</v>
      </c>
      <c r="C19">
        <f t="shared" si="12"/>
        <v>6.0605746560000007E-2</v>
      </c>
      <c r="D19">
        <f t="shared" si="13"/>
        <v>3.7264246080000028E-2</v>
      </c>
      <c r="E19">
        <f t="shared" si="14"/>
        <v>4.6056680640000035E-2</v>
      </c>
      <c r="F19">
        <f t="shared" si="15"/>
        <v>1.6946936639999986E-2</v>
      </c>
    </row>
    <row r="20" spans="1:6">
      <c r="A20">
        <v>2039</v>
      </c>
      <c r="B20">
        <f t="shared" si="11"/>
        <v>5.4438266666666568E-2</v>
      </c>
      <c r="C20">
        <f t="shared" si="12"/>
        <v>5.5555267680000006E-2</v>
      </c>
      <c r="D20">
        <f t="shared" si="13"/>
        <v>3.415889224000003E-2</v>
      </c>
      <c r="E20">
        <f t="shared" si="14"/>
        <v>4.2218623920000031E-2</v>
      </c>
      <c r="F20">
        <f t="shared" si="15"/>
        <v>1.5534691919999987E-2</v>
      </c>
    </row>
    <row r="21" spans="1:6">
      <c r="A21">
        <v>2040</v>
      </c>
      <c r="B21">
        <f t="shared" si="11"/>
        <v>4.9489333333333246E-2</v>
      </c>
      <c r="C21">
        <f t="shared" si="12"/>
        <v>5.0504788800000006E-2</v>
      </c>
      <c r="D21">
        <f t="shared" si="13"/>
        <v>3.1053538400000028E-2</v>
      </c>
      <c r="E21">
        <f t="shared" si="14"/>
        <v>3.8380567200000028E-2</v>
      </c>
      <c r="F21">
        <f t="shared" si="15"/>
        <v>1.4122447199999989E-2</v>
      </c>
    </row>
    <row r="22" spans="1:6">
      <c r="A22">
        <v>2041</v>
      </c>
      <c r="B22">
        <f t="shared" si="11"/>
        <v>4.4540399999999924E-2</v>
      </c>
      <c r="C22">
        <f t="shared" si="12"/>
        <v>4.5454309920000005E-2</v>
      </c>
      <c r="D22">
        <f t="shared" si="13"/>
        <v>2.7948184560000026E-2</v>
      </c>
      <c r="E22">
        <f t="shared" si="14"/>
        <v>3.4542510480000024E-2</v>
      </c>
      <c r="F22">
        <f t="shared" si="15"/>
        <v>1.271020247999999E-2</v>
      </c>
    </row>
    <row r="23" spans="1:6">
      <c r="A23">
        <v>2042</v>
      </c>
      <c r="B23">
        <f t="shared" si="11"/>
        <v>3.9591466666666603E-2</v>
      </c>
      <c r="C23">
        <f t="shared" si="12"/>
        <v>4.0403831040000004E-2</v>
      </c>
      <c r="D23">
        <f t="shared" si="13"/>
        <v>2.4842830720000025E-2</v>
      </c>
      <c r="E23">
        <f t="shared" si="14"/>
        <v>3.0704453760000021E-2</v>
      </c>
      <c r="F23">
        <f t="shared" si="15"/>
        <v>1.1297957759999991E-2</v>
      </c>
    </row>
    <row r="24" spans="1:6">
      <c r="A24">
        <v>2043</v>
      </c>
      <c r="B24">
        <f t="shared" si="11"/>
        <v>3.4642533333333281E-2</v>
      </c>
      <c r="C24">
        <f t="shared" si="12"/>
        <v>3.5353352160000004E-2</v>
      </c>
      <c r="D24">
        <f t="shared" si="13"/>
        <v>2.1737476880000023E-2</v>
      </c>
      <c r="E24">
        <f t="shared" si="14"/>
        <v>2.6866397040000017E-2</v>
      </c>
      <c r="F24">
        <f t="shared" si="15"/>
        <v>9.885713039999992E-3</v>
      </c>
    </row>
    <row r="25" spans="1:6">
      <c r="A25">
        <v>2044</v>
      </c>
      <c r="B25">
        <f t="shared" si="11"/>
        <v>2.9693599999999959E-2</v>
      </c>
      <c r="C25">
        <f t="shared" si="12"/>
        <v>3.0302873280000003E-2</v>
      </c>
      <c r="D25">
        <f t="shared" si="13"/>
        <v>1.8632123040000021E-2</v>
      </c>
      <c r="E25">
        <f t="shared" si="14"/>
        <v>2.3028340320000014E-2</v>
      </c>
      <c r="F25">
        <f t="shared" si="15"/>
        <v>8.4734683199999931E-3</v>
      </c>
    </row>
    <row r="26" spans="1:6">
      <c r="A26">
        <v>2045</v>
      </c>
      <c r="B26">
        <f t="shared" si="11"/>
        <v>2.4744666666666637E-2</v>
      </c>
      <c r="C26">
        <f t="shared" si="12"/>
        <v>2.5252394400000003E-2</v>
      </c>
      <c r="D26">
        <f t="shared" si="13"/>
        <v>1.5526769200000019E-2</v>
      </c>
      <c r="E26">
        <f t="shared" si="14"/>
        <v>1.919028360000001E-2</v>
      </c>
      <c r="F26">
        <f t="shared" si="15"/>
        <v>7.0612235999999943E-3</v>
      </c>
    </row>
    <row r="27" spans="1:6">
      <c r="A27">
        <v>2046</v>
      </c>
      <c r="B27">
        <f t="shared" si="11"/>
        <v>1.9795733333333315E-2</v>
      </c>
      <c r="C27">
        <f t="shared" si="12"/>
        <v>2.0201915520000002E-2</v>
      </c>
      <c r="D27">
        <f t="shared" si="13"/>
        <v>1.2421415360000018E-2</v>
      </c>
      <c r="E27">
        <f t="shared" si="14"/>
        <v>1.5352226880000007E-2</v>
      </c>
      <c r="F27">
        <f t="shared" si="15"/>
        <v>5.6489788799999954E-3</v>
      </c>
    </row>
    <row r="28" spans="1:6">
      <c r="A28">
        <v>2047</v>
      </c>
      <c r="B28">
        <f t="shared" si="11"/>
        <v>1.4846799999999992E-2</v>
      </c>
      <c r="C28">
        <f t="shared" si="12"/>
        <v>1.5151436640000002E-2</v>
      </c>
      <c r="D28">
        <f t="shared" si="13"/>
        <v>9.3160615200000157E-3</v>
      </c>
      <c r="E28">
        <f t="shared" si="14"/>
        <v>1.1514170160000003E-2</v>
      </c>
      <c r="F28">
        <f t="shared" si="15"/>
        <v>4.2367341599999966E-3</v>
      </c>
    </row>
    <row r="29" spans="1:6">
      <c r="A29">
        <v>2048</v>
      </c>
      <c r="B29">
        <f t="shared" si="11"/>
        <v>9.897866666666668E-3</v>
      </c>
      <c r="C29">
        <f t="shared" si="12"/>
        <v>1.0100957760000001E-2</v>
      </c>
      <c r="D29">
        <f t="shared" si="13"/>
        <v>6.210707680000014E-3</v>
      </c>
      <c r="E29">
        <f t="shared" si="14"/>
        <v>7.67611344E-3</v>
      </c>
      <c r="F29">
        <f t="shared" si="15"/>
        <v>2.8244894399999981E-3</v>
      </c>
    </row>
    <row r="30" spans="1:6">
      <c r="A30">
        <v>2049</v>
      </c>
      <c r="B30">
        <f t="shared" si="11"/>
        <v>4.9489333333333444E-3</v>
      </c>
      <c r="C30">
        <f t="shared" si="12"/>
        <v>5.0504788800000006E-3</v>
      </c>
      <c r="D30">
        <f t="shared" si="13"/>
        <v>3.1053538400000126E-3</v>
      </c>
      <c r="E30">
        <f t="shared" si="14"/>
        <v>3.838056719999997E-3</v>
      </c>
      <c r="F30">
        <f t="shared" si="15"/>
        <v>1.4122447199999997E-3</v>
      </c>
    </row>
    <row r="31" spans="1:6">
      <c r="A31">
        <v>2050</v>
      </c>
      <c r="B31">
        <v>0</v>
      </c>
      <c r="C31">
        <f t="shared" si="12"/>
        <v>0</v>
      </c>
      <c r="D31">
        <v>0</v>
      </c>
      <c r="E31">
        <v>0</v>
      </c>
      <c r="F31">
        <v>0</v>
      </c>
    </row>
    <row r="32" spans="1:6">
      <c r="A32">
        <v>2051</v>
      </c>
      <c r="B32">
        <f t="shared" ref="B32:F63" si="16">B31</f>
        <v>0</v>
      </c>
      <c r="C32">
        <f t="shared" ref="C32:F32" si="17">C31</f>
        <v>0</v>
      </c>
      <c r="D32">
        <f t="shared" si="17"/>
        <v>0</v>
      </c>
      <c r="E32">
        <f t="shared" si="17"/>
        <v>0</v>
      </c>
      <c r="F32">
        <f t="shared" si="17"/>
        <v>0</v>
      </c>
    </row>
    <row r="33" spans="1:6">
      <c r="A33">
        <v>2052</v>
      </c>
      <c r="B33">
        <f t="shared" si="16"/>
        <v>0</v>
      </c>
      <c r="C33">
        <f t="shared" si="16"/>
        <v>0</v>
      </c>
      <c r="D33">
        <f t="shared" si="16"/>
        <v>0</v>
      </c>
      <c r="E33">
        <f t="shared" si="16"/>
        <v>0</v>
      </c>
      <c r="F33">
        <f t="shared" si="16"/>
        <v>0</v>
      </c>
    </row>
    <row r="34" spans="1:6">
      <c r="A34">
        <v>2053</v>
      </c>
      <c r="B34">
        <f t="shared" si="16"/>
        <v>0</v>
      </c>
      <c r="C34">
        <f t="shared" si="16"/>
        <v>0</v>
      </c>
      <c r="D34">
        <f t="shared" si="16"/>
        <v>0</v>
      </c>
      <c r="E34">
        <f t="shared" si="16"/>
        <v>0</v>
      </c>
      <c r="F34">
        <f t="shared" si="16"/>
        <v>0</v>
      </c>
    </row>
    <row r="35" spans="1:6">
      <c r="A35">
        <v>2054</v>
      </c>
      <c r="B35">
        <f t="shared" si="16"/>
        <v>0</v>
      </c>
      <c r="C35">
        <f t="shared" si="16"/>
        <v>0</v>
      </c>
      <c r="D35">
        <f t="shared" si="16"/>
        <v>0</v>
      </c>
      <c r="E35">
        <f t="shared" si="16"/>
        <v>0</v>
      </c>
      <c r="F35">
        <f t="shared" si="16"/>
        <v>0</v>
      </c>
    </row>
    <row r="36" spans="1:6">
      <c r="A36">
        <v>2055</v>
      </c>
      <c r="B36">
        <f t="shared" si="16"/>
        <v>0</v>
      </c>
      <c r="C36">
        <f t="shared" si="16"/>
        <v>0</v>
      </c>
      <c r="D36">
        <f t="shared" si="16"/>
        <v>0</v>
      </c>
      <c r="E36">
        <f t="shared" si="16"/>
        <v>0</v>
      </c>
      <c r="F36">
        <f t="shared" si="16"/>
        <v>0</v>
      </c>
    </row>
    <row r="37" spans="1:6">
      <c r="A37">
        <v>2056</v>
      </c>
      <c r="B37">
        <f t="shared" si="16"/>
        <v>0</v>
      </c>
      <c r="C37">
        <f t="shared" si="16"/>
        <v>0</v>
      </c>
      <c r="D37">
        <f t="shared" si="16"/>
        <v>0</v>
      </c>
      <c r="E37">
        <f t="shared" si="16"/>
        <v>0</v>
      </c>
      <c r="F37">
        <f t="shared" si="16"/>
        <v>0</v>
      </c>
    </row>
    <row r="38" spans="1:6">
      <c r="A38">
        <v>2057</v>
      </c>
      <c r="B38">
        <f t="shared" si="16"/>
        <v>0</v>
      </c>
      <c r="C38">
        <f t="shared" si="16"/>
        <v>0</v>
      </c>
      <c r="D38">
        <f t="shared" si="16"/>
        <v>0</v>
      </c>
      <c r="E38">
        <f t="shared" si="16"/>
        <v>0</v>
      </c>
      <c r="F38">
        <f t="shared" si="16"/>
        <v>0</v>
      </c>
    </row>
    <row r="39" spans="1:6">
      <c r="A39">
        <v>2058</v>
      </c>
      <c r="B39">
        <f t="shared" si="16"/>
        <v>0</v>
      </c>
      <c r="C39">
        <f t="shared" si="16"/>
        <v>0</v>
      </c>
      <c r="D39">
        <f t="shared" si="16"/>
        <v>0</v>
      </c>
      <c r="E39">
        <f t="shared" si="16"/>
        <v>0</v>
      </c>
      <c r="F39">
        <f t="shared" si="16"/>
        <v>0</v>
      </c>
    </row>
    <row r="40" spans="1:6">
      <c r="A40">
        <v>2059</v>
      </c>
      <c r="B40">
        <f t="shared" si="16"/>
        <v>0</v>
      </c>
      <c r="C40">
        <f t="shared" si="16"/>
        <v>0</v>
      </c>
      <c r="D40">
        <f t="shared" si="16"/>
        <v>0</v>
      </c>
      <c r="E40">
        <f t="shared" si="16"/>
        <v>0</v>
      </c>
      <c r="F40">
        <f t="shared" si="16"/>
        <v>0</v>
      </c>
    </row>
    <row r="41" spans="1:6">
      <c r="A41">
        <v>2060</v>
      </c>
      <c r="B41">
        <f t="shared" si="16"/>
        <v>0</v>
      </c>
      <c r="C41">
        <f t="shared" si="16"/>
        <v>0</v>
      </c>
      <c r="D41">
        <f t="shared" si="16"/>
        <v>0</v>
      </c>
      <c r="E41">
        <f t="shared" si="16"/>
        <v>0</v>
      </c>
      <c r="F41">
        <f t="shared" si="16"/>
        <v>0</v>
      </c>
    </row>
    <row r="42" spans="1:6">
      <c r="A42">
        <v>2061</v>
      </c>
      <c r="B42">
        <f t="shared" si="16"/>
        <v>0</v>
      </c>
      <c r="C42">
        <f t="shared" si="16"/>
        <v>0</v>
      </c>
      <c r="D42">
        <f t="shared" si="16"/>
        <v>0</v>
      </c>
      <c r="E42">
        <f t="shared" si="16"/>
        <v>0</v>
      </c>
      <c r="F42">
        <f t="shared" si="16"/>
        <v>0</v>
      </c>
    </row>
    <row r="43" spans="1:6">
      <c r="A43">
        <v>2062</v>
      </c>
      <c r="B43">
        <f t="shared" si="16"/>
        <v>0</v>
      </c>
      <c r="C43">
        <f t="shared" si="16"/>
        <v>0</v>
      </c>
      <c r="D43">
        <f t="shared" si="16"/>
        <v>0</v>
      </c>
      <c r="E43">
        <f t="shared" si="16"/>
        <v>0</v>
      </c>
      <c r="F43">
        <f t="shared" si="16"/>
        <v>0</v>
      </c>
    </row>
    <row r="44" spans="1:6">
      <c r="A44">
        <v>2063</v>
      </c>
      <c r="B44">
        <f t="shared" si="16"/>
        <v>0</v>
      </c>
      <c r="C44">
        <f t="shared" si="16"/>
        <v>0</v>
      </c>
      <c r="D44">
        <f t="shared" si="16"/>
        <v>0</v>
      </c>
      <c r="E44">
        <f t="shared" si="16"/>
        <v>0</v>
      </c>
      <c r="F44">
        <f t="shared" si="16"/>
        <v>0</v>
      </c>
    </row>
    <row r="45" spans="1:6">
      <c r="A45">
        <v>2064</v>
      </c>
      <c r="B45">
        <f t="shared" si="16"/>
        <v>0</v>
      </c>
      <c r="C45">
        <f t="shared" si="16"/>
        <v>0</v>
      </c>
      <c r="D45">
        <f t="shared" si="16"/>
        <v>0</v>
      </c>
      <c r="E45">
        <f t="shared" si="16"/>
        <v>0</v>
      </c>
      <c r="F45">
        <f t="shared" si="16"/>
        <v>0</v>
      </c>
    </row>
    <row r="46" spans="1:6">
      <c r="A46">
        <v>2065</v>
      </c>
      <c r="B46">
        <f t="shared" si="16"/>
        <v>0</v>
      </c>
      <c r="C46">
        <f t="shared" si="16"/>
        <v>0</v>
      </c>
      <c r="D46">
        <f t="shared" si="16"/>
        <v>0</v>
      </c>
      <c r="E46">
        <f t="shared" si="16"/>
        <v>0</v>
      </c>
      <c r="F46">
        <f t="shared" si="16"/>
        <v>0</v>
      </c>
    </row>
    <row r="47" spans="1:6">
      <c r="A47">
        <v>2066</v>
      </c>
      <c r="B47">
        <f t="shared" si="16"/>
        <v>0</v>
      </c>
      <c r="C47">
        <f t="shared" si="16"/>
        <v>0</v>
      </c>
      <c r="D47">
        <f t="shared" si="16"/>
        <v>0</v>
      </c>
      <c r="E47">
        <f t="shared" si="16"/>
        <v>0</v>
      </c>
      <c r="F47">
        <f t="shared" si="16"/>
        <v>0</v>
      </c>
    </row>
    <row r="48" spans="1:6">
      <c r="A48">
        <v>2067</v>
      </c>
      <c r="B48">
        <f t="shared" si="16"/>
        <v>0</v>
      </c>
      <c r="C48">
        <f t="shared" si="16"/>
        <v>0</v>
      </c>
      <c r="D48">
        <f t="shared" si="16"/>
        <v>0</v>
      </c>
      <c r="E48">
        <f t="shared" si="16"/>
        <v>0</v>
      </c>
      <c r="F48">
        <f t="shared" si="16"/>
        <v>0</v>
      </c>
    </row>
    <row r="49" spans="1:6">
      <c r="A49">
        <v>2068</v>
      </c>
      <c r="B49">
        <f t="shared" si="16"/>
        <v>0</v>
      </c>
      <c r="C49">
        <f t="shared" si="16"/>
        <v>0</v>
      </c>
      <c r="D49">
        <f t="shared" si="16"/>
        <v>0</v>
      </c>
      <c r="E49">
        <f t="shared" si="16"/>
        <v>0</v>
      </c>
      <c r="F49">
        <f t="shared" si="16"/>
        <v>0</v>
      </c>
    </row>
    <row r="50" spans="1:6">
      <c r="A50">
        <v>2069</v>
      </c>
      <c r="B50">
        <f t="shared" si="16"/>
        <v>0</v>
      </c>
      <c r="C50">
        <f t="shared" si="16"/>
        <v>0</v>
      </c>
      <c r="D50">
        <f t="shared" si="16"/>
        <v>0</v>
      </c>
      <c r="E50">
        <f t="shared" si="16"/>
        <v>0</v>
      </c>
      <c r="F50">
        <f t="shared" si="16"/>
        <v>0</v>
      </c>
    </row>
    <row r="51" spans="1:6">
      <c r="A51">
        <v>2070</v>
      </c>
      <c r="B51">
        <f t="shared" si="16"/>
        <v>0</v>
      </c>
      <c r="C51">
        <f t="shared" si="16"/>
        <v>0</v>
      </c>
      <c r="D51">
        <f t="shared" si="16"/>
        <v>0</v>
      </c>
      <c r="E51">
        <f t="shared" si="16"/>
        <v>0</v>
      </c>
      <c r="F51">
        <f t="shared" si="16"/>
        <v>0</v>
      </c>
    </row>
    <row r="52" spans="1:6">
      <c r="A52">
        <v>2071</v>
      </c>
      <c r="B52">
        <f t="shared" si="16"/>
        <v>0</v>
      </c>
      <c r="C52">
        <f t="shared" si="16"/>
        <v>0</v>
      </c>
      <c r="D52">
        <f t="shared" si="16"/>
        <v>0</v>
      </c>
      <c r="E52">
        <f t="shared" si="16"/>
        <v>0</v>
      </c>
      <c r="F52">
        <f t="shared" si="16"/>
        <v>0</v>
      </c>
    </row>
    <row r="53" spans="1:6">
      <c r="A53">
        <v>2072</v>
      </c>
      <c r="B53">
        <f t="shared" si="16"/>
        <v>0</v>
      </c>
      <c r="C53">
        <f t="shared" si="16"/>
        <v>0</v>
      </c>
      <c r="D53">
        <f t="shared" si="16"/>
        <v>0</v>
      </c>
      <c r="E53">
        <f t="shared" si="16"/>
        <v>0</v>
      </c>
      <c r="F53">
        <f t="shared" si="16"/>
        <v>0</v>
      </c>
    </row>
    <row r="54" spans="1:6">
      <c r="A54">
        <v>2073</v>
      </c>
      <c r="B54">
        <f t="shared" si="16"/>
        <v>0</v>
      </c>
      <c r="C54">
        <f t="shared" si="16"/>
        <v>0</v>
      </c>
      <c r="D54">
        <f t="shared" si="16"/>
        <v>0</v>
      </c>
      <c r="E54">
        <f t="shared" si="16"/>
        <v>0</v>
      </c>
      <c r="F54">
        <f t="shared" si="16"/>
        <v>0</v>
      </c>
    </row>
    <row r="55" spans="1:6">
      <c r="A55">
        <v>2074</v>
      </c>
      <c r="B55">
        <f t="shared" si="16"/>
        <v>0</v>
      </c>
      <c r="C55">
        <f t="shared" si="16"/>
        <v>0</v>
      </c>
      <c r="D55">
        <f t="shared" si="16"/>
        <v>0</v>
      </c>
      <c r="E55">
        <f t="shared" si="16"/>
        <v>0</v>
      </c>
      <c r="F55">
        <f t="shared" si="16"/>
        <v>0</v>
      </c>
    </row>
    <row r="56" spans="1:6">
      <c r="A56">
        <v>2075</v>
      </c>
      <c r="B56">
        <f t="shared" si="16"/>
        <v>0</v>
      </c>
      <c r="C56">
        <f t="shared" si="16"/>
        <v>0</v>
      </c>
      <c r="D56">
        <f t="shared" si="16"/>
        <v>0</v>
      </c>
      <c r="E56">
        <f t="shared" si="16"/>
        <v>0</v>
      </c>
      <c r="F56">
        <f t="shared" si="16"/>
        <v>0</v>
      </c>
    </row>
    <row r="57" spans="1:6">
      <c r="A57">
        <v>2076</v>
      </c>
      <c r="B57">
        <f t="shared" si="16"/>
        <v>0</v>
      </c>
      <c r="C57">
        <f t="shared" si="16"/>
        <v>0</v>
      </c>
      <c r="D57">
        <f t="shared" si="16"/>
        <v>0</v>
      </c>
      <c r="E57">
        <f t="shared" si="16"/>
        <v>0</v>
      </c>
      <c r="F57">
        <f t="shared" si="16"/>
        <v>0</v>
      </c>
    </row>
    <row r="58" spans="1:6">
      <c r="A58">
        <v>2077</v>
      </c>
      <c r="B58">
        <f t="shared" si="16"/>
        <v>0</v>
      </c>
      <c r="C58">
        <f t="shared" si="16"/>
        <v>0</v>
      </c>
      <c r="D58">
        <f t="shared" si="16"/>
        <v>0</v>
      </c>
      <c r="E58">
        <f t="shared" si="16"/>
        <v>0</v>
      </c>
      <c r="F58">
        <f t="shared" si="16"/>
        <v>0</v>
      </c>
    </row>
    <row r="59" spans="1:6">
      <c r="A59">
        <v>2078</v>
      </c>
      <c r="B59">
        <f t="shared" si="16"/>
        <v>0</v>
      </c>
      <c r="C59">
        <f t="shared" si="16"/>
        <v>0</v>
      </c>
      <c r="D59">
        <f t="shared" si="16"/>
        <v>0</v>
      </c>
      <c r="E59">
        <f t="shared" si="16"/>
        <v>0</v>
      </c>
      <c r="F59">
        <f t="shared" si="16"/>
        <v>0</v>
      </c>
    </row>
    <row r="60" spans="1:6">
      <c r="A60">
        <v>2079</v>
      </c>
      <c r="B60">
        <f t="shared" si="16"/>
        <v>0</v>
      </c>
      <c r="C60">
        <f t="shared" si="16"/>
        <v>0</v>
      </c>
      <c r="D60">
        <f t="shared" si="16"/>
        <v>0</v>
      </c>
      <c r="E60">
        <f t="shared" si="16"/>
        <v>0</v>
      </c>
      <c r="F60">
        <f t="shared" si="16"/>
        <v>0</v>
      </c>
    </row>
    <row r="61" spans="1:6">
      <c r="A61">
        <v>2080</v>
      </c>
      <c r="B61">
        <f t="shared" si="16"/>
        <v>0</v>
      </c>
      <c r="C61">
        <f t="shared" si="16"/>
        <v>0</v>
      </c>
      <c r="D61">
        <f t="shared" si="16"/>
        <v>0</v>
      </c>
      <c r="E61">
        <f t="shared" si="16"/>
        <v>0</v>
      </c>
      <c r="F61">
        <f t="shared" si="16"/>
        <v>0</v>
      </c>
    </row>
    <row r="62" spans="1:6">
      <c r="A62">
        <v>2081</v>
      </c>
      <c r="B62">
        <f t="shared" si="16"/>
        <v>0</v>
      </c>
      <c r="C62">
        <f t="shared" si="16"/>
        <v>0</v>
      </c>
      <c r="D62">
        <f t="shared" si="16"/>
        <v>0</v>
      </c>
      <c r="E62">
        <f t="shared" si="16"/>
        <v>0</v>
      </c>
      <c r="F62">
        <f t="shared" si="16"/>
        <v>0</v>
      </c>
    </row>
    <row r="63" spans="1:6">
      <c r="A63">
        <v>2082</v>
      </c>
      <c r="B63">
        <f t="shared" si="16"/>
        <v>0</v>
      </c>
      <c r="C63">
        <f t="shared" si="16"/>
        <v>0</v>
      </c>
      <c r="D63">
        <f t="shared" si="16"/>
        <v>0</v>
      </c>
      <c r="E63">
        <f t="shared" si="16"/>
        <v>0</v>
      </c>
      <c r="F63">
        <f t="shared" si="16"/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3083-4C80-44EC-9BCE-9EAF60D83CB5}">
  <dimension ref="A2:M63"/>
  <sheetViews>
    <sheetView topLeftCell="A58" workbookViewId="0">
      <selection activeCell="A2" sqref="A2:B63"/>
    </sheetView>
  </sheetViews>
  <sheetFormatPr defaultRowHeight="14.5"/>
  <cols>
    <col min="1" max="1" width="16.7265625" customWidth="1"/>
    <col min="2" max="2" width="23.36328125" customWidth="1"/>
    <col min="3" max="3" width="18.81640625" customWidth="1"/>
    <col min="6" max="6" width="11.1796875" customWidth="1"/>
    <col min="9" max="9" width="17.90625" customWidth="1"/>
    <col min="10" max="11" width="24.08984375" customWidth="1"/>
    <col min="12" max="12" width="15" customWidth="1"/>
    <col min="13" max="13" width="14.36328125" customWidth="1"/>
  </cols>
  <sheetData>
    <row r="2" spans="1:13">
      <c r="A2" t="s">
        <v>124</v>
      </c>
      <c r="B2" t="s">
        <v>125</v>
      </c>
      <c r="C2" s="1" t="s">
        <v>41</v>
      </c>
      <c r="D2" t="s">
        <v>42</v>
      </c>
      <c r="E2" t="s">
        <v>113</v>
      </c>
      <c r="F2" t="s">
        <v>38</v>
      </c>
      <c r="I2" t="s">
        <v>43</v>
      </c>
      <c r="J2" t="s">
        <v>127</v>
      </c>
      <c r="K2" t="s">
        <v>128</v>
      </c>
      <c r="L2" t="s">
        <v>129</v>
      </c>
      <c r="M2" t="s">
        <v>130</v>
      </c>
    </row>
    <row r="3" spans="1:13">
      <c r="A3">
        <v>2022</v>
      </c>
      <c r="B3">
        <f>K3</f>
        <v>0.37117</v>
      </c>
      <c r="C3">
        <f>K4</f>
        <v>0.378785916</v>
      </c>
      <c r="D3">
        <f>K5</f>
        <v>0.23290153799999999</v>
      </c>
      <c r="E3">
        <f>K6</f>
        <v>0.28785425399999998</v>
      </c>
      <c r="F3">
        <f>K7</f>
        <v>0.10591835400000001</v>
      </c>
      <c r="I3" t="s">
        <v>125</v>
      </c>
      <c r="J3">
        <v>0</v>
      </c>
      <c r="K3">
        <v>0.37117</v>
      </c>
      <c r="L3">
        <v>60</v>
      </c>
      <c r="M3">
        <f>J3*K3/L3</f>
        <v>0</v>
      </c>
    </row>
    <row r="4" spans="1:13">
      <c r="A4">
        <v>2023</v>
      </c>
      <c r="B4">
        <f>B3</f>
        <v>0.37117</v>
      </c>
      <c r="C4">
        <f>C3</f>
        <v>0.378785916</v>
      </c>
      <c r="D4">
        <f>D3</f>
        <v>0.23290153799999999</v>
      </c>
      <c r="E4">
        <f>E3</f>
        <v>0.28785425399999998</v>
      </c>
      <c r="F4">
        <f>F3</f>
        <v>0.10591835400000001</v>
      </c>
      <c r="I4" s="16" t="s">
        <v>41</v>
      </c>
      <c r="J4">
        <v>0</v>
      </c>
      <c r="K4">
        <v>0.378785916</v>
      </c>
      <c r="L4">
        <v>60</v>
      </c>
      <c r="M4">
        <f t="shared" ref="M4:M7" si="0">J4*K4/L4</f>
        <v>0</v>
      </c>
    </row>
    <row r="5" spans="1:13">
      <c r="A5">
        <v>2024</v>
      </c>
      <c r="B5">
        <f t="shared" ref="B5:B63" si="1">B4</f>
        <v>0.37117</v>
      </c>
      <c r="C5">
        <f t="shared" ref="C5:C63" si="2">C4</f>
        <v>0.378785916</v>
      </c>
      <c r="D5">
        <f t="shared" ref="D5:D63" si="3">D4</f>
        <v>0.23290153799999999</v>
      </c>
      <c r="E5">
        <f t="shared" ref="E5:E63" si="4">E4</f>
        <v>0.28785425399999998</v>
      </c>
      <c r="F5">
        <f t="shared" ref="F5:F63" si="5">F4</f>
        <v>0.10591835400000001</v>
      </c>
      <c r="I5" t="s">
        <v>42</v>
      </c>
      <c r="J5">
        <v>0</v>
      </c>
      <c r="K5">
        <v>0.23290153799999999</v>
      </c>
      <c r="L5">
        <v>60</v>
      </c>
      <c r="M5">
        <f t="shared" si="0"/>
        <v>0</v>
      </c>
    </row>
    <row r="6" spans="1:13">
      <c r="A6">
        <v>2025</v>
      </c>
      <c r="B6">
        <f t="shared" si="1"/>
        <v>0.37117</v>
      </c>
      <c r="C6">
        <f t="shared" si="2"/>
        <v>0.378785916</v>
      </c>
      <c r="D6">
        <f t="shared" si="3"/>
        <v>0.23290153799999999</v>
      </c>
      <c r="E6">
        <f t="shared" si="4"/>
        <v>0.28785425399999998</v>
      </c>
      <c r="F6">
        <f t="shared" si="5"/>
        <v>0.10591835400000001</v>
      </c>
      <c r="I6" t="s">
        <v>113</v>
      </c>
      <c r="J6">
        <v>0</v>
      </c>
      <c r="K6">
        <v>0.28785425399999998</v>
      </c>
      <c r="L6">
        <v>60</v>
      </c>
      <c r="M6">
        <f t="shared" si="0"/>
        <v>0</v>
      </c>
    </row>
    <row r="7" spans="1:13">
      <c r="A7">
        <v>2026</v>
      </c>
      <c r="B7">
        <f t="shared" si="1"/>
        <v>0.37117</v>
      </c>
      <c r="C7">
        <f t="shared" si="2"/>
        <v>0.378785916</v>
      </c>
      <c r="D7">
        <f t="shared" si="3"/>
        <v>0.23290153799999999</v>
      </c>
      <c r="E7">
        <f t="shared" si="4"/>
        <v>0.28785425399999998</v>
      </c>
      <c r="F7">
        <f t="shared" si="5"/>
        <v>0.10591835400000001</v>
      </c>
      <c r="I7" t="s">
        <v>38</v>
      </c>
      <c r="J7">
        <v>0</v>
      </c>
      <c r="K7">
        <v>0.10591835400000001</v>
      </c>
      <c r="L7">
        <v>60</v>
      </c>
      <c r="M7">
        <f t="shared" si="0"/>
        <v>0</v>
      </c>
    </row>
    <row r="8" spans="1:13">
      <c r="A8">
        <v>2027</v>
      </c>
      <c r="B8">
        <f t="shared" si="1"/>
        <v>0.37117</v>
      </c>
      <c r="C8">
        <f t="shared" si="2"/>
        <v>0.378785916</v>
      </c>
      <c r="D8">
        <f t="shared" si="3"/>
        <v>0.23290153799999999</v>
      </c>
      <c r="E8">
        <f t="shared" si="4"/>
        <v>0.28785425399999998</v>
      </c>
      <c r="F8">
        <f t="shared" si="5"/>
        <v>0.10591835400000001</v>
      </c>
    </row>
    <row r="9" spans="1:13">
      <c r="A9">
        <v>2028</v>
      </c>
      <c r="B9">
        <f t="shared" si="1"/>
        <v>0.37117</v>
      </c>
      <c r="C9">
        <f t="shared" si="2"/>
        <v>0.378785916</v>
      </c>
      <c r="D9">
        <f t="shared" si="3"/>
        <v>0.23290153799999999</v>
      </c>
      <c r="E9">
        <f t="shared" si="4"/>
        <v>0.28785425399999998</v>
      </c>
      <c r="F9">
        <f t="shared" si="5"/>
        <v>0.10591835400000001</v>
      </c>
    </row>
    <row r="10" spans="1:13">
      <c r="A10">
        <v>2029</v>
      </c>
      <c r="B10">
        <f t="shared" si="1"/>
        <v>0.37117</v>
      </c>
      <c r="C10">
        <f t="shared" si="2"/>
        <v>0.378785916</v>
      </c>
      <c r="D10">
        <f t="shared" si="3"/>
        <v>0.23290153799999999</v>
      </c>
      <c r="E10">
        <f t="shared" si="4"/>
        <v>0.28785425399999998</v>
      </c>
      <c r="F10">
        <f t="shared" si="5"/>
        <v>0.10591835400000001</v>
      </c>
    </row>
    <row r="11" spans="1:13">
      <c r="A11">
        <v>2030</v>
      </c>
      <c r="B11">
        <f t="shared" si="1"/>
        <v>0.37117</v>
      </c>
      <c r="C11">
        <f t="shared" si="2"/>
        <v>0.378785916</v>
      </c>
      <c r="D11">
        <f t="shared" si="3"/>
        <v>0.23290153799999999</v>
      </c>
      <c r="E11">
        <f t="shared" si="4"/>
        <v>0.28785425399999998</v>
      </c>
      <c r="F11">
        <f t="shared" si="5"/>
        <v>0.10591835400000001</v>
      </c>
    </row>
    <row r="12" spans="1:13">
      <c r="A12">
        <v>2031</v>
      </c>
      <c r="B12">
        <f t="shared" si="1"/>
        <v>0.37117</v>
      </c>
      <c r="C12">
        <f t="shared" si="2"/>
        <v>0.378785916</v>
      </c>
      <c r="D12">
        <f t="shared" si="3"/>
        <v>0.23290153799999999</v>
      </c>
      <c r="E12">
        <f t="shared" si="4"/>
        <v>0.28785425399999998</v>
      </c>
      <c r="F12">
        <f t="shared" si="5"/>
        <v>0.10591835400000001</v>
      </c>
    </row>
    <row r="13" spans="1:13">
      <c r="A13">
        <v>2032</v>
      </c>
      <c r="B13">
        <f t="shared" si="1"/>
        <v>0.37117</v>
      </c>
      <c r="C13">
        <f t="shared" si="2"/>
        <v>0.378785916</v>
      </c>
      <c r="D13">
        <f t="shared" si="3"/>
        <v>0.23290153799999999</v>
      </c>
      <c r="E13">
        <f t="shared" si="4"/>
        <v>0.28785425399999998</v>
      </c>
      <c r="F13">
        <f t="shared" si="5"/>
        <v>0.10591835400000001</v>
      </c>
    </row>
    <row r="14" spans="1:13">
      <c r="A14">
        <v>2033</v>
      </c>
      <c r="B14">
        <f t="shared" si="1"/>
        <v>0.37117</v>
      </c>
      <c r="C14">
        <f t="shared" si="2"/>
        <v>0.378785916</v>
      </c>
      <c r="D14">
        <f t="shared" si="3"/>
        <v>0.23290153799999999</v>
      </c>
      <c r="E14">
        <f t="shared" si="4"/>
        <v>0.28785425399999998</v>
      </c>
      <c r="F14">
        <f t="shared" si="5"/>
        <v>0.10591835400000001</v>
      </c>
    </row>
    <row r="15" spans="1:13">
      <c r="A15">
        <v>2034</v>
      </c>
      <c r="B15">
        <f t="shared" si="1"/>
        <v>0.37117</v>
      </c>
      <c r="C15">
        <f t="shared" si="2"/>
        <v>0.378785916</v>
      </c>
      <c r="D15">
        <f t="shared" si="3"/>
        <v>0.23290153799999999</v>
      </c>
      <c r="E15">
        <f t="shared" si="4"/>
        <v>0.28785425399999998</v>
      </c>
      <c r="F15">
        <f t="shared" si="5"/>
        <v>0.10591835400000001</v>
      </c>
    </row>
    <row r="16" spans="1:13">
      <c r="A16">
        <v>2035</v>
      </c>
      <c r="B16">
        <f t="shared" si="1"/>
        <v>0.37117</v>
      </c>
      <c r="C16">
        <f t="shared" si="2"/>
        <v>0.378785916</v>
      </c>
      <c r="D16">
        <f t="shared" si="3"/>
        <v>0.23290153799999999</v>
      </c>
      <c r="E16">
        <f t="shared" si="4"/>
        <v>0.28785425399999998</v>
      </c>
      <c r="F16">
        <f t="shared" si="5"/>
        <v>0.10591835400000001</v>
      </c>
    </row>
    <row r="17" spans="1:6">
      <c r="A17">
        <v>2036</v>
      </c>
      <c r="B17">
        <f t="shared" si="1"/>
        <v>0.37117</v>
      </c>
      <c r="C17">
        <f t="shared" si="2"/>
        <v>0.378785916</v>
      </c>
      <c r="D17">
        <f t="shared" si="3"/>
        <v>0.23290153799999999</v>
      </c>
      <c r="E17">
        <f t="shared" si="4"/>
        <v>0.28785425399999998</v>
      </c>
      <c r="F17">
        <f t="shared" si="5"/>
        <v>0.10591835400000001</v>
      </c>
    </row>
    <row r="18" spans="1:6">
      <c r="A18">
        <v>2037</v>
      </c>
      <c r="B18">
        <f t="shared" si="1"/>
        <v>0.37117</v>
      </c>
      <c r="C18">
        <f t="shared" si="2"/>
        <v>0.378785916</v>
      </c>
      <c r="D18">
        <f t="shared" si="3"/>
        <v>0.23290153799999999</v>
      </c>
      <c r="E18">
        <f t="shared" si="4"/>
        <v>0.28785425399999998</v>
      </c>
      <c r="F18">
        <f t="shared" si="5"/>
        <v>0.10591835400000001</v>
      </c>
    </row>
    <row r="19" spans="1:6">
      <c r="A19">
        <v>2038</v>
      </c>
      <c r="B19">
        <f t="shared" si="1"/>
        <v>0.37117</v>
      </c>
      <c r="C19">
        <f t="shared" si="2"/>
        <v>0.378785916</v>
      </c>
      <c r="D19">
        <f t="shared" si="3"/>
        <v>0.23290153799999999</v>
      </c>
      <c r="E19">
        <f t="shared" si="4"/>
        <v>0.28785425399999998</v>
      </c>
      <c r="F19">
        <f t="shared" si="5"/>
        <v>0.10591835400000001</v>
      </c>
    </row>
    <row r="20" spans="1:6">
      <c r="A20">
        <v>2039</v>
      </c>
      <c r="B20">
        <f t="shared" si="1"/>
        <v>0.37117</v>
      </c>
      <c r="C20">
        <f t="shared" si="2"/>
        <v>0.378785916</v>
      </c>
      <c r="D20">
        <f t="shared" si="3"/>
        <v>0.23290153799999999</v>
      </c>
      <c r="E20">
        <f t="shared" si="4"/>
        <v>0.28785425399999998</v>
      </c>
      <c r="F20">
        <f t="shared" si="5"/>
        <v>0.10591835400000001</v>
      </c>
    </row>
    <row r="21" spans="1:6">
      <c r="A21">
        <v>2040</v>
      </c>
      <c r="B21">
        <f t="shared" si="1"/>
        <v>0.37117</v>
      </c>
      <c r="C21">
        <f t="shared" si="2"/>
        <v>0.378785916</v>
      </c>
      <c r="D21">
        <f t="shared" si="3"/>
        <v>0.23290153799999999</v>
      </c>
      <c r="E21">
        <f t="shared" si="4"/>
        <v>0.28785425399999998</v>
      </c>
      <c r="F21">
        <f t="shared" si="5"/>
        <v>0.10591835400000001</v>
      </c>
    </row>
    <row r="22" spans="1:6">
      <c r="A22">
        <v>2041</v>
      </c>
      <c r="B22">
        <f t="shared" si="1"/>
        <v>0.37117</v>
      </c>
      <c r="C22">
        <f t="shared" si="2"/>
        <v>0.378785916</v>
      </c>
      <c r="D22">
        <f t="shared" si="3"/>
        <v>0.23290153799999999</v>
      </c>
      <c r="E22">
        <f t="shared" si="4"/>
        <v>0.28785425399999998</v>
      </c>
      <c r="F22">
        <f t="shared" si="5"/>
        <v>0.10591835400000001</v>
      </c>
    </row>
    <row r="23" spans="1:6">
      <c r="A23">
        <v>2042</v>
      </c>
      <c r="B23">
        <f t="shared" si="1"/>
        <v>0.37117</v>
      </c>
      <c r="C23">
        <f t="shared" si="2"/>
        <v>0.378785916</v>
      </c>
      <c r="D23">
        <f t="shared" si="3"/>
        <v>0.23290153799999999</v>
      </c>
      <c r="E23">
        <f t="shared" si="4"/>
        <v>0.28785425399999998</v>
      </c>
      <c r="F23">
        <f t="shared" si="5"/>
        <v>0.10591835400000001</v>
      </c>
    </row>
    <row r="24" spans="1:6">
      <c r="A24">
        <v>2043</v>
      </c>
      <c r="B24">
        <f t="shared" si="1"/>
        <v>0.37117</v>
      </c>
      <c r="C24">
        <f t="shared" si="2"/>
        <v>0.378785916</v>
      </c>
      <c r="D24">
        <f t="shared" si="3"/>
        <v>0.23290153799999999</v>
      </c>
      <c r="E24">
        <f t="shared" si="4"/>
        <v>0.28785425399999998</v>
      </c>
      <c r="F24">
        <f t="shared" si="5"/>
        <v>0.10591835400000001</v>
      </c>
    </row>
    <row r="25" spans="1:6">
      <c r="A25">
        <v>2044</v>
      </c>
      <c r="B25">
        <f t="shared" si="1"/>
        <v>0.37117</v>
      </c>
      <c r="C25">
        <f t="shared" si="2"/>
        <v>0.378785916</v>
      </c>
      <c r="D25">
        <f t="shared" si="3"/>
        <v>0.23290153799999999</v>
      </c>
      <c r="E25">
        <f t="shared" si="4"/>
        <v>0.28785425399999998</v>
      </c>
      <c r="F25">
        <f t="shared" si="5"/>
        <v>0.10591835400000001</v>
      </c>
    </row>
    <row r="26" spans="1:6">
      <c r="A26">
        <v>2045</v>
      </c>
      <c r="B26">
        <f t="shared" si="1"/>
        <v>0.37117</v>
      </c>
      <c r="C26">
        <f t="shared" si="2"/>
        <v>0.378785916</v>
      </c>
      <c r="D26">
        <f t="shared" si="3"/>
        <v>0.23290153799999999</v>
      </c>
      <c r="E26">
        <f t="shared" si="4"/>
        <v>0.28785425399999998</v>
      </c>
      <c r="F26">
        <f t="shared" si="5"/>
        <v>0.10591835400000001</v>
      </c>
    </row>
    <row r="27" spans="1:6">
      <c r="A27">
        <v>2046</v>
      </c>
      <c r="B27">
        <f t="shared" si="1"/>
        <v>0.37117</v>
      </c>
      <c r="C27">
        <f t="shared" si="2"/>
        <v>0.378785916</v>
      </c>
      <c r="D27">
        <f t="shared" si="3"/>
        <v>0.23290153799999999</v>
      </c>
      <c r="E27">
        <f t="shared" si="4"/>
        <v>0.28785425399999998</v>
      </c>
      <c r="F27">
        <f t="shared" si="5"/>
        <v>0.10591835400000001</v>
      </c>
    </row>
    <row r="28" spans="1:6">
      <c r="A28">
        <v>2047</v>
      </c>
      <c r="B28">
        <f t="shared" si="1"/>
        <v>0.37117</v>
      </c>
      <c r="C28">
        <f t="shared" si="2"/>
        <v>0.378785916</v>
      </c>
      <c r="D28">
        <f t="shared" si="3"/>
        <v>0.23290153799999999</v>
      </c>
      <c r="E28">
        <f t="shared" si="4"/>
        <v>0.28785425399999998</v>
      </c>
      <c r="F28">
        <f t="shared" si="5"/>
        <v>0.10591835400000001</v>
      </c>
    </row>
    <row r="29" spans="1:6">
      <c r="A29">
        <v>2048</v>
      </c>
      <c r="B29">
        <f t="shared" si="1"/>
        <v>0.37117</v>
      </c>
      <c r="C29">
        <f t="shared" si="2"/>
        <v>0.378785916</v>
      </c>
      <c r="D29">
        <f t="shared" si="3"/>
        <v>0.23290153799999999</v>
      </c>
      <c r="E29">
        <f t="shared" si="4"/>
        <v>0.28785425399999998</v>
      </c>
      <c r="F29">
        <f t="shared" si="5"/>
        <v>0.10591835400000001</v>
      </c>
    </row>
    <row r="30" spans="1:6">
      <c r="A30">
        <v>2049</v>
      </c>
      <c r="B30">
        <f t="shared" si="1"/>
        <v>0.37117</v>
      </c>
      <c r="C30">
        <f t="shared" si="2"/>
        <v>0.378785916</v>
      </c>
      <c r="D30">
        <f t="shared" si="3"/>
        <v>0.23290153799999999</v>
      </c>
      <c r="E30">
        <f t="shared" si="4"/>
        <v>0.28785425399999998</v>
      </c>
      <c r="F30">
        <f t="shared" si="5"/>
        <v>0.10591835400000001</v>
      </c>
    </row>
    <row r="31" spans="1:6">
      <c r="A31">
        <v>2050</v>
      </c>
      <c r="B31">
        <f t="shared" si="1"/>
        <v>0.37117</v>
      </c>
      <c r="C31">
        <f t="shared" si="2"/>
        <v>0.378785916</v>
      </c>
      <c r="D31">
        <f t="shared" si="3"/>
        <v>0.23290153799999999</v>
      </c>
      <c r="E31">
        <f t="shared" si="4"/>
        <v>0.28785425399999998</v>
      </c>
      <c r="F31">
        <f t="shared" si="5"/>
        <v>0.10591835400000001</v>
      </c>
    </row>
    <row r="32" spans="1:6">
      <c r="A32">
        <v>2051</v>
      </c>
      <c r="B32">
        <f t="shared" si="1"/>
        <v>0.37117</v>
      </c>
      <c r="C32">
        <f t="shared" si="2"/>
        <v>0.378785916</v>
      </c>
      <c r="D32">
        <f t="shared" si="3"/>
        <v>0.23290153799999999</v>
      </c>
      <c r="E32">
        <f t="shared" si="4"/>
        <v>0.28785425399999998</v>
      </c>
      <c r="F32">
        <f t="shared" si="5"/>
        <v>0.10591835400000001</v>
      </c>
    </row>
    <row r="33" spans="1:6">
      <c r="A33">
        <v>2052</v>
      </c>
      <c r="B33">
        <f t="shared" si="1"/>
        <v>0.37117</v>
      </c>
      <c r="C33">
        <f t="shared" si="2"/>
        <v>0.378785916</v>
      </c>
      <c r="D33">
        <f t="shared" si="3"/>
        <v>0.23290153799999999</v>
      </c>
      <c r="E33">
        <f t="shared" si="4"/>
        <v>0.28785425399999998</v>
      </c>
      <c r="F33">
        <f t="shared" si="5"/>
        <v>0.10591835400000001</v>
      </c>
    </row>
    <row r="34" spans="1:6">
      <c r="A34">
        <v>2053</v>
      </c>
      <c r="B34">
        <f t="shared" si="1"/>
        <v>0.37117</v>
      </c>
      <c r="C34">
        <f t="shared" si="2"/>
        <v>0.378785916</v>
      </c>
      <c r="D34">
        <f t="shared" si="3"/>
        <v>0.23290153799999999</v>
      </c>
      <c r="E34">
        <f t="shared" si="4"/>
        <v>0.28785425399999998</v>
      </c>
      <c r="F34">
        <f t="shared" si="5"/>
        <v>0.10591835400000001</v>
      </c>
    </row>
    <row r="35" spans="1:6">
      <c r="A35">
        <v>2054</v>
      </c>
      <c r="B35">
        <f t="shared" si="1"/>
        <v>0.37117</v>
      </c>
      <c r="C35">
        <f t="shared" si="2"/>
        <v>0.378785916</v>
      </c>
      <c r="D35">
        <f t="shared" si="3"/>
        <v>0.23290153799999999</v>
      </c>
      <c r="E35">
        <f t="shared" si="4"/>
        <v>0.28785425399999998</v>
      </c>
      <c r="F35">
        <f t="shared" si="5"/>
        <v>0.10591835400000001</v>
      </c>
    </row>
    <row r="36" spans="1:6">
      <c r="A36">
        <v>2055</v>
      </c>
      <c r="B36">
        <f t="shared" si="1"/>
        <v>0.37117</v>
      </c>
      <c r="C36">
        <f t="shared" si="2"/>
        <v>0.378785916</v>
      </c>
      <c r="D36">
        <f t="shared" si="3"/>
        <v>0.23290153799999999</v>
      </c>
      <c r="E36">
        <f t="shared" si="4"/>
        <v>0.28785425399999998</v>
      </c>
      <c r="F36">
        <f t="shared" si="5"/>
        <v>0.10591835400000001</v>
      </c>
    </row>
    <row r="37" spans="1:6">
      <c r="A37">
        <v>2056</v>
      </c>
      <c r="B37">
        <f t="shared" si="1"/>
        <v>0.37117</v>
      </c>
      <c r="C37">
        <f t="shared" si="2"/>
        <v>0.378785916</v>
      </c>
      <c r="D37">
        <f t="shared" si="3"/>
        <v>0.23290153799999999</v>
      </c>
      <c r="E37">
        <f t="shared" si="4"/>
        <v>0.28785425399999998</v>
      </c>
      <c r="F37">
        <f t="shared" si="5"/>
        <v>0.10591835400000001</v>
      </c>
    </row>
    <row r="38" spans="1:6">
      <c r="A38">
        <v>2057</v>
      </c>
      <c r="B38">
        <f t="shared" si="1"/>
        <v>0.37117</v>
      </c>
      <c r="C38">
        <f t="shared" si="2"/>
        <v>0.378785916</v>
      </c>
      <c r="D38">
        <f t="shared" si="3"/>
        <v>0.23290153799999999</v>
      </c>
      <c r="E38">
        <f t="shared" si="4"/>
        <v>0.28785425399999998</v>
      </c>
      <c r="F38">
        <f t="shared" si="5"/>
        <v>0.10591835400000001</v>
      </c>
    </row>
    <row r="39" spans="1:6">
      <c r="A39">
        <v>2058</v>
      </c>
      <c r="B39">
        <f t="shared" si="1"/>
        <v>0.37117</v>
      </c>
      <c r="C39">
        <f t="shared" si="2"/>
        <v>0.378785916</v>
      </c>
      <c r="D39">
        <f t="shared" si="3"/>
        <v>0.23290153799999999</v>
      </c>
      <c r="E39">
        <f t="shared" si="4"/>
        <v>0.28785425399999998</v>
      </c>
      <c r="F39">
        <f t="shared" si="5"/>
        <v>0.10591835400000001</v>
      </c>
    </row>
    <row r="40" spans="1:6">
      <c r="A40">
        <v>2059</v>
      </c>
      <c r="B40">
        <f t="shared" si="1"/>
        <v>0.37117</v>
      </c>
      <c r="C40">
        <f t="shared" si="2"/>
        <v>0.378785916</v>
      </c>
      <c r="D40">
        <f t="shared" si="3"/>
        <v>0.23290153799999999</v>
      </c>
      <c r="E40">
        <f t="shared" si="4"/>
        <v>0.28785425399999998</v>
      </c>
      <c r="F40">
        <f t="shared" si="5"/>
        <v>0.10591835400000001</v>
      </c>
    </row>
    <row r="41" spans="1:6">
      <c r="A41">
        <v>2060</v>
      </c>
      <c r="B41">
        <f t="shared" si="1"/>
        <v>0.37117</v>
      </c>
      <c r="C41">
        <f t="shared" si="2"/>
        <v>0.378785916</v>
      </c>
      <c r="D41">
        <f t="shared" si="3"/>
        <v>0.23290153799999999</v>
      </c>
      <c r="E41">
        <f t="shared" si="4"/>
        <v>0.28785425399999998</v>
      </c>
      <c r="F41">
        <f t="shared" si="5"/>
        <v>0.10591835400000001</v>
      </c>
    </row>
    <row r="42" spans="1:6">
      <c r="A42">
        <v>2061</v>
      </c>
      <c r="B42">
        <f t="shared" si="1"/>
        <v>0.37117</v>
      </c>
      <c r="C42">
        <f t="shared" si="2"/>
        <v>0.378785916</v>
      </c>
      <c r="D42">
        <f t="shared" si="3"/>
        <v>0.23290153799999999</v>
      </c>
      <c r="E42">
        <f t="shared" si="4"/>
        <v>0.28785425399999998</v>
      </c>
      <c r="F42">
        <f t="shared" si="5"/>
        <v>0.10591835400000001</v>
      </c>
    </row>
    <row r="43" spans="1:6">
      <c r="A43">
        <v>2062</v>
      </c>
      <c r="B43">
        <f t="shared" si="1"/>
        <v>0.37117</v>
      </c>
      <c r="C43">
        <f t="shared" si="2"/>
        <v>0.378785916</v>
      </c>
      <c r="D43">
        <f t="shared" si="3"/>
        <v>0.23290153799999999</v>
      </c>
      <c r="E43">
        <f t="shared" si="4"/>
        <v>0.28785425399999998</v>
      </c>
      <c r="F43">
        <f t="shared" si="5"/>
        <v>0.10591835400000001</v>
      </c>
    </row>
    <row r="44" spans="1:6">
      <c r="A44">
        <v>2063</v>
      </c>
      <c r="B44">
        <f t="shared" si="1"/>
        <v>0.37117</v>
      </c>
      <c r="C44">
        <f t="shared" si="2"/>
        <v>0.378785916</v>
      </c>
      <c r="D44">
        <f t="shared" si="3"/>
        <v>0.23290153799999999</v>
      </c>
      <c r="E44">
        <f t="shared" si="4"/>
        <v>0.28785425399999998</v>
      </c>
      <c r="F44">
        <f t="shared" si="5"/>
        <v>0.10591835400000001</v>
      </c>
    </row>
    <row r="45" spans="1:6">
      <c r="A45">
        <v>2064</v>
      </c>
      <c r="B45">
        <f t="shared" si="1"/>
        <v>0.37117</v>
      </c>
      <c r="C45">
        <f t="shared" si="2"/>
        <v>0.378785916</v>
      </c>
      <c r="D45">
        <f t="shared" si="3"/>
        <v>0.23290153799999999</v>
      </c>
      <c r="E45">
        <f t="shared" si="4"/>
        <v>0.28785425399999998</v>
      </c>
      <c r="F45">
        <f t="shared" si="5"/>
        <v>0.10591835400000001</v>
      </c>
    </row>
    <row r="46" spans="1:6">
      <c r="A46">
        <v>2065</v>
      </c>
      <c r="B46">
        <f t="shared" si="1"/>
        <v>0.37117</v>
      </c>
      <c r="C46">
        <f t="shared" si="2"/>
        <v>0.378785916</v>
      </c>
      <c r="D46">
        <f t="shared" si="3"/>
        <v>0.23290153799999999</v>
      </c>
      <c r="E46">
        <f t="shared" si="4"/>
        <v>0.28785425399999998</v>
      </c>
      <c r="F46">
        <f t="shared" si="5"/>
        <v>0.10591835400000001</v>
      </c>
    </row>
    <row r="47" spans="1:6">
      <c r="A47">
        <v>2066</v>
      </c>
      <c r="B47">
        <f t="shared" si="1"/>
        <v>0.37117</v>
      </c>
      <c r="C47">
        <f t="shared" si="2"/>
        <v>0.378785916</v>
      </c>
      <c r="D47">
        <f t="shared" si="3"/>
        <v>0.23290153799999999</v>
      </c>
      <c r="E47">
        <f t="shared" si="4"/>
        <v>0.28785425399999998</v>
      </c>
      <c r="F47">
        <f t="shared" si="5"/>
        <v>0.10591835400000001</v>
      </c>
    </row>
    <row r="48" spans="1:6">
      <c r="A48">
        <v>2067</v>
      </c>
      <c r="B48">
        <f t="shared" si="1"/>
        <v>0.37117</v>
      </c>
      <c r="C48">
        <f t="shared" si="2"/>
        <v>0.378785916</v>
      </c>
      <c r="D48">
        <f t="shared" si="3"/>
        <v>0.23290153799999999</v>
      </c>
      <c r="E48">
        <f t="shared" si="4"/>
        <v>0.28785425399999998</v>
      </c>
      <c r="F48">
        <f t="shared" si="5"/>
        <v>0.10591835400000001</v>
      </c>
    </row>
    <row r="49" spans="1:6">
      <c r="A49">
        <v>2068</v>
      </c>
      <c r="B49">
        <f t="shared" si="1"/>
        <v>0.37117</v>
      </c>
      <c r="C49">
        <f t="shared" si="2"/>
        <v>0.378785916</v>
      </c>
      <c r="D49">
        <f t="shared" si="3"/>
        <v>0.23290153799999999</v>
      </c>
      <c r="E49">
        <f t="shared" si="4"/>
        <v>0.28785425399999998</v>
      </c>
      <c r="F49">
        <f t="shared" si="5"/>
        <v>0.10591835400000001</v>
      </c>
    </row>
    <row r="50" spans="1:6">
      <c r="A50">
        <v>2069</v>
      </c>
      <c r="B50">
        <f t="shared" si="1"/>
        <v>0.37117</v>
      </c>
      <c r="C50">
        <f t="shared" si="2"/>
        <v>0.378785916</v>
      </c>
      <c r="D50">
        <f t="shared" si="3"/>
        <v>0.23290153799999999</v>
      </c>
      <c r="E50">
        <f t="shared" si="4"/>
        <v>0.28785425399999998</v>
      </c>
      <c r="F50">
        <f t="shared" si="5"/>
        <v>0.10591835400000001</v>
      </c>
    </row>
    <row r="51" spans="1:6">
      <c r="A51">
        <v>2070</v>
      </c>
      <c r="B51">
        <f t="shared" si="1"/>
        <v>0.37117</v>
      </c>
      <c r="C51">
        <f t="shared" si="2"/>
        <v>0.378785916</v>
      </c>
      <c r="D51">
        <f t="shared" si="3"/>
        <v>0.23290153799999999</v>
      </c>
      <c r="E51">
        <f t="shared" si="4"/>
        <v>0.28785425399999998</v>
      </c>
      <c r="F51">
        <f t="shared" si="5"/>
        <v>0.10591835400000001</v>
      </c>
    </row>
    <row r="52" spans="1:6">
      <c r="A52">
        <v>2071</v>
      </c>
      <c r="B52">
        <f t="shared" si="1"/>
        <v>0.37117</v>
      </c>
      <c r="C52">
        <f t="shared" si="2"/>
        <v>0.378785916</v>
      </c>
      <c r="D52">
        <f t="shared" si="3"/>
        <v>0.23290153799999999</v>
      </c>
      <c r="E52">
        <f t="shared" si="4"/>
        <v>0.28785425399999998</v>
      </c>
      <c r="F52">
        <f t="shared" si="5"/>
        <v>0.10591835400000001</v>
      </c>
    </row>
    <row r="53" spans="1:6">
      <c r="A53">
        <v>2072</v>
      </c>
      <c r="B53">
        <f t="shared" si="1"/>
        <v>0.37117</v>
      </c>
      <c r="C53">
        <f t="shared" si="2"/>
        <v>0.378785916</v>
      </c>
      <c r="D53">
        <f t="shared" si="3"/>
        <v>0.23290153799999999</v>
      </c>
      <c r="E53">
        <f t="shared" si="4"/>
        <v>0.28785425399999998</v>
      </c>
      <c r="F53">
        <f t="shared" si="5"/>
        <v>0.10591835400000001</v>
      </c>
    </row>
    <row r="54" spans="1:6">
      <c r="A54">
        <v>2073</v>
      </c>
      <c r="B54">
        <f t="shared" si="1"/>
        <v>0.37117</v>
      </c>
      <c r="C54">
        <f t="shared" si="2"/>
        <v>0.378785916</v>
      </c>
      <c r="D54">
        <f t="shared" si="3"/>
        <v>0.23290153799999999</v>
      </c>
      <c r="E54">
        <f t="shared" si="4"/>
        <v>0.28785425399999998</v>
      </c>
      <c r="F54">
        <f t="shared" si="5"/>
        <v>0.10591835400000001</v>
      </c>
    </row>
    <row r="55" spans="1:6">
      <c r="A55">
        <v>2074</v>
      </c>
      <c r="B55">
        <f t="shared" si="1"/>
        <v>0.37117</v>
      </c>
      <c r="C55">
        <f t="shared" si="2"/>
        <v>0.378785916</v>
      </c>
      <c r="D55">
        <f t="shared" si="3"/>
        <v>0.23290153799999999</v>
      </c>
      <c r="E55">
        <f t="shared" si="4"/>
        <v>0.28785425399999998</v>
      </c>
      <c r="F55">
        <f t="shared" si="5"/>
        <v>0.10591835400000001</v>
      </c>
    </row>
    <row r="56" spans="1:6">
      <c r="A56">
        <v>2075</v>
      </c>
      <c r="B56">
        <f t="shared" si="1"/>
        <v>0.37117</v>
      </c>
      <c r="C56">
        <f t="shared" si="2"/>
        <v>0.378785916</v>
      </c>
      <c r="D56">
        <f t="shared" si="3"/>
        <v>0.23290153799999999</v>
      </c>
      <c r="E56">
        <f t="shared" si="4"/>
        <v>0.28785425399999998</v>
      </c>
      <c r="F56">
        <f t="shared" si="5"/>
        <v>0.10591835400000001</v>
      </c>
    </row>
    <row r="57" spans="1:6">
      <c r="A57">
        <v>2076</v>
      </c>
      <c r="B57">
        <f t="shared" si="1"/>
        <v>0.37117</v>
      </c>
      <c r="C57">
        <f t="shared" si="2"/>
        <v>0.378785916</v>
      </c>
      <c r="D57">
        <f t="shared" si="3"/>
        <v>0.23290153799999999</v>
      </c>
      <c r="E57">
        <f t="shared" si="4"/>
        <v>0.28785425399999998</v>
      </c>
      <c r="F57">
        <f t="shared" si="5"/>
        <v>0.10591835400000001</v>
      </c>
    </row>
    <row r="58" spans="1:6">
      <c r="A58">
        <v>2077</v>
      </c>
      <c r="B58">
        <f t="shared" si="1"/>
        <v>0.37117</v>
      </c>
      <c r="C58">
        <f t="shared" si="2"/>
        <v>0.378785916</v>
      </c>
      <c r="D58">
        <f t="shared" si="3"/>
        <v>0.23290153799999999</v>
      </c>
      <c r="E58">
        <f t="shared" si="4"/>
        <v>0.28785425399999998</v>
      </c>
      <c r="F58">
        <f t="shared" si="5"/>
        <v>0.10591835400000001</v>
      </c>
    </row>
    <row r="59" spans="1:6">
      <c r="A59">
        <v>2078</v>
      </c>
      <c r="B59">
        <f t="shared" si="1"/>
        <v>0.37117</v>
      </c>
      <c r="C59">
        <f t="shared" si="2"/>
        <v>0.378785916</v>
      </c>
      <c r="D59">
        <f t="shared" si="3"/>
        <v>0.23290153799999999</v>
      </c>
      <c r="E59">
        <f t="shared" si="4"/>
        <v>0.28785425399999998</v>
      </c>
      <c r="F59">
        <f t="shared" si="5"/>
        <v>0.10591835400000001</v>
      </c>
    </row>
    <row r="60" spans="1:6">
      <c r="A60">
        <v>2079</v>
      </c>
      <c r="B60">
        <f t="shared" si="1"/>
        <v>0.37117</v>
      </c>
      <c r="C60">
        <f t="shared" si="2"/>
        <v>0.378785916</v>
      </c>
      <c r="D60">
        <f t="shared" si="3"/>
        <v>0.23290153799999999</v>
      </c>
      <c r="E60">
        <f t="shared" si="4"/>
        <v>0.28785425399999998</v>
      </c>
      <c r="F60">
        <f t="shared" si="5"/>
        <v>0.10591835400000001</v>
      </c>
    </row>
    <row r="61" spans="1:6">
      <c r="A61">
        <v>2080</v>
      </c>
      <c r="B61">
        <f t="shared" si="1"/>
        <v>0.37117</v>
      </c>
      <c r="C61">
        <f t="shared" si="2"/>
        <v>0.378785916</v>
      </c>
      <c r="D61">
        <f t="shared" si="3"/>
        <v>0.23290153799999999</v>
      </c>
      <c r="E61">
        <f t="shared" si="4"/>
        <v>0.28785425399999998</v>
      </c>
      <c r="F61">
        <f t="shared" si="5"/>
        <v>0.10591835400000001</v>
      </c>
    </row>
    <row r="62" spans="1:6">
      <c r="A62">
        <v>2081</v>
      </c>
      <c r="B62">
        <f t="shared" si="1"/>
        <v>0.37117</v>
      </c>
      <c r="C62">
        <f t="shared" si="2"/>
        <v>0.378785916</v>
      </c>
      <c r="D62">
        <f t="shared" si="3"/>
        <v>0.23290153799999999</v>
      </c>
      <c r="E62">
        <f t="shared" si="4"/>
        <v>0.28785425399999998</v>
      </c>
      <c r="F62">
        <f t="shared" si="5"/>
        <v>0.10591835400000001</v>
      </c>
    </row>
    <row r="63" spans="1:6">
      <c r="A63">
        <v>2082</v>
      </c>
      <c r="B63">
        <f t="shared" si="1"/>
        <v>0.37117</v>
      </c>
      <c r="C63">
        <f t="shared" si="2"/>
        <v>0.378785916</v>
      </c>
      <c r="D63">
        <f t="shared" si="3"/>
        <v>0.23290153799999999</v>
      </c>
      <c r="E63">
        <f t="shared" si="4"/>
        <v>0.28785425399999998</v>
      </c>
      <c r="F63">
        <f t="shared" si="5"/>
        <v>0.10591835400000001</v>
      </c>
    </row>
  </sheetData>
  <phoneticPr fontId="6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00BA-CA9F-44FB-9335-0353DBA4697A}">
  <dimension ref="A1:B2"/>
  <sheetViews>
    <sheetView workbookViewId="0">
      <selection activeCell="A3" sqref="A3"/>
    </sheetView>
  </sheetViews>
  <sheetFormatPr defaultRowHeight="14.5"/>
  <sheetData>
    <row r="1" spans="1:2">
      <c r="A1" t="s">
        <v>5</v>
      </c>
      <c r="B1" t="s">
        <v>62</v>
      </c>
    </row>
    <row r="2" spans="1:2">
      <c r="A2">
        <v>0.180541702</v>
      </c>
      <c r="B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5460-7724-45BA-85CF-653E160203FA}">
  <dimension ref="A1:P39"/>
  <sheetViews>
    <sheetView workbookViewId="0">
      <selection activeCell="H39" sqref="H39"/>
    </sheetView>
  </sheetViews>
  <sheetFormatPr defaultRowHeight="14.5"/>
  <cols>
    <col min="3" max="3" width="10.81640625" bestFit="1" customWidth="1"/>
  </cols>
  <sheetData>
    <row r="1" spans="1:16">
      <c r="A1" t="s">
        <v>66</v>
      </c>
      <c r="B1" t="s">
        <v>29</v>
      </c>
      <c r="C1" t="s">
        <v>1</v>
      </c>
      <c r="D1" t="s">
        <v>2</v>
      </c>
      <c r="E1" t="s">
        <v>3</v>
      </c>
      <c r="F1" t="s">
        <v>4</v>
      </c>
      <c r="H1" t="s">
        <v>46</v>
      </c>
      <c r="K1" t="s">
        <v>66</v>
      </c>
      <c r="L1" t="s">
        <v>29</v>
      </c>
      <c r="M1" t="s">
        <v>1</v>
      </c>
      <c r="N1" t="s">
        <v>2</v>
      </c>
      <c r="O1" t="s">
        <v>3</v>
      </c>
      <c r="P1" t="s">
        <v>4</v>
      </c>
    </row>
    <row r="2" spans="1:16">
      <c r="B2" t="s">
        <v>49</v>
      </c>
      <c r="C2">
        <f>Table6183442[[#This Row],[2a]]/3131</f>
        <v>365.60359952178851</v>
      </c>
      <c r="D2">
        <f>Table6183442[[#This Row],[3c]]/3131</f>
        <v>365.60359952178851</v>
      </c>
      <c r="E2">
        <f>Table6183442[[#This Row],[4a]]/3131</f>
        <v>365.60359952178851</v>
      </c>
      <c r="F2">
        <f>Table6183442[[#This Row],[5a]]/3131</f>
        <v>365.60359952178851</v>
      </c>
      <c r="H2" t="s">
        <v>66</v>
      </c>
      <c r="L2" t="s">
        <v>49</v>
      </c>
      <c r="M2">
        <v>1144704.8701027199</v>
      </c>
      <c r="N2">
        <v>1144704.8701027199</v>
      </c>
      <c r="O2">
        <v>1144704.8701027199</v>
      </c>
      <c r="P2">
        <v>1144704.8701027199</v>
      </c>
    </row>
    <row r="3" spans="1:16">
      <c r="B3" t="s">
        <v>50</v>
      </c>
      <c r="C3">
        <f>Table6183442[[#This Row],[2a]]/3131</f>
        <v>365.60359952178851</v>
      </c>
      <c r="D3">
        <f>Table6183442[[#This Row],[3c]]/3131</f>
        <v>365.60359952178851</v>
      </c>
      <c r="E3">
        <f>Table6183442[[#This Row],[4a]]/3131</f>
        <v>365.60359952178851</v>
      </c>
      <c r="F3">
        <f>Table6183442[[#This Row],[5a]]/3131</f>
        <v>365.60359952178851</v>
      </c>
      <c r="H3" t="s">
        <v>67</v>
      </c>
      <c r="L3" t="s">
        <v>50</v>
      </c>
      <c r="M3">
        <v>1144704.8701027199</v>
      </c>
      <c r="N3">
        <v>1144704.8701027199</v>
      </c>
      <c r="O3">
        <v>1144704.8701027199</v>
      </c>
      <c r="P3">
        <v>1144704.8701027199</v>
      </c>
    </row>
    <row r="4" spans="1:16">
      <c r="B4" t="s">
        <v>51</v>
      </c>
      <c r="C4">
        <f>Table6183442[[#This Row],[2a]]/3131</f>
        <v>322.72446777724156</v>
      </c>
      <c r="D4">
        <f>Table6183442[[#This Row],[3c]]/3131</f>
        <v>322.72446777724156</v>
      </c>
      <c r="E4">
        <f>Table6183442[[#This Row],[4a]]/3131</f>
        <v>265.44328793693495</v>
      </c>
      <c r="F4">
        <f>Table6183442[[#This Row],[5a]]/3131</f>
        <v>389.85713677161266</v>
      </c>
      <c r="H4" t="s">
        <v>68</v>
      </c>
      <c r="L4" t="s">
        <v>51</v>
      </c>
      <c r="M4">
        <v>1010450.3086105433</v>
      </c>
      <c r="N4">
        <v>1010450.3086105433</v>
      </c>
      <c r="O4">
        <v>831102.93453054328</v>
      </c>
      <c r="P4">
        <v>1220642.6952319192</v>
      </c>
    </row>
    <row r="5" spans="1:16">
      <c r="B5" t="s">
        <v>52</v>
      </c>
      <c r="C5">
        <f>Table6183442[[#This Row],[2a]]/3131</f>
        <v>243.72845501204958</v>
      </c>
      <c r="D5">
        <f>Table6183442[[#This Row],[3c]]/3131</f>
        <v>365.60359952178851</v>
      </c>
      <c r="E5">
        <f>Table6183442[[#This Row],[4a]]/3131</f>
        <v>365.60359952178851</v>
      </c>
      <c r="F5">
        <f>Table6183442[[#This Row],[5a]]/3131</f>
        <v>365.60359952178851</v>
      </c>
      <c r="H5" t="s">
        <v>69</v>
      </c>
      <c r="L5" t="s">
        <v>52</v>
      </c>
      <c r="M5">
        <v>763113.79264272726</v>
      </c>
      <c r="N5">
        <v>1144704.8701027199</v>
      </c>
      <c r="O5">
        <v>1144704.8701027199</v>
      </c>
      <c r="P5">
        <v>1144704.8701027199</v>
      </c>
    </row>
    <row r="6" spans="1:16">
      <c r="B6" t="s">
        <v>82</v>
      </c>
      <c r="C6">
        <f>Table6183442[[#This Row],[2a]]/3131</f>
        <v>322.72446777724156</v>
      </c>
      <c r="D6">
        <f>Table6183442[[#This Row],[3c]]/3131</f>
        <v>322.72446777724156</v>
      </c>
      <c r="E6">
        <f>Table6183442[[#This Row],[4a]]/3131</f>
        <v>265.44328793693495</v>
      </c>
      <c r="F6">
        <f>Table6183442[[#This Row],[5a]]/3131</f>
        <v>389.85713677161266</v>
      </c>
      <c r="L6" t="s">
        <v>82</v>
      </c>
      <c r="M6">
        <v>1010450.3086105433</v>
      </c>
      <c r="N6">
        <v>1010450.3086105433</v>
      </c>
      <c r="O6">
        <v>831102.93453054328</v>
      </c>
      <c r="P6">
        <v>1220642.6952319192</v>
      </c>
    </row>
    <row r="7" spans="1:16">
      <c r="B7" t="s">
        <v>81</v>
      </c>
      <c r="C7">
        <f>Table6183442[[#This Row],[2a]]/3131</f>
        <v>322.73171427171599</v>
      </c>
      <c r="D7">
        <f>Table6183442[[#This Row],[3c]]/3131</f>
        <v>322.73171427171599</v>
      </c>
      <c r="E7">
        <f>Table6183442[[#This Row],[4a]]/3131</f>
        <v>265.45053443140938</v>
      </c>
      <c r="F7">
        <f>Table6183442[[#This Row],[5a]]/3131</f>
        <v>389.85713677161266</v>
      </c>
      <c r="L7" t="s">
        <v>81</v>
      </c>
      <c r="M7">
        <v>1010472.9973847427</v>
      </c>
      <c r="N7">
        <v>1010472.9973847427</v>
      </c>
      <c r="O7">
        <v>831125.62330474274</v>
      </c>
      <c r="P7">
        <v>1220642.6952319192</v>
      </c>
    </row>
    <row r="8" spans="1:16">
      <c r="A8" t="s">
        <v>67</v>
      </c>
    </row>
    <row r="9" spans="1:16">
      <c r="B9" t="s">
        <v>36</v>
      </c>
      <c r="C9" t="s">
        <v>1</v>
      </c>
      <c r="D9" t="s">
        <v>2</v>
      </c>
      <c r="E9" t="s">
        <v>3</v>
      </c>
      <c r="F9" t="s">
        <v>4</v>
      </c>
      <c r="K9" t="s">
        <v>67</v>
      </c>
      <c r="L9" t="s">
        <v>36</v>
      </c>
      <c r="M9" t="s">
        <v>1</v>
      </c>
      <c r="N9" t="s">
        <v>2</v>
      </c>
      <c r="O9" t="s">
        <v>3</v>
      </c>
      <c r="P9" t="s">
        <v>4</v>
      </c>
    </row>
    <row r="10" spans="1:16">
      <c r="B10" t="s">
        <v>49</v>
      </c>
      <c r="C10">
        <f>Table7193543[[#This Row],[2a]]/3131</f>
        <v>1167.0499625740349</v>
      </c>
      <c r="D10">
        <f>Table7193543[[#This Row],[3c]]/3131</f>
        <v>1167.0499625740349</v>
      </c>
      <c r="E10">
        <f>Table7193543[[#This Row],[4a]]/3131</f>
        <v>1167.0499625740349</v>
      </c>
      <c r="F10">
        <f>Table7193543[[#This Row],[5a]]/3131</f>
        <v>1167.0499625740349</v>
      </c>
      <c r="L10" t="s">
        <v>49</v>
      </c>
      <c r="M10">
        <v>3654033.4328193036</v>
      </c>
      <c r="N10">
        <v>3654033.4328193036</v>
      </c>
      <c r="O10">
        <v>3654033.4328193036</v>
      </c>
      <c r="P10">
        <v>3654033.4328193036</v>
      </c>
    </row>
    <row r="11" spans="1:16">
      <c r="B11" t="s">
        <v>50</v>
      </c>
      <c r="C11">
        <f>Table7193543[[#This Row],[2a]]/3131</f>
        <v>1167.0499625740349</v>
      </c>
      <c r="D11">
        <f>Table7193543[[#This Row],[3c]]/3131</f>
        <v>1167.0499625740349</v>
      </c>
      <c r="E11">
        <f>Table7193543[[#This Row],[4a]]/3131</f>
        <v>1167.0499625740349</v>
      </c>
      <c r="F11">
        <f>Table7193543[[#This Row],[5a]]/3131</f>
        <v>1167.0499625740349</v>
      </c>
      <c r="L11" t="s">
        <v>50</v>
      </c>
      <c r="M11">
        <v>3654033.4328193036</v>
      </c>
      <c r="N11">
        <v>3654033.4328193036</v>
      </c>
      <c r="O11">
        <v>3654033.4328193036</v>
      </c>
      <c r="P11">
        <v>3654033.4328193036</v>
      </c>
    </row>
    <row r="12" spans="1:16">
      <c r="B12" t="s">
        <v>51</v>
      </c>
      <c r="C12">
        <f>Table7193543[[#This Row],[2a]]/3131</f>
        <v>992.51834924125296</v>
      </c>
      <c r="D12">
        <f>Table7193543[[#This Row],[3c]]/3131</f>
        <v>992.51834924125296</v>
      </c>
      <c r="E12">
        <f>Table7193543[[#This Row],[4a]]/3131</f>
        <v>854.77100542010965</v>
      </c>
      <c r="F12">
        <f>Table7193543[[#This Row],[5a]]/3131</f>
        <v>1208.6965748006319</v>
      </c>
      <c r="L12" t="s">
        <v>51</v>
      </c>
      <c r="M12">
        <v>3107574.951474363</v>
      </c>
      <c r="N12">
        <v>3107574.951474363</v>
      </c>
      <c r="O12">
        <v>2676288.0179703631</v>
      </c>
      <c r="P12">
        <v>3784428.9757007784</v>
      </c>
    </row>
    <row r="13" spans="1:16">
      <c r="B13" t="s">
        <v>52</v>
      </c>
      <c r="C13">
        <f>Table7193543[[#This Row],[2a]]/3131</f>
        <v>778.0100761373609</v>
      </c>
      <c r="D13">
        <f>Table7193543[[#This Row],[3c]]/3131</f>
        <v>1167.0499625740349</v>
      </c>
      <c r="E13">
        <f>Table7193543[[#This Row],[4a]]/3131</f>
        <v>1167.0499625740349</v>
      </c>
      <c r="F13">
        <f>Table7193543[[#This Row],[5a]]/3131</f>
        <v>1167.0499625740349</v>
      </c>
      <c r="L13" t="s">
        <v>52</v>
      </c>
      <c r="M13">
        <v>2435949.5483860769</v>
      </c>
      <c r="N13">
        <v>3654033.4328193036</v>
      </c>
      <c r="O13">
        <v>3654033.4328193036</v>
      </c>
      <c r="P13">
        <v>3654033.4328193036</v>
      </c>
    </row>
    <row r="14" spans="1:16">
      <c r="B14" t="s">
        <v>82</v>
      </c>
      <c r="C14">
        <f>Table7193543[[#This Row],[2a]]/3131</f>
        <v>992.51834924125296</v>
      </c>
      <c r="D14">
        <f>Table7193543[[#This Row],[3c]]/3131</f>
        <v>992.51834924125296</v>
      </c>
      <c r="E14">
        <f>Table7193543[[#This Row],[4a]]/3131</f>
        <v>854.77100542010965</v>
      </c>
      <c r="F14">
        <f>Table7193543[[#This Row],[5a]]/3131</f>
        <v>1208.6965748006319</v>
      </c>
      <c r="L14" t="s">
        <v>82</v>
      </c>
      <c r="M14">
        <v>3107574.951474363</v>
      </c>
      <c r="N14">
        <v>3107574.951474363</v>
      </c>
      <c r="O14">
        <v>2676288.0179703631</v>
      </c>
      <c r="P14">
        <v>3784428.9757007784</v>
      </c>
    </row>
    <row r="15" spans="1:16">
      <c r="B15" t="s">
        <v>81</v>
      </c>
      <c r="C15">
        <f>Table7193543[[#This Row],[2a]]/3131</f>
        <v>992.54168414422145</v>
      </c>
      <c r="D15">
        <f>Table7193543[[#This Row],[3c]]/3131</f>
        <v>992.54168414422145</v>
      </c>
      <c r="E15">
        <f>Table7193543[[#This Row],[4a]]/3131</f>
        <v>854.79434032307813</v>
      </c>
      <c r="F15">
        <f>Table7193543[[#This Row],[5a]]/3131</f>
        <v>1208.6965748006319</v>
      </c>
      <c r="L15" t="s">
        <v>81</v>
      </c>
      <c r="M15">
        <v>3107648.0130555574</v>
      </c>
      <c r="N15">
        <v>3107648.0130555574</v>
      </c>
      <c r="O15">
        <v>2676361.0795515575</v>
      </c>
      <c r="P15">
        <v>3784428.9757007784</v>
      </c>
    </row>
    <row r="16" spans="1:16">
      <c r="A16" t="s">
        <v>68</v>
      </c>
    </row>
    <row r="17" spans="1:16">
      <c r="B17" t="s">
        <v>36</v>
      </c>
      <c r="C17" t="s">
        <v>1</v>
      </c>
      <c r="D17" t="s">
        <v>2</v>
      </c>
      <c r="E17" t="s">
        <v>3</v>
      </c>
      <c r="F17" t="s">
        <v>4</v>
      </c>
      <c r="K17" t="s">
        <v>68</v>
      </c>
      <c r="L17" t="s">
        <v>36</v>
      </c>
      <c r="M17" t="s">
        <v>1</v>
      </c>
      <c r="N17" t="s">
        <v>2</v>
      </c>
      <c r="O17" t="s">
        <v>3</v>
      </c>
      <c r="P17" t="s">
        <v>4</v>
      </c>
    </row>
    <row r="18" spans="1:16">
      <c r="B18" t="s">
        <v>49</v>
      </c>
      <c r="C18">
        <f>Table719223644[[#This Row],[2a]]/3131</f>
        <v>128.99099453189513</v>
      </c>
      <c r="D18">
        <f>Table719223644[[#This Row],[3c]]/3131</f>
        <v>128.99099453189513</v>
      </c>
      <c r="E18">
        <f>Table719223644[[#This Row],[4a]]/3131</f>
        <v>128.99099453189513</v>
      </c>
      <c r="F18">
        <f>Table719223644[[#This Row],[5a]]/3131</f>
        <v>128.99099453189513</v>
      </c>
      <c r="L18" t="s">
        <v>49</v>
      </c>
      <c r="M18">
        <v>403870.80387936364</v>
      </c>
      <c r="N18">
        <v>403870.80387936364</v>
      </c>
      <c r="O18">
        <v>403870.80387936364</v>
      </c>
      <c r="P18">
        <v>403870.80387936364</v>
      </c>
    </row>
    <row r="19" spans="1:16">
      <c r="B19" t="s">
        <v>50</v>
      </c>
      <c r="C19">
        <f>Table719223644[[#This Row],[2a]]/3131</f>
        <v>128.99099453189513</v>
      </c>
      <c r="D19">
        <f>Table719223644[[#This Row],[3c]]/3131</f>
        <v>128.99099453189513</v>
      </c>
      <c r="E19">
        <f>Table719223644[[#This Row],[4a]]/3131</f>
        <v>128.99099453189513</v>
      </c>
      <c r="F19">
        <f>Table719223644[[#This Row],[5a]]/3131</f>
        <v>128.99099453189513</v>
      </c>
      <c r="L19" t="s">
        <v>50</v>
      </c>
      <c r="M19">
        <v>403870.80387936364</v>
      </c>
      <c r="N19">
        <v>403870.80387936364</v>
      </c>
      <c r="O19">
        <v>403870.80387936364</v>
      </c>
      <c r="P19">
        <v>403870.80387936364</v>
      </c>
    </row>
    <row r="20" spans="1:16">
      <c r="B20" t="s">
        <v>51</v>
      </c>
      <c r="C20">
        <f>Table719223644[[#This Row],[2a]]/3131</f>
        <v>118.97094127701317</v>
      </c>
      <c r="D20">
        <f>Table719223644[[#This Row],[3c]]/3131</f>
        <v>118.97094127701317</v>
      </c>
      <c r="E20">
        <f>Table719223644[[#This Row],[4a]]/3131</f>
        <v>93.677197012305399</v>
      </c>
      <c r="F20">
        <f>Table719223644[[#This Row],[5a]]/3131</f>
        <v>142.66263191355208</v>
      </c>
      <c r="L20" t="s">
        <v>51</v>
      </c>
      <c r="M20">
        <v>372498.01713832823</v>
      </c>
      <c r="N20">
        <v>372498.01713832823</v>
      </c>
      <c r="O20">
        <v>293303.30384552822</v>
      </c>
      <c r="P20">
        <v>446676.70052133151</v>
      </c>
    </row>
    <row r="21" spans="1:16">
      <c r="B21" t="s">
        <v>52</v>
      </c>
      <c r="C21">
        <f>Table719223644[[#This Row],[2a]]/3131</f>
        <v>85.991428554994087</v>
      </c>
      <c r="D21">
        <f>Table719223644[[#This Row],[3c]]/3131</f>
        <v>128.99099453189513</v>
      </c>
      <c r="E21">
        <f>Table719223644[[#This Row],[4a]]/3131</f>
        <v>128.99099453189513</v>
      </c>
      <c r="F21">
        <f>Table719223644[[#This Row],[5a]]/3131</f>
        <v>128.99099453189513</v>
      </c>
      <c r="L21" t="s">
        <v>52</v>
      </c>
      <c r="M21">
        <v>269239.16280568647</v>
      </c>
      <c r="N21">
        <v>403870.80387936364</v>
      </c>
      <c r="O21">
        <v>403870.80387936364</v>
      </c>
      <c r="P21">
        <v>403870.80387936364</v>
      </c>
    </row>
    <row r="22" spans="1:16">
      <c r="B22" t="s">
        <v>82</v>
      </c>
      <c r="C22">
        <f>Table719223644[[#This Row],[2a]]/3131</f>
        <v>118.97094127701317</v>
      </c>
      <c r="D22">
        <f>Table719223644[[#This Row],[3c]]/3131</f>
        <v>118.97094127701317</v>
      </c>
      <c r="E22">
        <f>Table719223644[[#This Row],[4a]]/3131</f>
        <v>93.677197012305399</v>
      </c>
      <c r="F22">
        <f>Table719223644[[#This Row],[5a]]/3131</f>
        <v>142.66263191355208</v>
      </c>
      <c r="L22" t="s">
        <v>82</v>
      </c>
      <c r="M22">
        <v>372498.01713832823</v>
      </c>
      <c r="N22">
        <v>372498.01713832823</v>
      </c>
      <c r="O22">
        <v>293303.30384552822</v>
      </c>
      <c r="P22">
        <v>446676.70052133151</v>
      </c>
    </row>
    <row r="23" spans="1:16">
      <c r="B23" t="s">
        <v>81</v>
      </c>
      <c r="C23">
        <f>Table719223644[[#This Row],[2a]]/3131</f>
        <v>118.97349862662934</v>
      </c>
      <c r="D23">
        <f>Table719223644[[#This Row],[3c]]/3131</f>
        <v>118.97349862662934</v>
      </c>
      <c r="E23">
        <f>Table719223644[[#This Row],[4a]]/3131</f>
        <v>93.679754361921582</v>
      </c>
      <c r="F23">
        <f>Table719223644[[#This Row],[5a]]/3131</f>
        <v>142.66263191355208</v>
      </c>
      <c r="L23" t="s">
        <v>81</v>
      </c>
      <c r="M23">
        <v>372506.02419997647</v>
      </c>
      <c r="N23">
        <v>372506.02419997647</v>
      </c>
      <c r="O23">
        <v>293311.31090717646</v>
      </c>
      <c r="P23">
        <v>446676.70052133151</v>
      </c>
    </row>
    <row r="24" spans="1:16">
      <c r="A24" t="s">
        <v>69</v>
      </c>
    </row>
    <row r="25" spans="1:16">
      <c r="B25" t="s">
        <v>36</v>
      </c>
      <c r="C25" t="s">
        <v>1</v>
      </c>
      <c r="D25" t="s">
        <v>2</v>
      </c>
      <c r="E25" t="s">
        <v>3</v>
      </c>
      <c r="F25" t="s">
        <v>4</v>
      </c>
      <c r="K25" t="s">
        <v>69</v>
      </c>
      <c r="L25" t="s">
        <v>36</v>
      </c>
      <c r="M25" t="s">
        <v>1</v>
      </c>
      <c r="N25" t="s">
        <v>2</v>
      </c>
      <c r="O25" t="s">
        <v>3</v>
      </c>
      <c r="P25" t="s">
        <v>4</v>
      </c>
    </row>
    <row r="26" spans="1:16">
      <c r="B26" t="s">
        <v>49</v>
      </c>
      <c r="C26">
        <f>Table71922233745[[#This Row],[2a]]/3131</f>
        <v>0.14523936629283665</v>
      </c>
      <c r="D26">
        <f>Table71922233745[[#This Row],[3c]]/3131</f>
        <v>0.14523936629283665</v>
      </c>
      <c r="E26">
        <f>Table71922233745[[#This Row],[4a]]/3131</f>
        <v>0.14523936629283665</v>
      </c>
      <c r="F26">
        <f>Table71922233745[[#This Row],[5a]]/3131</f>
        <v>0.14523936629283665</v>
      </c>
      <c r="L26" t="s">
        <v>49</v>
      </c>
      <c r="M26">
        <v>454.74445586287152</v>
      </c>
      <c r="N26">
        <v>454.74445586287152</v>
      </c>
      <c r="O26">
        <v>454.74445586287152</v>
      </c>
      <c r="P26">
        <v>454.74445586287152</v>
      </c>
    </row>
    <row r="27" spans="1:16">
      <c r="B27" t="s">
        <v>50</v>
      </c>
      <c r="C27">
        <f>Table71922233745[[#This Row],[2a]]/3131</f>
        <v>0.14523936629283665</v>
      </c>
      <c r="D27">
        <f>Table71922233745[[#This Row],[3c]]/3131</f>
        <v>0.14523936629283665</v>
      </c>
      <c r="E27">
        <f>Table71922233745[[#This Row],[4a]]/3131</f>
        <v>0.14523936629283665</v>
      </c>
      <c r="F27">
        <f>Table71922233745[[#This Row],[5a]]/3131</f>
        <v>0.14523936629283665</v>
      </c>
      <c r="L27" t="s">
        <v>50</v>
      </c>
      <c r="M27">
        <v>454.74445586287152</v>
      </c>
      <c r="N27">
        <v>454.74445586287152</v>
      </c>
      <c r="O27">
        <v>454.74445586287152</v>
      </c>
      <c r="P27">
        <v>454.74445586287152</v>
      </c>
    </row>
    <row r="28" spans="1:16">
      <c r="B28" t="s">
        <v>51</v>
      </c>
      <c r="C28">
        <f>Table71922233745[[#This Row],[2a]]/3131</f>
        <v>0.27316984634815356</v>
      </c>
      <c r="D28">
        <f>Table71922233745[[#This Row],[3c]]/3131</f>
        <v>0.27316984634815356</v>
      </c>
      <c r="E28">
        <f>Table71922233745[[#This Row],[4a]]/3131</f>
        <v>0.14166875404537491</v>
      </c>
      <c r="F28">
        <f>Table71922233745[[#This Row],[5a]]/3131</f>
        <v>0.30899897446847985</v>
      </c>
      <c r="L28" t="s">
        <v>51</v>
      </c>
      <c r="M28">
        <v>855.2947889160688</v>
      </c>
      <c r="N28">
        <v>855.2947889160688</v>
      </c>
      <c r="O28">
        <v>443.5648689160688</v>
      </c>
      <c r="P28">
        <v>967.47578906081048</v>
      </c>
    </row>
    <row r="29" spans="1:16">
      <c r="B29" t="s">
        <v>52</v>
      </c>
      <c r="C29">
        <f>Table71922233745[[#This Row],[2a]]/3131</f>
        <v>9.6823352942324067E-2</v>
      </c>
      <c r="D29">
        <f>Table71922233745[[#This Row],[3c]]/3131</f>
        <v>0.14523936629283665</v>
      </c>
      <c r="E29">
        <f>Table71922233745[[#This Row],[4a]]/3131</f>
        <v>0.14523936629283665</v>
      </c>
      <c r="F29">
        <f>Table71922233745[[#This Row],[5a]]/3131</f>
        <v>0.14523936629283665</v>
      </c>
      <c r="L29" t="s">
        <v>52</v>
      </c>
      <c r="M29">
        <v>303.15391806241666</v>
      </c>
      <c r="N29">
        <v>454.74445586287152</v>
      </c>
      <c r="O29">
        <v>454.74445586287152</v>
      </c>
      <c r="P29">
        <v>454.74445586287152</v>
      </c>
    </row>
    <row r="30" spans="1:16">
      <c r="B30" t="s">
        <v>82</v>
      </c>
      <c r="C30">
        <f>Table71922233745[[#This Row],[2a]]/3131</f>
        <v>0.27316984634815356</v>
      </c>
      <c r="D30">
        <f>Table71922233745[[#This Row],[3c]]/3131</f>
        <v>0.27316984634815356</v>
      </c>
      <c r="E30">
        <f>Table71922233745[[#This Row],[4a]]/3131</f>
        <v>0.14166875404537491</v>
      </c>
      <c r="F30">
        <f>Table71922233745[[#This Row],[5a]]/3131</f>
        <v>0.30899897446847985</v>
      </c>
      <c r="L30" t="s">
        <v>82</v>
      </c>
      <c r="M30">
        <v>855.2947889160688</v>
      </c>
      <c r="N30">
        <v>855.2947889160688</v>
      </c>
      <c r="O30">
        <v>443.5648689160688</v>
      </c>
      <c r="P30">
        <v>967.47578906081048</v>
      </c>
    </row>
    <row r="31" spans="1:16">
      <c r="B31" t="s">
        <v>81</v>
      </c>
      <c r="C31">
        <f>Table71922233745[[#This Row],[2a]]/3131</f>
        <v>0.27317371384787964</v>
      </c>
      <c r="D31">
        <f>Table71922233745[[#This Row],[3c]]/3131</f>
        <v>0.27317371384787964</v>
      </c>
      <c r="E31">
        <f>Table71922233745[[#This Row],[4a]]/3131</f>
        <v>0.14167262154510096</v>
      </c>
      <c r="F31">
        <f>Table71922233745[[#This Row],[5a]]/3131</f>
        <v>0.30899897446847985</v>
      </c>
      <c r="L31" t="s">
        <v>81</v>
      </c>
      <c r="M31">
        <v>855.30689805771112</v>
      </c>
      <c r="N31">
        <v>855.30689805771112</v>
      </c>
      <c r="O31">
        <v>443.57697805771107</v>
      </c>
      <c r="P31">
        <v>967.47578906081048</v>
      </c>
    </row>
    <row r="32" spans="1:16">
      <c r="A32" t="s">
        <v>55</v>
      </c>
    </row>
    <row r="33" spans="2:6">
      <c r="B33" t="s">
        <v>36</v>
      </c>
      <c r="C33" t="s">
        <v>1</v>
      </c>
      <c r="D33" t="s">
        <v>2</v>
      </c>
      <c r="E33" t="s">
        <v>3</v>
      </c>
      <c r="F33" t="s">
        <v>4</v>
      </c>
    </row>
    <row r="34" spans="2:6">
      <c r="B34" t="s">
        <v>49</v>
      </c>
      <c r="C34">
        <f>IF(Results!$D$2='Refrigerants RS'!$H$2,'Refrigerants RS'!C2,IF(Results!$D$2='Refrigerants RS'!$H$3,'Refrigerants RS'!C10,IF(Results!$D$2='Refrigerants RS'!$H$4,'Refrigerants RS'!C18,'Refrigerants RS'!C26)))</f>
        <v>365.60359952178851</v>
      </c>
      <c r="D34">
        <f>IF(Results!$D$2='Refrigerants RS'!$H$2,'Refrigerants RS'!D2,IF(Results!$D$2='Refrigerants RS'!$H$3,'Refrigerants RS'!D10,IF(Results!$D$2='Refrigerants RS'!$H$4,'Refrigerants RS'!D18,'Refrigerants RS'!D26)))</f>
        <v>365.60359952178851</v>
      </c>
      <c r="E34">
        <f>IF(Results!$D$2='Refrigerants RS'!$H$2,'Refrigerants RS'!E2,IF(Results!$D$2='Refrigerants RS'!$H$3,'Refrigerants RS'!E10,IF(Results!$D$2='Refrigerants RS'!$H$4,'Refrigerants RS'!E18,'Refrigerants RS'!E26)))</f>
        <v>365.60359952178851</v>
      </c>
      <c r="F34">
        <f>IF(Results!$D$2='Refrigerants RS'!$H$2,'Refrigerants RS'!F2,IF(Results!$D$2='Refrigerants RS'!$H$3,'Refrigerants RS'!F10,IF(Results!$D$2='Refrigerants RS'!$H$4,'Refrigerants RS'!F18,'Refrigerants RS'!F26)))</f>
        <v>365.60359952178851</v>
      </c>
    </row>
    <row r="35" spans="2:6">
      <c r="B35" t="s">
        <v>50</v>
      </c>
      <c r="C35">
        <f>IF(Results!$D$2='Refrigerants RS'!$H$2,'Refrigerants RS'!C3,IF(Results!$D$2='Refrigerants RS'!$H$3,'Refrigerants RS'!C11,IF(Results!$D$2='Refrigerants RS'!$H$4,'Refrigerants RS'!C19,'Refrigerants RS'!C27)))</f>
        <v>365.60359952178851</v>
      </c>
      <c r="D35">
        <f>IF(Results!$D$2='Refrigerants RS'!$H$2,'Refrigerants RS'!D3,IF(Results!$D$2='Refrigerants RS'!$H$3,'Refrigerants RS'!D11,IF(Results!$D$2='Refrigerants RS'!$H$4,'Refrigerants RS'!D19,'Refrigerants RS'!D27)))</f>
        <v>365.60359952178851</v>
      </c>
      <c r="E35">
        <f>IF(Results!$D$2='Refrigerants RS'!$H$2,'Refrigerants RS'!E3,IF(Results!$D$2='Refrigerants RS'!$H$3,'Refrigerants RS'!E11,IF(Results!$D$2='Refrigerants RS'!$H$4,'Refrigerants RS'!E19,'Refrigerants RS'!E27)))</f>
        <v>365.60359952178851</v>
      </c>
      <c r="F35">
        <f>IF(Results!$D$2='Refrigerants RS'!$H$2,'Refrigerants RS'!F3,IF(Results!$D$2='Refrigerants RS'!$H$3,'Refrigerants RS'!F11,IF(Results!$D$2='Refrigerants RS'!$H$4,'Refrigerants RS'!F19,'Refrigerants RS'!F27)))</f>
        <v>365.60359952178851</v>
      </c>
    </row>
    <row r="36" spans="2:6">
      <c r="B36" t="s">
        <v>51</v>
      </c>
      <c r="C36">
        <f>IF(Results!$D$2='Refrigerants RS'!$H$2,'Refrigerants RS'!C4,IF(Results!$D$2='Refrigerants RS'!$H$3,'Refrigerants RS'!C12,IF(Results!$D$2='Refrigerants RS'!$H$4,'Refrigerants RS'!C20,'Refrigerants RS'!C28)))</f>
        <v>322.72446777724156</v>
      </c>
      <c r="D36">
        <f>IF(Results!$D$2='Refrigerants RS'!$H$2,'Refrigerants RS'!D4,IF(Results!$D$2='Refrigerants RS'!$H$3,'Refrigerants RS'!D12,IF(Results!$D$2='Refrigerants RS'!$H$4,'Refrigerants RS'!D20,'Refrigerants RS'!D28)))</f>
        <v>322.72446777724156</v>
      </c>
      <c r="E36">
        <f>IF(Results!$D$2='Refrigerants RS'!$H$2,'Refrigerants RS'!E4,IF(Results!$D$2='Refrigerants RS'!$H$3,'Refrigerants RS'!E12,IF(Results!$D$2='Refrigerants RS'!$H$4,'Refrigerants RS'!E20,'Refrigerants RS'!E28)))</f>
        <v>265.44328793693495</v>
      </c>
      <c r="F36">
        <f>IF(Results!$D$2='Refrigerants RS'!$H$2,'Refrigerants RS'!F4,IF(Results!$D$2='Refrigerants RS'!$H$3,'Refrigerants RS'!F12,IF(Results!$D$2='Refrigerants RS'!$H$4,'Refrigerants RS'!F20,'Refrigerants RS'!F28)))</f>
        <v>389.85713677161266</v>
      </c>
    </row>
    <row r="37" spans="2:6">
      <c r="B37" t="s">
        <v>52</v>
      </c>
      <c r="C37">
        <f>IF(Results!$D$2='Refrigerants RS'!$H$2,'Refrigerants RS'!C5,IF(Results!$D$2='Refrigerants RS'!$H$3,'Refrigerants RS'!C13,IF(Results!$D$2='Refrigerants RS'!$H$4,'Refrigerants RS'!C21,'Refrigerants RS'!C29)))</f>
        <v>243.72845501204958</v>
      </c>
      <c r="D37">
        <f>IF(Results!$D$2='Refrigerants RS'!$H$2,'Refrigerants RS'!D5,IF(Results!$D$2='Refrigerants RS'!$H$3,'Refrigerants RS'!D13,IF(Results!$D$2='Refrigerants RS'!$H$4,'Refrigerants RS'!D21,'Refrigerants RS'!D29)))</f>
        <v>365.60359952178851</v>
      </c>
      <c r="E37">
        <f>IF(Results!$D$2='Refrigerants RS'!$H$2,'Refrigerants RS'!E5,IF(Results!$D$2='Refrigerants RS'!$H$3,'Refrigerants RS'!E13,IF(Results!$D$2='Refrigerants RS'!$H$4,'Refrigerants RS'!E21,'Refrigerants RS'!E29)))</f>
        <v>365.60359952178851</v>
      </c>
      <c r="F37">
        <f>IF(Results!$D$2='Refrigerants RS'!$H$2,'Refrigerants RS'!F5,IF(Results!$D$2='Refrigerants RS'!$H$3,'Refrigerants RS'!F13,IF(Results!$D$2='Refrigerants RS'!$H$4,'Refrigerants RS'!F21,'Refrigerants RS'!F29)))</f>
        <v>365.60359952178851</v>
      </c>
    </row>
    <row r="38" spans="2:6">
      <c r="B38" t="s">
        <v>82</v>
      </c>
      <c r="C38">
        <f>IF(Results!$D$2='Refrigerants RS'!$H$2,'Refrigerants RS'!C6,IF(Results!$D$2='Refrigerants RS'!$H$3,'Refrigerants RS'!C14,IF(Results!$D$2='Refrigerants RS'!$H$4,'Refrigerants RS'!C22,'Refrigerants RS'!C30)))</f>
        <v>322.72446777724156</v>
      </c>
      <c r="D38">
        <f>IF(Results!$D$2='Refrigerants RS'!$H$2,'Refrigerants RS'!D6,IF(Results!$D$2='Refrigerants RS'!$H$3,'Refrigerants RS'!D14,IF(Results!$D$2='Refrigerants RS'!$H$4,'Refrigerants RS'!D22,'Refrigerants RS'!D30)))</f>
        <v>322.72446777724156</v>
      </c>
      <c r="E38">
        <f>IF(Results!$D$2='Refrigerants RS'!$H$2,'Refrigerants RS'!E6,IF(Results!$D$2='Refrigerants RS'!$H$3,'Refrigerants RS'!E14,IF(Results!$D$2='Refrigerants RS'!$H$4,'Refrigerants RS'!E22,'Refrigerants RS'!E30)))</f>
        <v>265.44328793693495</v>
      </c>
      <c r="F38">
        <f>IF(Results!$D$2='Refrigerants RS'!$H$2,'Refrigerants RS'!F6,IF(Results!$D$2='Refrigerants RS'!$H$3,'Refrigerants RS'!F14,IF(Results!$D$2='Refrigerants RS'!$H$4,'Refrigerants RS'!F22,'Refrigerants RS'!F30)))</f>
        <v>389.85713677161266</v>
      </c>
    </row>
    <row r="39" spans="2:6">
      <c r="B39" t="s">
        <v>81</v>
      </c>
      <c r="C39">
        <f>IF(Results!$D$2='Refrigerants RS'!$H$2,'Refrigerants RS'!C7,IF(Results!$D$2='Refrigerants RS'!$H$3,'Refrigerants RS'!C15,IF(Results!$D$2='Refrigerants RS'!$H$4,'Refrigerants RS'!C23,'Refrigerants RS'!C31)))</f>
        <v>322.73171427171599</v>
      </c>
      <c r="D39">
        <f>IF(Results!$D$2='Refrigerants RS'!$H$2,'Refrigerants RS'!D7,IF(Results!$D$2='Refrigerants RS'!$H$3,'Refrigerants RS'!D15,IF(Results!$D$2='Refrigerants RS'!$H$4,'Refrigerants RS'!D23,'Refrigerants RS'!D31)))</f>
        <v>322.73171427171599</v>
      </c>
      <c r="E39">
        <f>IF(Results!$D$2='Refrigerants RS'!$H$2,'Refrigerants RS'!E7,IF(Results!$D$2='Refrigerants RS'!$H$3,'Refrigerants RS'!E15,IF(Results!$D$2='Refrigerants RS'!$H$4,'Refrigerants RS'!E23,'Refrigerants RS'!E31)))</f>
        <v>265.45053443140938</v>
      </c>
      <c r="F39">
        <f>IF(Results!$D$2='Refrigerants RS'!$H$2,'Refrigerants RS'!F7,IF(Results!$D$2='Refrigerants RS'!$H$3,'Refrigerants RS'!F15,IF(Results!$D$2='Refrigerants RS'!$H$4,'Refrigerants RS'!F23,'Refrigerants RS'!F31)))</f>
        <v>389.85713677161266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F3C3-6B94-44D6-9F38-E60125236E44}">
  <dimension ref="A1:P39"/>
  <sheetViews>
    <sheetView workbookViewId="0">
      <selection activeCell="H39" sqref="H39"/>
    </sheetView>
  </sheetViews>
  <sheetFormatPr defaultRowHeight="14.5"/>
  <cols>
    <col min="3" max="3" width="10.81640625" bestFit="1" customWidth="1"/>
    <col min="13" max="13" width="11.81640625" bestFit="1" customWidth="1"/>
  </cols>
  <sheetData>
    <row r="1" spans="1:16">
      <c r="A1" t="s">
        <v>66</v>
      </c>
      <c r="B1" t="s">
        <v>29</v>
      </c>
      <c r="C1" t="s">
        <v>1</v>
      </c>
      <c r="D1" t="s">
        <v>2</v>
      </c>
      <c r="E1" t="s">
        <v>3</v>
      </c>
      <c r="F1" t="s">
        <v>4</v>
      </c>
      <c r="H1" t="s">
        <v>46</v>
      </c>
      <c r="K1" t="s">
        <v>66</v>
      </c>
      <c r="L1" t="s">
        <v>29</v>
      </c>
      <c r="M1" t="s">
        <v>1</v>
      </c>
      <c r="N1" t="s">
        <v>2</v>
      </c>
      <c r="O1" t="s">
        <v>3</v>
      </c>
      <c r="P1" t="s">
        <v>4</v>
      </c>
    </row>
    <row r="2" spans="1:16">
      <c r="B2" t="s">
        <v>49</v>
      </c>
      <c r="C2">
        <f>Table61834[[#This Row],[2a]]/3131</f>
        <v>487.45703696600276</v>
      </c>
      <c r="D2">
        <f>Table61834[[#This Row],[3c]]/3131</f>
        <v>487.45703696600276</v>
      </c>
      <c r="E2">
        <f>Table61834[[#This Row],[4a]]/3131</f>
        <v>365.60359952178851</v>
      </c>
      <c r="F2">
        <f>Table61834[[#This Row],[5a]]/3131</f>
        <v>365.60359952178851</v>
      </c>
      <c r="H2" t="s">
        <v>66</v>
      </c>
      <c r="L2" t="s">
        <v>49</v>
      </c>
      <c r="M2">
        <v>1526227.9827405547</v>
      </c>
      <c r="N2">
        <v>1526227.9827405547</v>
      </c>
      <c r="O2">
        <v>1144704.8701027199</v>
      </c>
      <c r="P2">
        <v>1144704.8701027199</v>
      </c>
    </row>
    <row r="3" spans="1:16">
      <c r="B3" t="s">
        <v>50</v>
      </c>
      <c r="C3">
        <f>Table61834[[#This Row],[2a]]/3131</f>
        <v>487.45703696600276</v>
      </c>
      <c r="D3">
        <f>Table61834[[#This Row],[3c]]/3131</f>
        <v>487.45703696600276</v>
      </c>
      <c r="E3">
        <f>Table61834[[#This Row],[4a]]/3131</f>
        <v>365.60359952178851</v>
      </c>
      <c r="F3">
        <f>Table61834[[#This Row],[5a]]/3131</f>
        <v>365.60359952178851</v>
      </c>
      <c r="H3" t="s">
        <v>67</v>
      </c>
      <c r="L3" t="s">
        <v>50</v>
      </c>
      <c r="M3">
        <v>1526227.9827405547</v>
      </c>
      <c r="N3">
        <v>1526227.9827405547</v>
      </c>
      <c r="O3">
        <v>1144704.8701027199</v>
      </c>
      <c r="P3">
        <v>1144704.8701027199</v>
      </c>
    </row>
    <row r="4" spans="1:16">
      <c r="B4" t="s">
        <v>51</v>
      </c>
      <c r="C4">
        <f>Table61834[[#This Row],[2a]]/3131</f>
        <v>322.72446777724156</v>
      </c>
      <c r="D4">
        <f>Table61834[[#This Row],[3c]]/3131</f>
        <v>389.86562279803661</v>
      </c>
      <c r="E4">
        <f>Table61834[[#This Row],[4a]]/3131</f>
        <v>265.44328793693495</v>
      </c>
      <c r="F4">
        <f>Table61834[[#This Row],[5a]]/3131</f>
        <v>389.86562279803661</v>
      </c>
      <c r="H4" t="s">
        <v>68</v>
      </c>
      <c r="L4" t="s">
        <v>51</v>
      </c>
      <c r="M4">
        <v>1010450.3086105433</v>
      </c>
      <c r="N4">
        <v>1220669.2649806526</v>
      </c>
      <c r="O4">
        <v>831102.93453054328</v>
      </c>
      <c r="P4">
        <v>1220669.2649806526</v>
      </c>
    </row>
    <row r="5" spans="1:16">
      <c r="B5" t="s">
        <v>52</v>
      </c>
      <c r="C5">
        <f>Table61834[[#This Row],[2a]]/3131</f>
        <v>365.60359952178851</v>
      </c>
      <c r="D5">
        <f>Table61834[[#This Row],[3c]]/3131</f>
        <v>365.60359952178851</v>
      </c>
      <c r="E5">
        <f>Table61834[[#This Row],[4a]]/3131</f>
        <v>365.60359952178851</v>
      </c>
      <c r="F5">
        <f>Table61834[[#This Row],[5a]]/3131</f>
        <v>365.60359952178851</v>
      </c>
      <c r="H5" t="s">
        <v>69</v>
      </c>
      <c r="L5" t="s">
        <v>52</v>
      </c>
      <c r="M5">
        <v>1144704.8701027199</v>
      </c>
      <c r="N5">
        <v>1144704.8701027199</v>
      </c>
      <c r="O5">
        <v>1144704.8701027199</v>
      </c>
      <c r="P5">
        <v>1144704.8701027199</v>
      </c>
    </row>
    <row r="6" spans="1:16">
      <c r="B6" t="s">
        <v>82</v>
      </c>
      <c r="C6">
        <f>Table61834[[#This Row],[2a]]/3131</f>
        <v>322.72446777724156</v>
      </c>
      <c r="D6">
        <f>Table61834[[#This Row],[3c]]/3131</f>
        <v>389.86562279803661</v>
      </c>
      <c r="E6">
        <f>Table61834[[#This Row],[4a]]/3131</f>
        <v>265.44328793693495</v>
      </c>
      <c r="F6">
        <f>Table61834[[#This Row],[5a]]/3131</f>
        <v>389.86562279803661</v>
      </c>
      <c r="L6" t="s">
        <v>82</v>
      </c>
      <c r="M6">
        <v>1010450.3086105433</v>
      </c>
      <c r="N6">
        <v>1220669.2649806526</v>
      </c>
      <c r="O6">
        <v>831102.93453054328</v>
      </c>
      <c r="P6">
        <v>1220669.2649806526</v>
      </c>
    </row>
    <row r="7" spans="1:16">
      <c r="B7" t="s">
        <v>81</v>
      </c>
      <c r="C7">
        <f>Table61834[[#This Row],[2a]]/3131</f>
        <v>322.73171427171599</v>
      </c>
      <c r="D7">
        <f>Table61834[[#This Row],[3c]]/3131</f>
        <v>389.85713677161266</v>
      </c>
      <c r="E7">
        <f>Table61834[[#This Row],[4a]]/3131</f>
        <v>265.45053443140938</v>
      </c>
      <c r="F7">
        <f>Table61834[[#This Row],[5a]]/3131</f>
        <v>389.85713677161266</v>
      </c>
      <c r="L7" t="s">
        <v>81</v>
      </c>
      <c r="M7">
        <v>1010472.9973847427</v>
      </c>
      <c r="N7">
        <v>1220642.6952319192</v>
      </c>
      <c r="O7">
        <v>831125.62330474274</v>
      </c>
      <c r="P7">
        <v>1220642.6952319192</v>
      </c>
    </row>
    <row r="9" spans="1:16">
      <c r="A9" t="s">
        <v>67</v>
      </c>
      <c r="B9" t="s">
        <v>36</v>
      </c>
      <c r="C9" t="s">
        <v>1</v>
      </c>
      <c r="D9" t="s">
        <v>2</v>
      </c>
      <c r="E9" t="s">
        <v>3</v>
      </c>
      <c r="F9" t="s">
        <v>4</v>
      </c>
      <c r="K9" t="s">
        <v>67</v>
      </c>
      <c r="L9" t="s">
        <v>36</v>
      </c>
      <c r="M9" t="s">
        <v>1</v>
      </c>
      <c r="N9" t="s">
        <v>2</v>
      </c>
      <c r="O9" t="s">
        <v>3</v>
      </c>
      <c r="P9" t="s">
        <v>4</v>
      </c>
    </row>
    <row r="10" spans="1:16">
      <c r="B10" t="s">
        <v>49</v>
      </c>
      <c r="C10">
        <f>Table71935[[#This Row],[2a]]/3131</f>
        <v>1556.0205574883032</v>
      </c>
      <c r="D10">
        <f>Table71935[[#This Row],[3c]]/3131</f>
        <v>1556.0205574883032</v>
      </c>
      <c r="E10">
        <f>Table71935[[#This Row],[4a]]/3131</f>
        <v>1167.0499625740349</v>
      </c>
      <c r="F10">
        <f>Table71935[[#This Row],[5a]]/3131</f>
        <v>1167.0499625740349</v>
      </c>
      <c r="L10" t="s">
        <v>49</v>
      </c>
      <c r="M10">
        <v>4871900.3654958773</v>
      </c>
      <c r="N10">
        <v>4871900.3654958773</v>
      </c>
      <c r="O10">
        <v>3654033.4328193036</v>
      </c>
      <c r="P10">
        <v>3654033.4328193036</v>
      </c>
    </row>
    <row r="11" spans="1:16">
      <c r="B11" t="s">
        <v>50</v>
      </c>
      <c r="C11">
        <f>Table71935[[#This Row],[2a]]/3131</f>
        <v>1556.0205574883032</v>
      </c>
      <c r="D11">
        <f>Table71935[[#This Row],[3c]]/3131</f>
        <v>1556.0205574883032</v>
      </c>
      <c r="E11">
        <f>Table71935[[#This Row],[4a]]/3131</f>
        <v>1167.0499625740349</v>
      </c>
      <c r="F11">
        <f>Table71935[[#This Row],[5a]]/3131</f>
        <v>1167.0499625740349</v>
      </c>
      <c r="L11" t="s">
        <v>50</v>
      </c>
      <c r="M11">
        <v>4871900.3654958773</v>
      </c>
      <c r="N11">
        <v>4871900.3654958773</v>
      </c>
      <c r="O11">
        <v>3654033.4328193036</v>
      </c>
      <c r="P11">
        <v>3654033.4328193036</v>
      </c>
    </row>
    <row r="12" spans="1:16">
      <c r="B12" t="s">
        <v>51</v>
      </c>
      <c r="C12">
        <f>Table71935[[#This Row],[2a]]/3131</f>
        <v>992.51834924125296</v>
      </c>
      <c r="D12">
        <f>Table71935[[#This Row],[3c]]/3131</f>
        <v>1208.7239012001612</v>
      </c>
      <c r="E12">
        <f>Table71935[[#This Row],[4a]]/3131</f>
        <v>854.77100542010965</v>
      </c>
      <c r="F12">
        <f>Table71935[[#This Row],[5a]]/3131</f>
        <v>1208.7239012001612</v>
      </c>
      <c r="L12" t="s">
        <v>51</v>
      </c>
      <c r="M12">
        <v>3107574.951474363</v>
      </c>
      <c r="N12">
        <v>3784514.5346577046</v>
      </c>
      <c r="O12">
        <v>2676288.0179703631</v>
      </c>
      <c r="P12">
        <v>3784514.5346577046</v>
      </c>
    </row>
    <row r="13" spans="1:16">
      <c r="B13" t="s">
        <v>52</v>
      </c>
      <c r="C13">
        <f>Table71935[[#This Row],[2a]]/3131</f>
        <v>1167.0499625740349</v>
      </c>
      <c r="D13">
        <f>Table71935[[#This Row],[3c]]/3131</f>
        <v>1167.0499625740349</v>
      </c>
      <c r="E13">
        <f>Table71935[[#This Row],[4a]]/3131</f>
        <v>1167.0499625740349</v>
      </c>
      <c r="F13">
        <f>Table71935[[#This Row],[5a]]/3131</f>
        <v>1167.0499625740349</v>
      </c>
      <c r="L13" t="s">
        <v>52</v>
      </c>
      <c r="M13">
        <v>3654033.4328193036</v>
      </c>
      <c r="N13">
        <v>3654033.4328193036</v>
      </c>
      <c r="O13">
        <v>3654033.4328193036</v>
      </c>
      <c r="P13">
        <v>3654033.4328193036</v>
      </c>
    </row>
    <row r="14" spans="1:16">
      <c r="B14" t="s">
        <v>82</v>
      </c>
      <c r="C14">
        <f>Table71935[[#This Row],[2a]]/3131</f>
        <v>992.51834924125296</v>
      </c>
      <c r="D14">
        <f>Table71935[[#This Row],[3c]]/3131</f>
        <v>1208.7239012001612</v>
      </c>
      <c r="E14">
        <f>Table71935[[#This Row],[4a]]/3131</f>
        <v>854.77100542010965</v>
      </c>
      <c r="F14">
        <f>Table71935[[#This Row],[5a]]/3131</f>
        <v>1208.7239012001612</v>
      </c>
      <c r="L14" t="s">
        <v>82</v>
      </c>
      <c r="M14">
        <v>3107574.951474363</v>
      </c>
      <c r="N14">
        <v>3784514.5346577046</v>
      </c>
      <c r="O14">
        <v>2676288.0179703631</v>
      </c>
      <c r="P14">
        <v>3784514.5346577046</v>
      </c>
    </row>
    <row r="15" spans="1:16">
      <c r="B15" t="s">
        <v>81</v>
      </c>
      <c r="C15">
        <f>Table71935[[#This Row],[2a]]/3131</f>
        <v>992.54168414422145</v>
      </c>
      <c r="D15">
        <f>Table71935[[#This Row],[3c]]/3131</f>
        <v>1208.6965748006319</v>
      </c>
      <c r="E15">
        <f>Table71935[[#This Row],[4a]]/3131</f>
        <v>854.79434032307813</v>
      </c>
      <c r="F15">
        <f>Table71935[[#This Row],[5a]]/3131</f>
        <v>1208.6965748006319</v>
      </c>
      <c r="L15" t="s">
        <v>81</v>
      </c>
      <c r="M15">
        <v>3107648.0130555574</v>
      </c>
      <c r="N15">
        <v>3784428.9757007784</v>
      </c>
      <c r="O15">
        <v>2676361.0795515575</v>
      </c>
      <c r="P15">
        <v>3784428.9757007784</v>
      </c>
    </row>
    <row r="17" spans="1:16">
      <c r="A17" t="s">
        <v>68</v>
      </c>
      <c r="B17" t="s">
        <v>36</v>
      </c>
      <c r="C17" t="s">
        <v>1</v>
      </c>
      <c r="D17" t="s">
        <v>2</v>
      </c>
      <c r="E17" t="s">
        <v>3</v>
      </c>
      <c r="F17" t="s">
        <v>4</v>
      </c>
      <c r="K17" t="s">
        <v>68</v>
      </c>
      <c r="L17" t="s">
        <v>36</v>
      </c>
      <c r="M17" t="s">
        <v>1</v>
      </c>
      <c r="N17" t="s">
        <v>2</v>
      </c>
      <c r="O17" t="s">
        <v>3</v>
      </c>
      <c r="P17" t="s">
        <v>4</v>
      </c>
    </row>
    <row r="18" spans="1:16">
      <c r="B18" t="s">
        <v>49</v>
      </c>
      <c r="C18">
        <f>Table7192236[[#This Row],[2a]]/3131</f>
        <v>171.98290189719054</v>
      </c>
      <c r="D18">
        <f>Table7192236[[#This Row],[3c]]/3131</f>
        <v>171.98290189719054</v>
      </c>
      <c r="E18">
        <f>Table7192236[[#This Row],[4a]]/3131</f>
        <v>128.99099453189513</v>
      </c>
      <c r="F18">
        <f>Table7192236[[#This Row],[5a]]/3131</f>
        <v>128.99099453189513</v>
      </c>
      <c r="L18" t="s">
        <v>49</v>
      </c>
      <c r="M18">
        <v>538478.46584010357</v>
      </c>
      <c r="N18">
        <v>538478.46584010357</v>
      </c>
      <c r="O18">
        <v>403870.80387936364</v>
      </c>
      <c r="P18">
        <v>403870.80387936364</v>
      </c>
    </row>
    <row r="19" spans="1:16">
      <c r="B19" t="s">
        <v>50</v>
      </c>
      <c r="C19">
        <f>Table7192236[[#This Row],[2a]]/3131</f>
        <v>171.98290189719054</v>
      </c>
      <c r="D19">
        <f>Table7192236[[#This Row],[3c]]/3131</f>
        <v>171.98290189719054</v>
      </c>
      <c r="E19">
        <f>Table7192236[[#This Row],[4a]]/3131</f>
        <v>128.99099453189513</v>
      </c>
      <c r="F19">
        <f>Table7192236[[#This Row],[5a]]/3131</f>
        <v>128.99099453189513</v>
      </c>
      <c r="L19" t="s">
        <v>50</v>
      </c>
      <c r="M19">
        <v>538478.46584010357</v>
      </c>
      <c r="N19">
        <v>538478.46584010357</v>
      </c>
      <c r="O19">
        <v>403870.80387936364</v>
      </c>
      <c r="P19">
        <v>403870.80387936364</v>
      </c>
    </row>
    <row r="20" spans="1:16">
      <c r="B20" t="s">
        <v>51</v>
      </c>
      <c r="C20">
        <f>Table7192236[[#This Row],[2a]]/3131</f>
        <v>118.97094127701317</v>
      </c>
      <c r="D20">
        <f>Table7192236[[#This Row],[3c]]/3131</f>
        <v>142.66562670455002</v>
      </c>
      <c r="E20">
        <f>Table7192236[[#This Row],[4a]]/3131</f>
        <v>93.677197012305399</v>
      </c>
      <c r="F20">
        <f>Table7192236[[#This Row],[5a]]/3131</f>
        <v>142.66562670455002</v>
      </c>
      <c r="L20" t="s">
        <v>51</v>
      </c>
      <c r="M20">
        <v>372498.01713832823</v>
      </c>
      <c r="N20">
        <v>446686.07721194607</v>
      </c>
      <c r="O20">
        <v>293303.30384552822</v>
      </c>
      <c r="P20">
        <v>446686.07721194607</v>
      </c>
    </row>
    <row r="21" spans="1:16">
      <c r="B21" t="s">
        <v>52</v>
      </c>
      <c r="C21">
        <f>Table7192236[[#This Row],[2a]]/3131</f>
        <v>128.99099453189513</v>
      </c>
      <c r="D21">
        <f>Table7192236[[#This Row],[3c]]/3131</f>
        <v>128.99099453189513</v>
      </c>
      <c r="E21">
        <f>Table7192236[[#This Row],[4a]]/3131</f>
        <v>128.99099453189513</v>
      </c>
      <c r="F21">
        <f>Table7192236[[#This Row],[5a]]/3131</f>
        <v>128.99099453189513</v>
      </c>
      <c r="L21" t="s">
        <v>52</v>
      </c>
      <c r="M21">
        <v>403870.80387936364</v>
      </c>
      <c r="N21">
        <v>403870.80387936364</v>
      </c>
      <c r="O21">
        <v>403870.80387936364</v>
      </c>
      <c r="P21">
        <v>403870.80387936364</v>
      </c>
    </row>
    <row r="22" spans="1:16">
      <c r="B22" t="s">
        <v>82</v>
      </c>
      <c r="C22">
        <f>Table7192236[[#This Row],[2a]]/3131</f>
        <v>118.97094127701317</v>
      </c>
      <c r="D22">
        <f>Table7192236[[#This Row],[3c]]/3131</f>
        <v>142.66562670455002</v>
      </c>
      <c r="E22">
        <f>Table7192236[[#This Row],[4a]]/3131</f>
        <v>93.677197012305399</v>
      </c>
      <c r="F22">
        <f>Table7192236[[#This Row],[5a]]/3131</f>
        <v>142.66562670455002</v>
      </c>
      <c r="L22" t="s">
        <v>82</v>
      </c>
      <c r="M22">
        <v>372498.01713832823</v>
      </c>
      <c r="N22">
        <v>446686.07721194607</v>
      </c>
      <c r="O22">
        <v>293303.30384552822</v>
      </c>
      <c r="P22">
        <v>446686.07721194607</v>
      </c>
    </row>
    <row r="23" spans="1:16">
      <c r="B23" t="s">
        <v>81</v>
      </c>
      <c r="C23">
        <f>Table7192236[[#This Row],[2a]]/3131</f>
        <v>118.97349862662934</v>
      </c>
      <c r="D23">
        <f>Table7192236[[#This Row],[3c]]/3131</f>
        <v>142.66263191355208</v>
      </c>
      <c r="E23">
        <f>Table7192236[[#This Row],[4a]]/3131</f>
        <v>93.679754361921582</v>
      </c>
      <c r="F23">
        <f>Table7192236[[#This Row],[5a]]/3131</f>
        <v>142.66263191355208</v>
      </c>
      <c r="L23" t="s">
        <v>81</v>
      </c>
      <c r="M23">
        <v>372506.02419997647</v>
      </c>
      <c r="N23">
        <v>446676.70052133151</v>
      </c>
      <c r="O23">
        <v>293311.31090717646</v>
      </c>
      <c r="P23">
        <v>446676.70052133151</v>
      </c>
    </row>
    <row r="25" spans="1:16">
      <c r="A25" t="s">
        <v>69</v>
      </c>
      <c r="B25" t="s">
        <v>36</v>
      </c>
      <c r="C25" t="s">
        <v>1</v>
      </c>
      <c r="D25" t="s">
        <v>2</v>
      </c>
      <c r="E25" t="s">
        <v>3</v>
      </c>
      <c r="F25" t="s">
        <v>4</v>
      </c>
      <c r="K25" t="s">
        <v>69</v>
      </c>
      <c r="L25" t="s">
        <v>36</v>
      </c>
      <c r="M25" t="s">
        <v>1</v>
      </c>
      <c r="N25" t="s">
        <v>2</v>
      </c>
      <c r="O25" t="s">
        <v>3</v>
      </c>
      <c r="P25" t="s">
        <v>4</v>
      </c>
    </row>
    <row r="26" spans="1:16">
      <c r="B26" t="s">
        <v>49</v>
      </c>
      <c r="C26">
        <f>Table719222337[[#This Row],[2a]]/3131</f>
        <v>0.19364675631347777</v>
      </c>
      <c r="D26">
        <f>Table719222337[[#This Row],[3c]]/3131</f>
        <v>0.19364675631347777</v>
      </c>
      <c r="E26">
        <f>Table719222337[[#This Row],[4a]]/3131</f>
        <v>0.14523936629283665</v>
      </c>
      <c r="F26">
        <f>Table719222337[[#This Row],[5a]]/3131</f>
        <v>0.14523936629283665</v>
      </c>
      <c r="L26" t="s">
        <v>49</v>
      </c>
      <c r="M26">
        <v>606.30799401749891</v>
      </c>
      <c r="N26">
        <v>606.30799401749891</v>
      </c>
      <c r="O26">
        <v>454.74445586287152</v>
      </c>
      <c r="P26">
        <v>454.74445586287152</v>
      </c>
    </row>
    <row r="27" spans="1:16">
      <c r="B27" t="s">
        <v>50</v>
      </c>
      <c r="C27">
        <f>Table719222337[[#This Row],[2a]]/3131</f>
        <v>0.19364675631347777</v>
      </c>
      <c r="D27">
        <f>Table719222337[[#This Row],[3c]]/3131</f>
        <v>0.19364675631347777</v>
      </c>
      <c r="E27">
        <f>Table719222337[[#This Row],[4a]]/3131</f>
        <v>0.14523936629283665</v>
      </c>
      <c r="F27">
        <f>Table719222337[[#This Row],[5a]]/3131</f>
        <v>0.14523936629283665</v>
      </c>
      <c r="L27" t="s">
        <v>50</v>
      </c>
      <c r="M27">
        <v>606.30799401749891</v>
      </c>
      <c r="N27">
        <v>606.30799401749891</v>
      </c>
      <c r="O27">
        <v>454.74445586287152</v>
      </c>
      <c r="P27">
        <v>454.74445586287152</v>
      </c>
    </row>
    <row r="28" spans="1:16">
      <c r="B28" t="s">
        <v>51</v>
      </c>
      <c r="C28">
        <f>Table719222337[[#This Row],[2a]]/3131</f>
        <v>0.27316984634815356</v>
      </c>
      <c r="D28">
        <f>Table719222337[[#This Row],[3c]]/3131</f>
        <v>0.30900350351421174</v>
      </c>
      <c r="E28">
        <f>Table719222337[[#This Row],[4a]]/3131</f>
        <v>0.14166875404537491</v>
      </c>
      <c r="F28">
        <f>Table719222337[[#This Row],[5a]]/3131</f>
        <v>0.30900350351421174</v>
      </c>
      <c r="L28" t="s">
        <v>51</v>
      </c>
      <c r="M28">
        <v>855.2947889160688</v>
      </c>
      <c r="N28">
        <v>967.48996950299704</v>
      </c>
      <c r="O28">
        <v>443.5648689160688</v>
      </c>
      <c r="P28">
        <v>967.48996950299704</v>
      </c>
    </row>
    <row r="29" spans="1:16">
      <c r="B29" t="s">
        <v>52</v>
      </c>
      <c r="C29">
        <f>Table719222337[[#This Row],[2a]]/3131</f>
        <v>0.14523936629283665</v>
      </c>
      <c r="D29">
        <f>Table719222337[[#This Row],[3c]]/3131</f>
        <v>0.14523936629283665</v>
      </c>
      <c r="E29">
        <f>Table719222337[[#This Row],[4a]]/3131</f>
        <v>0.14523936629283665</v>
      </c>
      <c r="F29">
        <f>Table719222337[[#This Row],[5a]]/3131</f>
        <v>0.14523936629283665</v>
      </c>
      <c r="L29" t="s">
        <v>52</v>
      </c>
      <c r="M29">
        <v>454.74445586287152</v>
      </c>
      <c r="N29">
        <v>454.74445586287152</v>
      </c>
      <c r="O29">
        <v>454.74445586287152</v>
      </c>
      <c r="P29">
        <v>454.74445586287152</v>
      </c>
    </row>
    <row r="30" spans="1:16">
      <c r="B30" t="s">
        <v>82</v>
      </c>
      <c r="C30">
        <f>Table719222337[[#This Row],[2a]]/3131</f>
        <v>0.27316984634815356</v>
      </c>
      <c r="D30">
        <f>Table719222337[[#This Row],[3c]]/3131</f>
        <v>0.30900350351421174</v>
      </c>
      <c r="E30">
        <f>Table719222337[[#This Row],[4a]]/3131</f>
        <v>0.14166875404537491</v>
      </c>
      <c r="F30">
        <f>Table719222337[[#This Row],[5a]]/3131</f>
        <v>0.30900350351421174</v>
      </c>
      <c r="L30" t="s">
        <v>82</v>
      </c>
      <c r="M30">
        <v>855.2947889160688</v>
      </c>
      <c r="N30">
        <v>967.48996950299704</v>
      </c>
      <c r="O30">
        <v>443.5648689160688</v>
      </c>
      <c r="P30">
        <v>967.48996950299704</v>
      </c>
    </row>
    <row r="31" spans="1:16">
      <c r="B31" t="s">
        <v>81</v>
      </c>
      <c r="C31">
        <f>Table719222337[[#This Row],[2a]]/3131</f>
        <v>0.27317371384787964</v>
      </c>
      <c r="D31">
        <f>Table719222337[[#This Row],[3c]]/3131</f>
        <v>0.30899897446847985</v>
      </c>
      <c r="E31">
        <f>Table719222337[[#This Row],[4a]]/3131</f>
        <v>0.14167262154510096</v>
      </c>
      <c r="F31">
        <f>Table719222337[[#This Row],[5a]]/3131</f>
        <v>0.30899897446847985</v>
      </c>
      <c r="L31" t="s">
        <v>81</v>
      </c>
      <c r="M31">
        <v>855.30689805771112</v>
      </c>
      <c r="N31">
        <v>967.47578906081048</v>
      </c>
      <c r="O31">
        <v>443.57697805771107</v>
      </c>
      <c r="P31">
        <v>967.47578906081048</v>
      </c>
    </row>
    <row r="33" spans="1:6">
      <c r="A33" t="s">
        <v>55</v>
      </c>
      <c r="B33" t="s">
        <v>36</v>
      </c>
      <c r="C33" t="s">
        <v>1</v>
      </c>
      <c r="D33" t="s">
        <v>2</v>
      </c>
      <c r="E33" t="s">
        <v>3</v>
      </c>
      <c r="F33" t="s">
        <v>4</v>
      </c>
    </row>
    <row r="34" spans="1:6">
      <c r="B34" t="s">
        <v>49</v>
      </c>
      <c r="C34">
        <f>IF(Results!$D$2='Refrigerants OS'!$H$2,'Refrigerants OS'!C2,IF(Results!$D$2='Refrigerants OS'!$H$3,'Refrigerants OS'!C10,IF(Results!$D$2='Refrigerants OS'!$H$4,'Refrigerants OS'!C18,'Refrigerants OS'!C26)))</f>
        <v>487.45703696600276</v>
      </c>
      <c r="D34">
        <f>IF(Results!$D$2='Refrigerants OS'!$H$2,'Refrigerants OS'!D2,IF(Results!$D$2='Refrigerants OS'!$H$3,'Refrigerants OS'!D10,IF(Results!$D$2='Refrigerants OS'!$H$4,'Refrigerants OS'!D18,'Refrigerants OS'!D26)))</f>
        <v>487.45703696600276</v>
      </c>
      <c r="E34">
        <f>IF(Results!$D$2='Refrigerants OS'!$H$2,'Refrigerants OS'!E2,IF(Results!$D$2='Refrigerants OS'!$H$3,'Refrigerants OS'!E10,IF(Results!$D$2='Refrigerants OS'!$H$4,'Refrigerants OS'!E18,'Refrigerants OS'!E26)))</f>
        <v>365.60359952178851</v>
      </c>
      <c r="F34">
        <f>IF(Results!$D$2='Refrigerants OS'!$H$2,'Refrigerants OS'!F2,IF(Results!$D$2='Refrigerants OS'!$H$3,'Refrigerants OS'!F10,IF(Results!$D$2='Refrigerants OS'!$H$4,'Refrigerants OS'!F18,'Refrigerants OS'!F26)))</f>
        <v>365.60359952178851</v>
      </c>
    </row>
    <row r="35" spans="1:6">
      <c r="B35" t="s">
        <v>50</v>
      </c>
      <c r="C35">
        <f>IF(Results!$D$2='Refrigerants OS'!$H$2,'Refrigerants OS'!C3,IF(Results!$D$2='Refrigerants OS'!$H$3,'Refrigerants OS'!C11,IF(Results!$D$2='Refrigerants OS'!$H$4,'Refrigerants OS'!C19,'Refrigerants OS'!C27)))</f>
        <v>487.45703696600276</v>
      </c>
      <c r="D35">
        <f>IF(Results!$D$2='Refrigerants OS'!$H$2,'Refrigerants OS'!D3,IF(Results!$D$2='Refrigerants OS'!$H$3,'Refrigerants OS'!D11,IF(Results!$D$2='Refrigerants OS'!$H$4,'Refrigerants OS'!D19,'Refrigerants OS'!D27)))</f>
        <v>487.45703696600276</v>
      </c>
      <c r="E35">
        <f>IF(Results!$D$2='Refrigerants OS'!$H$2,'Refrigerants OS'!E3,IF(Results!$D$2='Refrigerants OS'!$H$3,'Refrigerants OS'!E11,IF(Results!$D$2='Refrigerants OS'!$H$4,'Refrigerants OS'!E19,'Refrigerants OS'!E27)))</f>
        <v>365.60359952178851</v>
      </c>
      <c r="F35">
        <f>IF(Results!$D$2='Refrigerants OS'!$H$2,'Refrigerants OS'!F3,IF(Results!$D$2='Refrigerants OS'!$H$3,'Refrigerants OS'!F11,IF(Results!$D$2='Refrigerants OS'!$H$4,'Refrigerants OS'!F19,'Refrigerants OS'!F27)))</f>
        <v>365.60359952178851</v>
      </c>
    </row>
    <row r="36" spans="1:6">
      <c r="B36" t="s">
        <v>51</v>
      </c>
      <c r="C36">
        <f>IF(Results!$D$2='Refrigerants OS'!$H$2,'Refrigerants OS'!C4,IF(Results!$D$2='Refrigerants OS'!$H$3,'Refrigerants OS'!C12,IF(Results!$D$2='Refrigerants OS'!$H$4,'Refrigerants OS'!C20,'Refrigerants OS'!C28)))</f>
        <v>322.72446777724156</v>
      </c>
      <c r="D36">
        <f>IF(Results!$D$2='Refrigerants OS'!$H$2,'Refrigerants OS'!D4,IF(Results!$D$2='Refrigerants OS'!$H$3,'Refrigerants OS'!D12,IF(Results!$D$2='Refrigerants OS'!$H$4,'Refrigerants OS'!D20,'Refrigerants OS'!D28)))</f>
        <v>389.86562279803661</v>
      </c>
      <c r="E36">
        <f>IF(Results!$D$2='Refrigerants OS'!$H$2,'Refrigerants OS'!E4,IF(Results!$D$2='Refrigerants OS'!$H$3,'Refrigerants OS'!E12,IF(Results!$D$2='Refrigerants OS'!$H$4,'Refrigerants OS'!E20,'Refrigerants OS'!E28)))</f>
        <v>265.44328793693495</v>
      </c>
      <c r="F36">
        <f>IF(Results!$D$2='Refrigerants OS'!$H$2,'Refrigerants OS'!F4,IF(Results!$D$2='Refrigerants OS'!$H$3,'Refrigerants OS'!F12,IF(Results!$D$2='Refrigerants OS'!$H$4,'Refrigerants OS'!F20,'Refrigerants OS'!F28)))</f>
        <v>389.86562279803661</v>
      </c>
    </row>
    <row r="37" spans="1:6">
      <c r="B37" t="s">
        <v>52</v>
      </c>
      <c r="C37">
        <f>IF(Results!$D$2='Refrigerants OS'!$H$2,'Refrigerants OS'!C5,IF(Results!$D$2='Refrigerants OS'!$H$3,'Refrigerants OS'!C13,IF(Results!$D$2='Refrigerants OS'!$H$4,'Refrigerants OS'!C21,'Refrigerants OS'!C29)))</f>
        <v>365.60359952178851</v>
      </c>
      <c r="D37">
        <f>IF(Results!$D$2='Refrigerants OS'!$H$2,'Refrigerants OS'!D5,IF(Results!$D$2='Refrigerants OS'!$H$3,'Refrigerants OS'!D13,IF(Results!$D$2='Refrigerants OS'!$H$4,'Refrigerants OS'!D21,'Refrigerants OS'!D29)))</f>
        <v>365.60359952178851</v>
      </c>
      <c r="E37">
        <f>IF(Results!$D$2='Refrigerants OS'!$H$2,'Refrigerants OS'!E5,IF(Results!$D$2='Refrigerants OS'!$H$3,'Refrigerants OS'!E13,IF(Results!$D$2='Refrigerants OS'!$H$4,'Refrigerants OS'!E21,'Refrigerants OS'!E29)))</f>
        <v>365.60359952178851</v>
      </c>
      <c r="F37">
        <f>IF(Results!$D$2='Refrigerants OS'!$H$2,'Refrigerants OS'!F5,IF(Results!$D$2='Refrigerants OS'!$H$3,'Refrigerants OS'!F13,IF(Results!$D$2='Refrigerants OS'!$H$4,'Refrigerants OS'!F21,'Refrigerants OS'!F29)))</f>
        <v>365.60359952178851</v>
      </c>
    </row>
    <row r="38" spans="1:6">
      <c r="B38" t="s">
        <v>82</v>
      </c>
      <c r="C38">
        <f>IF(Results!$D$2='Refrigerants OS'!$H$2,'Refrigerants OS'!C6,IF(Results!$D$2='Refrigerants OS'!$H$3,'Refrigerants OS'!C14,IF(Results!$D$2='Refrigerants OS'!$H$4,'Refrigerants OS'!C22,'Refrigerants OS'!C30)))</f>
        <v>322.72446777724156</v>
      </c>
      <c r="D38">
        <f>IF(Results!$D$2='Refrigerants OS'!$H$2,'Refrigerants OS'!D6,IF(Results!$D$2='Refrigerants OS'!$H$3,'Refrigerants OS'!D14,IF(Results!$D$2='Refrigerants OS'!$H$4,'Refrigerants OS'!D22,'Refrigerants OS'!D30)))</f>
        <v>389.86562279803661</v>
      </c>
      <c r="E38">
        <f>IF(Results!$D$2='Refrigerants OS'!$H$2,'Refrigerants OS'!E6,IF(Results!$D$2='Refrigerants OS'!$H$3,'Refrigerants OS'!E14,IF(Results!$D$2='Refrigerants OS'!$H$4,'Refrigerants OS'!E22,'Refrigerants OS'!E30)))</f>
        <v>265.44328793693495</v>
      </c>
      <c r="F38">
        <f>IF(Results!$D$2='Refrigerants OS'!$H$2,'Refrigerants OS'!F6,IF(Results!$D$2='Refrigerants OS'!$H$3,'Refrigerants OS'!F14,IF(Results!$D$2='Refrigerants OS'!$H$4,'Refrigerants OS'!F22,'Refrigerants OS'!F30)))</f>
        <v>389.86562279803661</v>
      </c>
    </row>
    <row r="39" spans="1:6">
      <c r="B39" t="s">
        <v>81</v>
      </c>
      <c r="C39">
        <f>IF(Results!$D$2='Refrigerants OS'!$H$2,'Refrigerants OS'!C7,IF(Results!$D$2='Refrigerants OS'!$H$3,'Refrigerants OS'!C15,IF(Results!$D$2='Refrigerants OS'!$H$4,'Refrigerants OS'!C23,'Refrigerants OS'!C31)))</f>
        <v>322.73171427171599</v>
      </c>
      <c r="D39">
        <f>IF(Results!$D$2='Refrigerants OS'!$H$2,'Refrigerants OS'!D7,IF(Results!$D$2='Refrigerants OS'!$H$3,'Refrigerants OS'!D15,IF(Results!$D$2='Refrigerants OS'!$H$4,'Refrigerants OS'!D23,'Refrigerants OS'!D31)))</f>
        <v>389.85713677161266</v>
      </c>
      <c r="E39">
        <f>IF(Results!$D$2='Refrigerants OS'!$H$2,'Refrigerants OS'!E7,IF(Results!$D$2='Refrigerants OS'!$H$3,'Refrigerants OS'!E15,IF(Results!$D$2='Refrigerants OS'!$H$4,'Refrigerants OS'!E23,'Refrigerants OS'!E31)))</f>
        <v>265.45053443140938</v>
      </c>
      <c r="F39">
        <f>IF(Results!$D$2='Refrigerants OS'!$H$2,'Refrigerants OS'!F7,IF(Results!$D$2='Refrigerants OS'!$H$3,'Refrigerants OS'!F15,IF(Results!$D$2='Refrigerants OS'!$H$4,'Refrigerants OS'!F23,'Refrigerants OS'!F31)))</f>
        <v>389.85713677161266</v>
      </c>
    </row>
  </sheetData>
  <phoneticPr fontId="6" type="noConversion"/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EFC77-186C-4777-8B42-0CE800A8BBD4}">
  <dimension ref="A1:F19"/>
  <sheetViews>
    <sheetView zoomScale="108" zoomScaleNormal="70" workbookViewId="0">
      <selection activeCell="I31" sqref="I31"/>
    </sheetView>
  </sheetViews>
  <sheetFormatPr defaultRowHeight="14.5"/>
  <cols>
    <col min="1" max="1" width="24.36328125" customWidth="1"/>
    <col min="2" max="2" width="12.81640625" customWidth="1"/>
    <col min="3" max="3" width="15.1796875" customWidth="1"/>
    <col min="4" max="4" width="17.54296875" customWidth="1"/>
    <col min="5" max="5" width="20.1796875" customWidth="1"/>
    <col min="6" max="6" width="13.6328125" customWidth="1"/>
  </cols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10</v>
      </c>
    </row>
    <row r="2" spans="1:6">
      <c r="A2" t="s">
        <v>9</v>
      </c>
      <c r="B2" s="2">
        <f>'Embodied carbon emissions'!C18</f>
        <v>405.76596678377535</v>
      </c>
      <c r="C2" s="2">
        <f>'Embodied carbon emissions'!D18</f>
        <v>407.2460370488663</v>
      </c>
      <c r="D2" s="2">
        <f>'Embodied carbon emissions'!E18</f>
        <v>409.08383966783788</v>
      </c>
      <c r="E2" s="2">
        <f>'Embodied carbon emissions'!F18</f>
        <v>409.08371830086247</v>
      </c>
      <c r="F2" s="4">
        <f>AVERAGE(B2:E2)</f>
        <v>407.79489045033552</v>
      </c>
    </row>
    <row r="3" spans="1:6">
      <c r="A3" t="s">
        <v>70</v>
      </c>
      <c r="B3" s="2">
        <f>IF(Results!$E$5="Oversized",'Refrigerants OS'!C34,'Refrigerants RS'!C34)</f>
        <v>365.60359952178851</v>
      </c>
      <c r="C3" s="2">
        <f>IF(Results!$E$5="Oversized",'Refrigerants OS'!D34,'Refrigerants RS'!D34)</f>
        <v>365.60359952178851</v>
      </c>
      <c r="D3" s="2">
        <f>IF(Results!$E$5="Oversized",'Refrigerants OS'!E34,'Refrigerants RS'!E34)</f>
        <v>365.60359952178851</v>
      </c>
      <c r="E3" s="2">
        <f>IF(Results!$E$5="Oversized",'Refrigerants OS'!F34,'Refrigerants RS'!F34)</f>
        <v>365.60359952178851</v>
      </c>
      <c r="F3" s="4">
        <f>AVERAGE(B3:E3)</f>
        <v>365.60359952178851</v>
      </c>
    </row>
    <row r="4" spans="1:6">
      <c r="A4" t="s">
        <v>8</v>
      </c>
      <c r="B4" s="2">
        <v>186.38959287767483</v>
      </c>
      <c r="C4" s="2">
        <v>186.38959287767486</v>
      </c>
      <c r="D4" s="2">
        <v>185.14821632066429</v>
      </c>
      <c r="E4" s="2">
        <v>185.14821632066429</v>
      </c>
      <c r="F4" s="4">
        <f>AVERAGE(B4:E4)</f>
        <v>185.76890459916956</v>
      </c>
    </row>
    <row r="5" spans="1:6" hidden="1">
      <c r="A5" t="s">
        <v>25</v>
      </c>
      <c r="B5" s="2">
        <v>379275.3</v>
      </c>
      <c r="C5" s="2">
        <v>330621.71999999997</v>
      </c>
      <c r="D5" s="2">
        <v>565726.01</v>
      </c>
      <c r="E5" s="2">
        <v>630520.4</v>
      </c>
      <c r="F5" s="4">
        <f>AVERAGE(B5:E5)</f>
        <v>476535.85750000004</v>
      </c>
    </row>
    <row r="6" spans="1:6" hidden="1">
      <c r="A6" t="s">
        <v>24</v>
      </c>
      <c r="B6" s="2">
        <f>B5-340211.8</f>
        <v>39063.5</v>
      </c>
      <c r="C6" s="2">
        <f>C5-246669.93</f>
        <v>83951.789999999979</v>
      </c>
      <c r="D6" s="2">
        <f>D5-246709.99</f>
        <v>319016.02</v>
      </c>
      <c r="E6" s="2">
        <f>E5-231584.31</f>
        <v>398936.09</v>
      </c>
      <c r="F6" s="4">
        <f t="shared" ref="F6:F13" si="0">AVERAGE(B6:E6)</f>
        <v>210241.85</v>
      </c>
    </row>
    <row r="7" spans="1:6" hidden="1">
      <c r="A7" t="s">
        <v>23</v>
      </c>
      <c r="B7" s="2">
        <f t="shared" ref="B7:D7" si="1">B6*60</f>
        <v>2343810</v>
      </c>
      <c r="C7" s="2">
        <f t="shared" si="1"/>
        <v>5037107.3999999985</v>
      </c>
      <c r="D7" s="2">
        <f t="shared" si="1"/>
        <v>19140961.200000003</v>
      </c>
      <c r="E7" s="2">
        <f>E6*60</f>
        <v>23936165.400000002</v>
      </c>
      <c r="F7" s="4">
        <f t="shared" si="0"/>
        <v>12614511</v>
      </c>
    </row>
    <row r="8" spans="1:6" hidden="1">
      <c r="A8" t="s">
        <v>26</v>
      </c>
      <c r="B8" s="2">
        <f>B7*'gas emisisons'!$A$2</f>
        <v>423155.44656462001</v>
      </c>
      <c r="C8" s="2">
        <f>C7*'gas emisisons'!$A$2</f>
        <v>909407.9431527945</v>
      </c>
      <c r="D8" s="2">
        <f>D7*'gas emisisons'!$A$2</f>
        <v>3455741.7129639629</v>
      </c>
      <c r="E8" s="2">
        <f>E7*'gas emisisons'!$A$2</f>
        <v>4321476.0406695111</v>
      </c>
      <c r="F8" s="4">
        <f t="shared" si="0"/>
        <v>2277445.285837722</v>
      </c>
    </row>
    <row r="9" spans="1:6" hidden="1">
      <c r="A9" t="s">
        <v>21</v>
      </c>
      <c r="B9" s="2">
        <f t="shared" ref="B9:D9" si="2">B5-B6</f>
        <v>340211.8</v>
      </c>
      <c r="C9" s="2">
        <f t="shared" si="2"/>
        <v>246669.93</v>
      </c>
      <c r="D9" s="2">
        <f t="shared" si="2"/>
        <v>246709.99</v>
      </c>
      <c r="E9" s="2">
        <f>E5-E6</f>
        <v>231584.31</v>
      </c>
      <c r="F9" s="4">
        <f t="shared" si="0"/>
        <v>266294.00750000001</v>
      </c>
    </row>
    <row r="10" spans="1:6" hidden="1">
      <c r="A10" t="s">
        <v>22</v>
      </c>
      <c r="B10" s="2">
        <f>B9*60</f>
        <v>20412708</v>
      </c>
      <c r="C10" s="2">
        <f t="shared" ref="C10:E10" si="3">C9*60</f>
        <v>14800195.799999999</v>
      </c>
      <c r="D10" s="2">
        <f t="shared" si="3"/>
        <v>14802599.399999999</v>
      </c>
      <c r="E10" s="2">
        <f t="shared" si="3"/>
        <v>13895058.6</v>
      </c>
      <c r="F10" s="4">
        <f t="shared" si="0"/>
        <v>15977640.449999999</v>
      </c>
    </row>
    <row r="11" spans="1:6" hidden="1">
      <c r="A11" t="s">
        <v>61</v>
      </c>
      <c r="B11" s="2">
        <f>B10*'Grid emissions'!D2</f>
        <v>4688788.1519768806</v>
      </c>
      <c r="C11" s="2">
        <f>C10*'Grid emissions'!E2</f>
        <v>3399597.0899097752</v>
      </c>
      <c r="D11" s="2">
        <f>D10*'Grid emissions'!F2</f>
        <v>3400149.1955491686</v>
      </c>
      <c r="E11" s="2">
        <f>E10*'Grid emissions'!G2</f>
        <v>3191687.557315005</v>
      </c>
      <c r="F11" s="4">
        <f t="shared" si="0"/>
        <v>3670055.4986877074</v>
      </c>
    </row>
    <row r="12" spans="1:6" hidden="1">
      <c r="A12" t="s">
        <v>72</v>
      </c>
      <c r="B12" s="2">
        <f>B11+B8</f>
        <v>5111943.598541501</v>
      </c>
      <c r="C12" s="2">
        <f>C11+C8</f>
        <v>4309005.0330625698</v>
      </c>
      <c r="D12" s="2">
        <f>D11+D8</f>
        <v>6855890.9085131316</v>
      </c>
      <c r="E12" s="2">
        <f>E11+E8</f>
        <v>7513163.5979845161</v>
      </c>
      <c r="F12" s="4">
        <f t="shared" si="0"/>
        <v>5947500.7845254298</v>
      </c>
    </row>
    <row r="13" spans="1:6">
      <c r="A13" t="s">
        <v>27</v>
      </c>
      <c r="B13" s="2">
        <f>B12/3131</f>
        <v>1632.6871921244015</v>
      </c>
      <c r="C13" s="2">
        <f t="shared" ref="C13:E13" si="4">C12/3131</f>
        <v>1376.2392312560107</v>
      </c>
      <c r="D13" s="2">
        <f t="shared" si="4"/>
        <v>2189.6809033896939</v>
      </c>
      <c r="E13" s="2">
        <f t="shared" si="4"/>
        <v>2399.6051095447192</v>
      </c>
      <c r="F13" s="4">
        <f t="shared" si="0"/>
        <v>1899.5531090787065</v>
      </c>
    </row>
    <row r="15" spans="1:6">
      <c r="A15" t="s">
        <v>60</v>
      </c>
      <c r="B15" s="20" t="s">
        <v>131</v>
      </c>
    </row>
    <row r="16" spans="1:6">
      <c r="A16" t="s">
        <v>1</v>
      </c>
      <c r="B16" s="2">
        <f>SUBTOTAL(109,Table10[2a])</f>
        <v>2590.4463513076403</v>
      </c>
      <c r="C16" s="2"/>
      <c r="D16" s="2"/>
      <c r="E16" s="2"/>
    </row>
    <row r="17" spans="1:2">
      <c r="A17" t="s">
        <v>2</v>
      </c>
      <c r="B17" s="2">
        <f>SUBTOTAL(109,Table10[3c])</f>
        <v>2335.4784607043403</v>
      </c>
    </row>
    <row r="18" spans="1:2">
      <c r="A18" t="s">
        <v>3</v>
      </c>
      <c r="B18" s="2">
        <f>SUBTOTAL(109,Table10[4a])</f>
        <v>3149.5165588999844</v>
      </c>
    </row>
    <row r="19" spans="1:2">
      <c r="A19" t="s">
        <v>4</v>
      </c>
      <c r="B19" s="2">
        <f>SUBTOTAL(109,Table10[5a])</f>
        <v>3359.4406436880345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60AF-C4B6-4310-868F-367FFBA4A05E}">
  <dimension ref="A1:F19"/>
  <sheetViews>
    <sheetView workbookViewId="0">
      <selection activeCell="E46" sqref="E46"/>
    </sheetView>
  </sheetViews>
  <sheetFormatPr defaultRowHeight="14.5"/>
  <cols>
    <col min="1" max="1" width="18.453125" customWidth="1"/>
    <col min="2" max="2" width="12.26953125" bestFit="1" customWidth="1"/>
    <col min="3" max="3" width="15.1796875" customWidth="1"/>
    <col min="4" max="4" width="17.54296875" customWidth="1"/>
    <col min="5" max="5" width="20.1796875" customWidth="1"/>
    <col min="6" max="6" width="13.6328125" customWidth="1"/>
  </cols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10</v>
      </c>
    </row>
    <row r="2" spans="1:6">
      <c r="A2" t="s">
        <v>9</v>
      </c>
      <c r="B2" s="2">
        <f>'Embodied carbon emissions'!C19</f>
        <v>137.95154583200249</v>
      </c>
      <c r="C2" s="2">
        <f>'Embodied carbon emissions'!D19</f>
        <v>137.95154583200249</v>
      </c>
      <c r="D2" s="2">
        <f>'Embodied carbon emissions'!E19</f>
        <v>137.95154583200249</v>
      </c>
      <c r="E2" s="2">
        <f>'Embodied carbon emissions'!F19</f>
        <v>137.95154583200249</v>
      </c>
      <c r="F2" s="4">
        <f>AVERAGE(B2:E2)</f>
        <v>137.95154583200249</v>
      </c>
    </row>
    <row r="3" spans="1:6">
      <c r="A3" t="s">
        <v>70</v>
      </c>
      <c r="B3" s="2">
        <f>Table10[[#This Row],[2a]]</f>
        <v>365.60359952178851</v>
      </c>
      <c r="C3" s="2">
        <f>Table10[[#This Row],[3c]]</f>
        <v>365.60359952178851</v>
      </c>
      <c r="D3" s="2">
        <f>Table10[[#This Row],[4a]]</f>
        <v>365.60359952178851</v>
      </c>
      <c r="E3" s="2">
        <f>Table10[[#This Row],[5a]]</f>
        <v>365.60359952178851</v>
      </c>
      <c r="F3" s="4">
        <f>AVERAGE(B3:E3)</f>
        <v>365.60359952178851</v>
      </c>
    </row>
    <row r="4" spans="1:6">
      <c r="A4" t="s">
        <v>8</v>
      </c>
      <c r="B4" s="2">
        <f>Table10[[#This Row],[2a]]</f>
        <v>186.38959287767483</v>
      </c>
      <c r="C4" s="2">
        <f>Table10[[#This Row],[3c]]</f>
        <v>186.38959287767486</v>
      </c>
      <c r="D4" s="2">
        <f>Table10[[#This Row],[4a]]</f>
        <v>185.14821632066429</v>
      </c>
      <c r="E4" s="2">
        <f>Table10[[#This Row],[5a]]</f>
        <v>185.14821632066429</v>
      </c>
      <c r="F4" s="4">
        <f t="shared" ref="F4:F13" si="0">AVERAGE(B4:E4)</f>
        <v>185.76890459916956</v>
      </c>
    </row>
    <row r="5" spans="1:6" hidden="1">
      <c r="A5" t="s">
        <v>25</v>
      </c>
      <c r="B5" s="2">
        <v>379275.3</v>
      </c>
      <c r="C5" s="2">
        <v>330621.71999999997</v>
      </c>
      <c r="D5" s="2">
        <v>565726.01</v>
      </c>
      <c r="E5" s="2">
        <v>630520.4</v>
      </c>
      <c r="F5" s="4">
        <f>AVERAGE(B5:E5)</f>
        <v>476535.85750000004</v>
      </c>
    </row>
    <row r="6" spans="1:6" hidden="1">
      <c r="A6" t="s">
        <v>24</v>
      </c>
      <c r="B6" s="2">
        <f>B5-340211.8</f>
        <v>39063.5</v>
      </c>
      <c r="C6" s="2">
        <f>C5-246669.93</f>
        <v>83951.789999999979</v>
      </c>
      <c r="D6" s="2">
        <f>D5-246709.99</f>
        <v>319016.02</v>
      </c>
      <c r="E6" s="2">
        <f>E5-231584.31</f>
        <v>398936.09</v>
      </c>
      <c r="F6" s="4">
        <f t="shared" si="0"/>
        <v>210241.85</v>
      </c>
    </row>
    <row r="7" spans="1:6" hidden="1">
      <c r="A7" t="s">
        <v>23</v>
      </c>
      <c r="B7" s="2">
        <f t="shared" ref="B7:D7" si="1">B6*60</f>
        <v>2343810</v>
      </c>
      <c r="C7" s="2">
        <f t="shared" si="1"/>
        <v>5037107.3999999985</v>
      </c>
      <c r="D7" s="2">
        <f t="shared" si="1"/>
        <v>19140961.200000003</v>
      </c>
      <c r="E7" s="2">
        <f>E6*60</f>
        <v>23936165.400000002</v>
      </c>
      <c r="F7" s="4">
        <f t="shared" si="0"/>
        <v>12614511</v>
      </c>
    </row>
    <row r="8" spans="1:6" hidden="1">
      <c r="A8" t="s">
        <v>26</v>
      </c>
      <c r="B8" s="2">
        <f>B7*'gas emisisons'!$A$2</f>
        <v>423155.44656462001</v>
      </c>
      <c r="C8" s="2">
        <f>C7*'gas emisisons'!$A$2</f>
        <v>909407.9431527945</v>
      </c>
      <c r="D8" s="2">
        <f>D7*'gas emisisons'!$A$2</f>
        <v>3455741.7129639629</v>
      </c>
      <c r="E8" s="2">
        <f>E7*'gas emisisons'!$A$2</f>
        <v>4321476.0406695111</v>
      </c>
      <c r="F8" s="4">
        <f t="shared" si="0"/>
        <v>2277445.285837722</v>
      </c>
    </row>
    <row r="9" spans="1:6" hidden="1">
      <c r="A9" t="s">
        <v>21</v>
      </c>
      <c r="B9" s="2">
        <f t="shared" ref="B9:D9" si="2">B5-B6</f>
        <v>340211.8</v>
      </c>
      <c r="C9" s="2">
        <f t="shared" si="2"/>
        <v>246669.93</v>
      </c>
      <c r="D9" s="2">
        <f t="shared" si="2"/>
        <v>246709.99</v>
      </c>
      <c r="E9" s="2">
        <f>E5-E6</f>
        <v>231584.31</v>
      </c>
      <c r="F9" s="4">
        <f t="shared" si="0"/>
        <v>266294.00750000001</v>
      </c>
    </row>
    <row r="10" spans="1:6" hidden="1">
      <c r="A10" t="s">
        <v>22</v>
      </c>
      <c r="B10" s="2">
        <f>B9*60</f>
        <v>20412708</v>
      </c>
      <c r="C10" s="2">
        <f t="shared" ref="C10:E10" si="3">C9*60</f>
        <v>14800195.799999999</v>
      </c>
      <c r="D10" s="2">
        <f t="shared" si="3"/>
        <v>14802599.399999999</v>
      </c>
      <c r="E10" s="2">
        <f t="shared" si="3"/>
        <v>13895058.6</v>
      </c>
      <c r="F10" s="4">
        <f t="shared" si="0"/>
        <v>15977640.449999999</v>
      </c>
    </row>
    <row r="11" spans="1:6" hidden="1">
      <c r="A11" t="s">
        <v>61</v>
      </c>
      <c r="B11" s="2">
        <f>B10*'Grid emissions'!D2</f>
        <v>4688788.1519768806</v>
      </c>
      <c r="C11" s="2">
        <f>C10*'Grid emissions'!E2</f>
        <v>3399597.0899097752</v>
      </c>
      <c r="D11" s="2">
        <f>D10*'Grid emissions'!F2</f>
        <v>3400149.1955491686</v>
      </c>
      <c r="E11" s="2">
        <f>E10*'Grid emissions'!G2</f>
        <v>3191687.557315005</v>
      </c>
      <c r="F11" s="4">
        <f t="shared" si="0"/>
        <v>3670055.4986877074</v>
      </c>
    </row>
    <row r="12" spans="1:6" hidden="1">
      <c r="A12" t="s">
        <v>75</v>
      </c>
      <c r="B12" s="2">
        <f>B11+B8</f>
        <v>5111943.598541501</v>
      </c>
      <c r="C12" s="2">
        <f t="shared" ref="C12:E12" si="4">C11+C8</f>
        <v>4309005.0330625698</v>
      </c>
      <c r="D12" s="2">
        <f t="shared" si="4"/>
        <v>6855890.9085131316</v>
      </c>
      <c r="E12" s="2">
        <f t="shared" si="4"/>
        <v>7513163.5979845161</v>
      </c>
      <c r="F12" s="4">
        <f t="shared" si="0"/>
        <v>5947500.7845254298</v>
      </c>
    </row>
    <row r="13" spans="1:6">
      <c r="A13" t="s">
        <v>27</v>
      </c>
      <c r="B13" s="2">
        <f>B12/3131</f>
        <v>1632.6871921244015</v>
      </c>
      <c r="C13" s="2">
        <f t="shared" ref="C13:E13" si="5">C12/3131</f>
        <v>1376.2392312560107</v>
      </c>
      <c r="D13" s="2">
        <f t="shared" si="5"/>
        <v>2189.6809033896939</v>
      </c>
      <c r="E13" s="2">
        <f t="shared" si="5"/>
        <v>2399.6051095447192</v>
      </c>
      <c r="F13" s="4">
        <f t="shared" si="0"/>
        <v>1899.5531090787065</v>
      </c>
    </row>
    <row r="15" spans="1:6">
      <c r="A15" t="s">
        <v>60</v>
      </c>
      <c r="B15" t="s">
        <v>131</v>
      </c>
    </row>
    <row r="16" spans="1:6">
      <c r="A16" t="s">
        <v>1</v>
      </c>
      <c r="B16" s="2">
        <f>SUBTOTAL(109,B$2:B$13)</f>
        <v>2322.6319303558676</v>
      </c>
    </row>
    <row r="17" spans="1:2">
      <c r="A17" t="s">
        <v>2</v>
      </c>
      <c r="B17" s="2">
        <f>SUBTOTAL(109,C$2:C$13)</f>
        <v>2066.1839694874766</v>
      </c>
    </row>
    <row r="18" spans="1:2">
      <c r="A18" t="s">
        <v>3</v>
      </c>
      <c r="B18" s="2">
        <f>SUBTOTAL(109,D$2:D$13)</f>
        <v>2878.3842650641491</v>
      </c>
    </row>
    <row r="19" spans="1:2">
      <c r="A19" t="s">
        <v>4</v>
      </c>
      <c r="B19" s="2">
        <f>SUBTOTAL(109,E$2:E$13)</f>
        <v>3088.3084712191744</v>
      </c>
    </row>
  </sheetData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D059-11D0-4322-8057-6D5B03B97155}">
  <dimension ref="A1:F14"/>
  <sheetViews>
    <sheetView workbookViewId="0">
      <selection activeCell="A10" sqref="A10:B10"/>
    </sheetView>
  </sheetViews>
  <sheetFormatPr defaultRowHeight="14.5"/>
  <cols>
    <col min="1" max="1" width="16.08984375" customWidth="1"/>
    <col min="2" max="2" width="12.81640625" customWidth="1"/>
    <col min="3" max="3" width="15.1796875" customWidth="1"/>
    <col min="4" max="4" width="17.54296875" customWidth="1"/>
    <col min="5" max="5" width="20.1796875" customWidth="1"/>
    <col min="6" max="6" width="23.36328125" customWidth="1"/>
  </cols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10</v>
      </c>
    </row>
    <row r="2" spans="1:6">
      <c r="A2" t="s">
        <v>9</v>
      </c>
      <c r="B2" s="2">
        <f>'Embodied carbon emissions'!C18</f>
        <v>405.76596678377535</v>
      </c>
      <c r="C2" s="2">
        <f>'Embodied carbon emissions'!D18</f>
        <v>407.2460370488663</v>
      </c>
      <c r="D2" s="2">
        <f>'Embodied carbon emissions'!E18</f>
        <v>409.08383966783788</v>
      </c>
      <c r="E2" s="2">
        <f>'Embodied carbon emissions'!F18</f>
        <v>409.08371830086247</v>
      </c>
      <c r="F2" s="4">
        <f>AVERAGE(B2:E2)</f>
        <v>407.79489045033552</v>
      </c>
    </row>
    <row r="3" spans="1:6">
      <c r="A3" t="s">
        <v>70</v>
      </c>
      <c r="B3" s="2">
        <f>IF(Results!$E$2="Oversized",'Refrigerants OS'!C35,'Refrigerants RS'!C35)</f>
        <v>487.45703696600276</v>
      </c>
      <c r="C3" s="2">
        <f>IF(Results!$E$2="Oversized",'Refrigerants OS'!D35,'Refrigerants RS'!D35)</f>
        <v>487.45703696600276</v>
      </c>
      <c r="D3" s="2">
        <f>IF(Results!$E$2="Oversized",'Refrigerants OS'!E35,'Refrigerants RS'!E35)</f>
        <v>365.60359952178851</v>
      </c>
      <c r="E3" s="2">
        <f>IF(Results!$E$2="Oversized",'Refrigerants OS'!F35,'Refrigerants RS'!F35)</f>
        <v>365.60359952178851</v>
      </c>
      <c r="F3" s="4">
        <f>AVERAGE(B3:E3)</f>
        <v>426.53031824389564</v>
      </c>
    </row>
    <row r="4" spans="1:6">
      <c r="A4" t="s">
        <v>8</v>
      </c>
      <c r="B4" s="2">
        <v>189.44122175023952</v>
      </c>
      <c r="C4" s="2">
        <v>189.44122175023952</v>
      </c>
      <c r="D4" s="2">
        <v>188.19984519322898</v>
      </c>
      <c r="E4" s="2">
        <v>188.19984519322898</v>
      </c>
      <c r="F4" s="4">
        <f t="shared" ref="F4:F8" si="0">AVERAGE(B4:E4)</f>
        <v>188.82053347173425</v>
      </c>
    </row>
    <row r="5" spans="1:6" hidden="1">
      <c r="A5" t="s">
        <v>6</v>
      </c>
      <c r="B5" s="2">
        <v>379275.3</v>
      </c>
      <c r="C5" s="2">
        <v>330621.71999999997</v>
      </c>
      <c r="D5" s="2">
        <v>565726.01</v>
      </c>
      <c r="E5" s="2">
        <v>630520.4</v>
      </c>
      <c r="F5" s="4">
        <f t="shared" si="0"/>
        <v>476535.85750000004</v>
      </c>
    </row>
    <row r="6" spans="1:6" hidden="1">
      <c r="A6" t="s">
        <v>7</v>
      </c>
      <c r="B6" s="2">
        <f>B5*60</f>
        <v>22756518</v>
      </c>
      <c r="C6" s="2">
        <f t="shared" ref="C6:E6" si="1">C5*60</f>
        <v>19837303.199999999</v>
      </c>
      <c r="D6" s="2">
        <f t="shared" si="1"/>
        <v>33943560.600000001</v>
      </c>
      <c r="E6" s="2">
        <f t="shared" si="1"/>
        <v>37831224</v>
      </c>
      <c r="F6" s="4">
        <f t="shared" si="0"/>
        <v>28592151.450000003</v>
      </c>
    </row>
    <row r="7" spans="1:6" hidden="1">
      <c r="A7" t="s">
        <v>73</v>
      </c>
      <c r="B7" s="2">
        <f>B6*'Grid emissions'!D2</f>
        <v>5227160.0602256507</v>
      </c>
      <c r="C7" s="2">
        <f>C6*'Grid emissions'!E2</f>
        <v>4556617.975985012</v>
      </c>
      <c r="D7" s="2">
        <f>D6*'Grid emissions'!F2</f>
        <v>7796817.7851360673</v>
      </c>
      <c r="E7" s="2">
        <f>E6*'Grid emissions'!G2</f>
        <v>8689811.9968199916</v>
      </c>
      <c r="F7" s="4">
        <f t="shared" ref="F7" si="2">AVERAGE(B7:E7)</f>
        <v>6567601.9545416804</v>
      </c>
    </row>
    <row r="8" spans="1:6">
      <c r="A8" t="s">
        <v>74</v>
      </c>
      <c r="B8" s="2">
        <f>B7/3131</f>
        <v>1669.4858065236826</v>
      </c>
      <c r="C8" s="2">
        <f t="shared" ref="C8:E8" si="3">C7/3131</f>
        <v>1455.3235311354238</v>
      </c>
      <c r="D8" s="2">
        <f t="shared" si="3"/>
        <v>2490.2005062715002</v>
      </c>
      <c r="E8" s="2">
        <f t="shared" si="3"/>
        <v>2775.4110497668448</v>
      </c>
      <c r="F8" s="4">
        <f t="shared" si="0"/>
        <v>2097.605223424363</v>
      </c>
    </row>
    <row r="10" spans="1:6">
      <c r="A10" s="21" t="s">
        <v>60</v>
      </c>
      <c r="B10" s="21" t="s">
        <v>131</v>
      </c>
    </row>
    <row r="11" spans="1:6">
      <c r="A11" t="s">
        <v>1</v>
      </c>
      <c r="B11">
        <f>SUBTOTAL(109,B$2:B$8)</f>
        <v>2752.1500320237001</v>
      </c>
    </row>
    <row r="12" spans="1:6">
      <c r="A12" t="s">
        <v>2</v>
      </c>
      <c r="B12">
        <f>SUBTOTAL(109,C$2:C$8)</f>
        <v>2539.4678269005326</v>
      </c>
    </row>
    <row r="13" spans="1:6">
      <c r="A13" t="s">
        <v>3</v>
      </c>
      <c r="B13">
        <f>SUBTOTAL(109,D$2:D$8)</f>
        <v>3453.0877906543556</v>
      </c>
    </row>
    <row r="14" spans="1:6">
      <c r="A14" t="s">
        <v>4</v>
      </c>
      <c r="B14">
        <f>SUBTOTAL(109,E$2:E$8)</f>
        <v>3738.2982127827249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D1DE-9386-406B-999C-3CDB99982917}">
  <dimension ref="A1:F14"/>
  <sheetViews>
    <sheetView workbookViewId="0">
      <selection activeCell="A10" sqref="A10:B10"/>
    </sheetView>
  </sheetViews>
  <sheetFormatPr defaultRowHeight="14.5"/>
  <cols>
    <col min="1" max="1" width="13.81640625" customWidth="1"/>
    <col min="2" max="2" width="12.81640625" customWidth="1"/>
    <col min="3" max="3" width="15.1796875" customWidth="1"/>
    <col min="4" max="4" width="17.54296875" customWidth="1"/>
    <col min="5" max="5" width="20.1796875" customWidth="1"/>
    <col min="6" max="6" width="23.36328125" customWidth="1"/>
  </cols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10</v>
      </c>
    </row>
    <row r="2" spans="1:6">
      <c r="A2" t="s">
        <v>9</v>
      </c>
      <c r="B2" s="2">
        <f>'Embodied carbon emissions'!C19</f>
        <v>137.95154583200249</v>
      </c>
      <c r="C2" s="2">
        <f>'Embodied carbon emissions'!D19</f>
        <v>137.95154583200249</v>
      </c>
      <c r="D2" s="2">
        <f>'Embodied carbon emissions'!E19</f>
        <v>137.95154583200249</v>
      </c>
      <c r="E2" s="2">
        <f>'Embodied carbon emissions'!F19</f>
        <v>137.95154583200249</v>
      </c>
      <c r="F2" s="4">
        <f>AVERAGE(B2:E2)</f>
        <v>137.95154583200249</v>
      </c>
    </row>
    <row r="3" spans="1:6">
      <c r="A3" t="s">
        <v>70</v>
      </c>
      <c r="B3" s="2">
        <f>Table11[[#This Row],[2a]]</f>
        <v>487.45703696600276</v>
      </c>
      <c r="C3" s="2">
        <f>Table11[[#This Row],[3c]]</f>
        <v>487.45703696600276</v>
      </c>
      <c r="D3" s="2">
        <f>Table11[[#This Row],[4a]]</f>
        <v>365.60359952178851</v>
      </c>
      <c r="E3" s="2">
        <f>Table11[[#This Row],[5a]]</f>
        <v>365.60359952178851</v>
      </c>
      <c r="F3" s="4">
        <f>AVERAGE(B3:E3)</f>
        <v>426.53031824389564</v>
      </c>
    </row>
    <row r="4" spans="1:6">
      <c r="A4" t="s">
        <v>8</v>
      </c>
      <c r="B4" s="2">
        <f>Table11[[#This Row],[2a]]</f>
        <v>189.44122175023952</v>
      </c>
      <c r="C4" s="2">
        <f>Table11[[#This Row],[3c]]</f>
        <v>189.44122175023952</v>
      </c>
      <c r="D4" s="2">
        <f>Table11[[#This Row],[4a]]</f>
        <v>188.19984519322898</v>
      </c>
      <c r="E4" s="2">
        <f>Table11[[#This Row],[5a]]</f>
        <v>188.19984519322898</v>
      </c>
      <c r="F4" s="4">
        <f t="shared" ref="F4:F8" si="0">AVERAGE(B4:E4)</f>
        <v>188.82053347173425</v>
      </c>
    </row>
    <row r="5" spans="1:6" hidden="1">
      <c r="A5" t="s">
        <v>6</v>
      </c>
      <c r="B5" s="2">
        <v>379275.3</v>
      </c>
      <c r="C5" s="2">
        <v>330621.71999999997</v>
      </c>
      <c r="D5" s="2">
        <v>565726.01</v>
      </c>
      <c r="E5" s="2">
        <v>630520.4</v>
      </c>
      <c r="F5" s="4">
        <f t="shared" si="0"/>
        <v>476535.85750000004</v>
      </c>
    </row>
    <row r="6" spans="1:6" hidden="1">
      <c r="A6" t="s">
        <v>7</v>
      </c>
      <c r="B6" s="2">
        <f>B5*60</f>
        <v>22756518</v>
      </c>
      <c r="C6" s="2">
        <f t="shared" ref="C6:E6" si="1">C5*60</f>
        <v>19837303.199999999</v>
      </c>
      <c r="D6" s="2">
        <f t="shared" si="1"/>
        <v>33943560.600000001</v>
      </c>
      <c r="E6" s="2">
        <f t="shared" si="1"/>
        <v>37831224</v>
      </c>
      <c r="F6" s="4">
        <f t="shared" si="0"/>
        <v>28592151.450000003</v>
      </c>
    </row>
    <row r="7" spans="1:6" hidden="1">
      <c r="A7" t="s">
        <v>76</v>
      </c>
      <c r="B7" s="2">
        <f>B6*'Grid emissions'!D$2</f>
        <v>5227160.0602256507</v>
      </c>
      <c r="C7" s="2">
        <f>C6*'Grid emissions'!E$2</f>
        <v>4556617.975985012</v>
      </c>
      <c r="D7" s="2">
        <f>D6*'Grid emissions'!F$2</f>
        <v>7796817.7851360673</v>
      </c>
      <c r="E7" s="2">
        <f>E6*'Grid emissions'!G$2</f>
        <v>8689811.9968199916</v>
      </c>
      <c r="F7" s="4">
        <f>AVERAGE(B7:E7)</f>
        <v>6567601.9545416804</v>
      </c>
    </row>
    <row r="8" spans="1:6">
      <c r="A8" t="s">
        <v>74</v>
      </c>
      <c r="B8" s="2">
        <f>B7/3131</f>
        <v>1669.4858065236826</v>
      </c>
      <c r="C8" s="2">
        <f t="shared" ref="C8:E8" si="2">C7/3131</f>
        <v>1455.3235311354238</v>
      </c>
      <c r="D8" s="2">
        <f t="shared" si="2"/>
        <v>2490.2005062715002</v>
      </c>
      <c r="E8" s="2">
        <f t="shared" si="2"/>
        <v>2775.4110497668448</v>
      </c>
      <c r="F8" s="4">
        <f t="shared" si="0"/>
        <v>2097.605223424363</v>
      </c>
    </row>
    <row r="10" spans="1:6">
      <c r="A10" s="21" t="s">
        <v>60</v>
      </c>
      <c r="B10" s="21" t="s">
        <v>131</v>
      </c>
    </row>
    <row r="11" spans="1:6">
      <c r="A11" t="s">
        <v>1</v>
      </c>
      <c r="B11">
        <f>SUBTOTAL(109,B$2:B$8)</f>
        <v>2484.3356110719274</v>
      </c>
    </row>
    <row r="12" spans="1:6">
      <c r="A12" t="s">
        <v>2</v>
      </c>
      <c r="B12">
        <f>SUBTOTAL(109,C$2:C$8)</f>
        <v>2270.1733356836685</v>
      </c>
    </row>
    <row r="13" spans="1:6">
      <c r="A13" t="s">
        <v>3</v>
      </c>
      <c r="B13">
        <f>SUBTOTAL(109,D$2:D$8)</f>
        <v>3181.9554968185203</v>
      </c>
    </row>
    <row r="14" spans="1:6">
      <c r="A14" t="s">
        <v>4</v>
      </c>
      <c r="B14">
        <f>SUBTOTAL(109,E$2:E$8)</f>
        <v>3467.1660403138649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Results</vt:lpstr>
      <vt:lpstr>Summary Table</vt:lpstr>
      <vt:lpstr>gas emisisons</vt:lpstr>
      <vt:lpstr>Refrigerants RS</vt:lpstr>
      <vt:lpstr>Refrigerants OS</vt:lpstr>
      <vt:lpstr>Base - Gas</vt:lpstr>
      <vt:lpstr>Low EC - Gas</vt:lpstr>
      <vt:lpstr>Base - Electric</vt:lpstr>
      <vt:lpstr>Low EC - Electric</vt:lpstr>
      <vt:lpstr>PHIUS - Efficient Low EC</vt:lpstr>
      <vt:lpstr>PHIUS - Efficient Standard EC</vt:lpstr>
      <vt:lpstr>PHIUS - Inefficient High EC</vt:lpstr>
      <vt:lpstr>PHIUS - Efficient High EC</vt:lpstr>
      <vt:lpstr>Box and Whiskers</vt:lpstr>
      <vt:lpstr>Averages</vt:lpstr>
      <vt:lpstr>Grid emissions</vt:lpstr>
      <vt:lpstr>Embodied carbon emissions</vt:lpstr>
      <vt:lpstr>US-Average</vt:lpstr>
      <vt:lpstr>80% by 2050</vt:lpstr>
      <vt:lpstr>100% by 2050</vt:lpstr>
      <vt:lpstr>50% by 2050</vt:lpstr>
      <vt:lpstr>100% by 2035</vt:lpstr>
      <vt:lpstr>80% by 2035, 100% by 2050</vt:lpstr>
      <vt:lpstr>Business as Usual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Yarnell</dc:creator>
  <cp:lastModifiedBy>aryarnell@gmail.com</cp:lastModifiedBy>
  <cp:lastPrinted>2022-05-03T01:55:19Z</cp:lastPrinted>
  <dcterms:created xsi:type="dcterms:W3CDTF">2022-04-28T14:31:58Z</dcterms:created>
  <dcterms:modified xsi:type="dcterms:W3CDTF">2022-05-23T01:24:10Z</dcterms:modified>
</cp:coreProperties>
</file>