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Manuscripts\Manuscript 1\Coordination Incentive Working Paper\Github Codes\Field Observations\"/>
    </mc:Choice>
  </mc:AlternateContent>
  <bookViews>
    <workbookView xWindow="0" yWindow="0" windowWidth="23040" windowHeight="9220" tabRatio="701" activeTab="4"/>
  </bookViews>
  <sheets>
    <sheet name="Raw PSDS" sheetId="1" r:id="rId1"/>
    <sheet name="Raw PSDS + ASBPA" sheetId="38" r:id="rId2"/>
    <sheet name="Sorted North-South" sheetId="2" r:id="rId3"/>
    <sheet name="Community-specific Data" sheetId="11" r:id="rId4"/>
    <sheet name="Community-specific Data (cont.)" sheetId="39" r:id="rId5"/>
  </sheets>
  <calcPr calcId="162913"/>
</workbook>
</file>

<file path=xl/calcChain.xml><?xml version="1.0" encoding="utf-8"?>
<calcChain xmlns="http://schemas.openxmlformats.org/spreadsheetml/2006/main">
  <c r="U2" i="39" l="1"/>
  <c r="R39" i="39"/>
  <c r="B39" i="39"/>
  <c r="R38" i="39"/>
  <c r="O38" i="39"/>
  <c r="N38" i="39"/>
  <c r="S37" i="39"/>
  <c r="Q37" i="39"/>
  <c r="P37" i="39"/>
  <c r="V36" i="39"/>
  <c r="W36" i="39" s="1"/>
  <c r="C36" i="39" s="1"/>
  <c r="S36" i="39"/>
  <c r="U36" i="39" s="1"/>
  <c r="Q36" i="39"/>
  <c r="P36" i="39"/>
  <c r="K36" i="39"/>
  <c r="L36" i="39" s="1"/>
  <c r="F36" i="39"/>
  <c r="S35" i="39"/>
  <c r="Q35" i="39"/>
  <c r="P35" i="39"/>
  <c r="V34" i="39"/>
  <c r="W34" i="39" s="1"/>
  <c r="C34" i="39" s="1"/>
  <c r="S34" i="39"/>
  <c r="U34" i="39" s="1"/>
  <c r="Q34" i="39"/>
  <c r="P34" i="39"/>
  <c r="S33" i="39"/>
  <c r="Q33" i="39"/>
  <c r="P33" i="39"/>
  <c r="V32" i="39"/>
  <c r="W32" i="39" s="1"/>
  <c r="C32" i="39" s="1"/>
  <c r="S32" i="39"/>
  <c r="U32" i="39" s="1"/>
  <c r="Q32" i="39"/>
  <c r="P32" i="39"/>
  <c r="I32" i="39"/>
  <c r="S31" i="39"/>
  <c r="U31" i="39" s="1"/>
  <c r="Q31" i="39"/>
  <c r="P31" i="39"/>
  <c r="V30" i="39"/>
  <c r="W30" i="39" s="1"/>
  <c r="C30" i="39" s="1"/>
  <c r="S30" i="39"/>
  <c r="U30" i="39" s="1"/>
  <c r="Q30" i="39"/>
  <c r="P30" i="39"/>
  <c r="V29" i="39"/>
  <c r="W29" i="39" s="1"/>
  <c r="C29" i="39" s="1"/>
  <c r="S29" i="39"/>
  <c r="U29" i="39" s="1"/>
  <c r="Q29" i="39"/>
  <c r="P29" i="39"/>
  <c r="V28" i="39"/>
  <c r="S28" i="39"/>
  <c r="U28" i="39" s="1"/>
  <c r="Q28" i="39"/>
  <c r="P28" i="39"/>
  <c r="V27" i="39"/>
  <c r="S27" i="39"/>
  <c r="U27" i="39" s="1"/>
  <c r="Q27" i="39"/>
  <c r="P27" i="39"/>
  <c r="V26" i="39"/>
  <c r="S26" i="39"/>
  <c r="U26" i="39" s="1"/>
  <c r="Q26" i="39"/>
  <c r="P26" i="39"/>
  <c r="V25" i="39"/>
  <c r="S25" i="39"/>
  <c r="U25" i="39" s="1"/>
  <c r="Q25" i="39"/>
  <c r="P25" i="39"/>
  <c r="M25" i="39"/>
  <c r="U24" i="39"/>
  <c r="S24" i="39"/>
  <c r="V24" i="39" s="1"/>
  <c r="Q24" i="39"/>
  <c r="W24" i="39" s="1"/>
  <c r="P24" i="39"/>
  <c r="C24" i="39"/>
  <c r="H24" i="39" s="1"/>
  <c r="V23" i="39"/>
  <c r="S23" i="39"/>
  <c r="U23" i="39" s="1"/>
  <c r="Q23" i="39"/>
  <c r="W23" i="39" s="1"/>
  <c r="C23" i="39" s="1"/>
  <c r="P23" i="39"/>
  <c r="M23" i="39"/>
  <c r="V22" i="39"/>
  <c r="U22" i="39"/>
  <c r="S22" i="39"/>
  <c r="P22" i="39"/>
  <c r="Q22" i="39" s="1"/>
  <c r="V21" i="39"/>
  <c r="U21" i="39"/>
  <c r="S21" i="39"/>
  <c r="P21" i="39"/>
  <c r="Q21" i="39" s="1"/>
  <c r="V20" i="39"/>
  <c r="U20" i="39"/>
  <c r="S20" i="39"/>
  <c r="P20" i="39"/>
  <c r="Q20" i="39" s="1"/>
  <c r="V19" i="39"/>
  <c r="U19" i="39"/>
  <c r="S19" i="39"/>
  <c r="P19" i="39"/>
  <c r="Q19" i="39" s="1"/>
  <c r="M19" i="39"/>
  <c r="V18" i="39"/>
  <c r="W18" i="39" s="1"/>
  <c r="C18" i="39" s="1"/>
  <c r="U18" i="39"/>
  <c r="S18" i="39"/>
  <c r="P18" i="39"/>
  <c r="Q18" i="39" s="1"/>
  <c r="I18" i="39"/>
  <c r="V17" i="39"/>
  <c r="U17" i="39"/>
  <c r="S17" i="39"/>
  <c r="Q17" i="39"/>
  <c r="W17" i="39" s="1"/>
  <c r="C17" i="39" s="1"/>
  <c r="P17" i="39"/>
  <c r="V16" i="39"/>
  <c r="U16" i="39"/>
  <c r="S16" i="39"/>
  <c r="P16" i="39"/>
  <c r="Q16" i="39" s="1"/>
  <c r="V15" i="39"/>
  <c r="U15" i="39"/>
  <c r="S15" i="39"/>
  <c r="P15" i="39"/>
  <c r="Q15" i="39" s="1"/>
  <c r="V14" i="39"/>
  <c r="W14" i="39" s="1"/>
  <c r="C14" i="39" s="1"/>
  <c r="U14" i="39"/>
  <c r="S14" i="39"/>
  <c r="P14" i="39"/>
  <c r="Q14" i="39" s="1"/>
  <c r="K14" i="39"/>
  <c r="L14" i="39" s="1"/>
  <c r="D14" i="39"/>
  <c r="S13" i="39"/>
  <c r="V13" i="39" s="1"/>
  <c r="W13" i="39" s="1"/>
  <c r="C13" i="39" s="1"/>
  <c r="P13" i="39"/>
  <c r="Q13" i="39" s="1"/>
  <c r="V12" i="39"/>
  <c r="W12" i="39" s="1"/>
  <c r="C12" i="39" s="1"/>
  <c r="U12" i="39"/>
  <c r="S12" i="39"/>
  <c r="P12" i="39"/>
  <c r="Q12" i="39" s="1"/>
  <c r="K12" i="39"/>
  <c r="L12" i="39" s="1"/>
  <c r="D12" i="39"/>
  <c r="S11" i="39"/>
  <c r="V11" i="39" s="1"/>
  <c r="W11" i="39" s="1"/>
  <c r="C11" i="39" s="1"/>
  <c r="P11" i="39"/>
  <c r="Q11" i="39" s="1"/>
  <c r="V10" i="39"/>
  <c r="W10" i="39" s="1"/>
  <c r="C10" i="39" s="1"/>
  <c r="G10" i="39" s="1"/>
  <c r="U10" i="39"/>
  <c r="S10" i="39"/>
  <c r="P10" i="39"/>
  <c r="Q10" i="39" s="1"/>
  <c r="K10" i="39"/>
  <c r="L10" i="39" s="1"/>
  <c r="D10" i="39"/>
  <c r="S9" i="39"/>
  <c r="V9" i="39" s="1"/>
  <c r="W9" i="39" s="1"/>
  <c r="C9" i="39" s="1"/>
  <c r="P9" i="39"/>
  <c r="Q9" i="39" s="1"/>
  <c r="V8" i="39"/>
  <c r="W8" i="39" s="1"/>
  <c r="C8" i="39" s="1"/>
  <c r="U8" i="39"/>
  <c r="S8" i="39"/>
  <c r="P8" i="39"/>
  <c r="Q8" i="39" s="1"/>
  <c r="K8" i="39"/>
  <c r="L8" i="39" s="1"/>
  <c r="E8" i="39"/>
  <c r="D8" i="39"/>
  <c r="S7" i="39"/>
  <c r="V7" i="39" s="1"/>
  <c r="W7" i="39" s="1"/>
  <c r="C7" i="39" s="1"/>
  <c r="P7" i="39"/>
  <c r="Q7" i="39" s="1"/>
  <c r="V6" i="39"/>
  <c r="W6" i="39" s="1"/>
  <c r="C6" i="39" s="1"/>
  <c r="U6" i="39"/>
  <c r="S6" i="39"/>
  <c r="P6" i="39"/>
  <c r="Q6" i="39" s="1"/>
  <c r="V5" i="39"/>
  <c r="W5" i="39" s="1"/>
  <c r="C5" i="39" s="1"/>
  <c r="U5" i="39"/>
  <c r="S5" i="39"/>
  <c r="P5" i="39"/>
  <c r="Q5" i="39" s="1"/>
  <c r="V4" i="39"/>
  <c r="W4" i="39" s="1"/>
  <c r="C4" i="39" s="1"/>
  <c r="U4" i="39"/>
  <c r="S4" i="39"/>
  <c r="P4" i="39"/>
  <c r="Q4" i="39" s="1"/>
  <c r="V3" i="39"/>
  <c r="W3" i="39" s="1"/>
  <c r="C3" i="39" s="1"/>
  <c r="U3" i="39"/>
  <c r="S3" i="39"/>
  <c r="P3" i="39"/>
  <c r="Q3" i="39" s="1"/>
  <c r="V2" i="39"/>
  <c r="S2" i="39"/>
  <c r="P2" i="39"/>
  <c r="J3" i="39" l="1"/>
  <c r="F3" i="39"/>
  <c r="I3" i="39"/>
  <c r="D3" i="39"/>
  <c r="E3" i="39"/>
  <c r="H3" i="39"/>
  <c r="G3" i="39"/>
  <c r="K3" i="39"/>
  <c r="L3" i="39" s="1"/>
  <c r="J4" i="39"/>
  <c r="F4" i="39"/>
  <c r="I4" i="39"/>
  <c r="D4" i="39"/>
  <c r="K4" i="39"/>
  <c r="L4" i="39" s="1"/>
  <c r="H4" i="39"/>
  <c r="G4" i="39"/>
  <c r="E4" i="39"/>
  <c r="J5" i="39"/>
  <c r="F5" i="39"/>
  <c r="I5" i="39"/>
  <c r="D5" i="39"/>
  <c r="K5" i="39"/>
  <c r="L5" i="39" s="1"/>
  <c r="E5" i="39"/>
  <c r="H5" i="39"/>
  <c r="G5" i="39"/>
  <c r="J6" i="39"/>
  <c r="F6" i="39"/>
  <c r="I6" i="39"/>
  <c r="D6" i="39"/>
  <c r="E6" i="39"/>
  <c r="H6" i="39"/>
  <c r="G6" i="39"/>
  <c r="K6" i="39"/>
  <c r="L6" i="39" s="1"/>
  <c r="J7" i="39"/>
  <c r="F7" i="39"/>
  <c r="H7" i="39"/>
  <c r="E7" i="39"/>
  <c r="I7" i="39"/>
  <c r="K7" i="39"/>
  <c r="L7" i="39" s="1"/>
  <c r="D7" i="39"/>
  <c r="G7" i="39"/>
  <c r="J9" i="39"/>
  <c r="F9" i="39"/>
  <c r="H9" i="39"/>
  <c r="E9" i="39"/>
  <c r="G9" i="39"/>
  <c r="K9" i="39"/>
  <c r="L9" i="39" s="1"/>
  <c r="D9" i="39"/>
  <c r="I9" i="39"/>
  <c r="J11" i="39"/>
  <c r="F11" i="39"/>
  <c r="H11" i="39"/>
  <c r="E11" i="39"/>
  <c r="K11" i="39"/>
  <c r="L11" i="39" s="1"/>
  <c r="D11" i="39"/>
  <c r="I11" i="39"/>
  <c r="G11" i="39"/>
  <c r="J13" i="39"/>
  <c r="F13" i="39"/>
  <c r="H13" i="39"/>
  <c r="E13" i="39"/>
  <c r="K13" i="39"/>
  <c r="L13" i="39" s="1"/>
  <c r="D13" i="39"/>
  <c r="I13" i="39"/>
  <c r="G13" i="39"/>
  <c r="K17" i="39"/>
  <c r="L17" i="39" s="1"/>
  <c r="G17" i="39"/>
  <c r="H17" i="39"/>
  <c r="F17" i="39"/>
  <c r="D17" i="39"/>
  <c r="E17" i="39"/>
  <c r="J17" i="39"/>
  <c r="I17" i="39"/>
  <c r="J23" i="39"/>
  <c r="F23" i="39"/>
  <c r="I23" i="39"/>
  <c r="D23" i="39"/>
  <c r="H23" i="39"/>
  <c r="K23" i="39"/>
  <c r="L23" i="39" s="1"/>
  <c r="E23" i="39"/>
  <c r="G23" i="39"/>
  <c r="H29" i="39"/>
  <c r="D29" i="39"/>
  <c r="G29" i="39"/>
  <c r="F29" i="39"/>
  <c r="J29" i="39"/>
  <c r="K29" i="39"/>
  <c r="L29" i="39" s="1"/>
  <c r="I29" i="39"/>
  <c r="E29" i="39"/>
  <c r="H30" i="39"/>
  <c r="D30" i="39"/>
  <c r="G30" i="39"/>
  <c r="J30" i="39"/>
  <c r="H34" i="39"/>
  <c r="D34" i="39"/>
  <c r="G34" i="39"/>
  <c r="J34" i="39"/>
  <c r="I34" i="39"/>
  <c r="J8" i="39"/>
  <c r="F8" i="39"/>
  <c r="H8" i="39"/>
  <c r="E10" i="39"/>
  <c r="J12" i="39"/>
  <c r="F12" i="39"/>
  <c r="H12" i="39"/>
  <c r="J14" i="39"/>
  <c r="F14" i="39"/>
  <c r="H14" i="39"/>
  <c r="K18" i="39"/>
  <c r="L18" i="39" s="1"/>
  <c r="G18" i="39"/>
  <c r="F18" i="39"/>
  <c r="H18" i="39"/>
  <c r="D24" i="39"/>
  <c r="H32" i="39"/>
  <c r="D32" i="39"/>
  <c r="G32" i="39"/>
  <c r="J32" i="39"/>
  <c r="U33" i="39"/>
  <c r="V33" i="39"/>
  <c r="W33" i="39" s="1"/>
  <c r="C33" i="39" s="1"/>
  <c r="H36" i="39"/>
  <c r="D36" i="39"/>
  <c r="G36" i="39"/>
  <c r="J36" i="39"/>
  <c r="I36" i="39"/>
  <c r="P38" i="39"/>
  <c r="Q2" i="39"/>
  <c r="Q38" i="39" s="1"/>
  <c r="U7" i="39"/>
  <c r="G8" i="39"/>
  <c r="U9" i="39"/>
  <c r="U11" i="39"/>
  <c r="G12" i="39"/>
  <c r="U13" i="39"/>
  <c r="G14" i="39"/>
  <c r="W15" i="39"/>
  <c r="C15" i="39" s="1"/>
  <c r="W16" i="39"/>
  <c r="C16" i="39" s="1"/>
  <c r="D18" i="39"/>
  <c r="M38" i="39"/>
  <c r="W19" i="39"/>
  <c r="C19" i="39" s="1"/>
  <c r="W25" i="39"/>
  <c r="C25" i="39" s="1"/>
  <c r="W26" i="39"/>
  <c r="C26" i="39" s="1"/>
  <c r="F30" i="39"/>
  <c r="E32" i="39"/>
  <c r="E34" i="39"/>
  <c r="U35" i="39"/>
  <c r="V35" i="39"/>
  <c r="W35" i="39" s="1"/>
  <c r="C35" i="39" s="1"/>
  <c r="I24" i="39"/>
  <c r="E24" i="39"/>
  <c r="K24" i="39"/>
  <c r="L24" i="39" s="1"/>
  <c r="F24" i="39"/>
  <c r="G24" i="39"/>
  <c r="K30" i="39"/>
  <c r="L30" i="39" s="1"/>
  <c r="K34" i="39"/>
  <c r="L34" i="39" s="1"/>
  <c r="V38" i="39"/>
  <c r="W2" i="39"/>
  <c r="J10" i="39"/>
  <c r="F10" i="39"/>
  <c r="H10" i="39"/>
  <c r="E12" i="39"/>
  <c r="E14" i="39"/>
  <c r="J18" i="39"/>
  <c r="E30" i="39"/>
  <c r="V31" i="39"/>
  <c r="W31" i="39" s="1"/>
  <c r="C31" i="39" s="1"/>
  <c r="K32" i="39"/>
  <c r="L32" i="39" s="1"/>
  <c r="S39" i="39"/>
  <c r="I8" i="39"/>
  <c r="I10" i="39"/>
  <c r="I12" i="39"/>
  <c r="I14" i="39"/>
  <c r="E18" i="39"/>
  <c r="W21" i="39"/>
  <c r="C21" i="39" s="1"/>
  <c r="J24" i="39"/>
  <c r="W27" i="39"/>
  <c r="C27" i="39" s="1"/>
  <c r="W28" i="39"/>
  <c r="C28" i="39" s="1"/>
  <c r="I30" i="39"/>
  <c r="F32" i="39"/>
  <c r="F34" i="39"/>
  <c r="E36" i="39"/>
  <c r="U37" i="39"/>
  <c r="V37" i="39"/>
  <c r="W37" i="39" s="1"/>
  <c r="C37" i="39" s="1"/>
  <c r="S38" i="39"/>
  <c r="W20" i="39"/>
  <c r="C20" i="39" s="1"/>
  <c r="W22" i="39"/>
  <c r="C22" i="39" s="1"/>
  <c r="H28" i="39" l="1"/>
  <c r="D28" i="39"/>
  <c r="G28" i="39"/>
  <c r="J28" i="39"/>
  <c r="K28" i="39"/>
  <c r="L28" i="39" s="1"/>
  <c r="E28" i="39"/>
  <c r="I28" i="39"/>
  <c r="F28" i="39"/>
  <c r="H27" i="39"/>
  <c r="D27" i="39"/>
  <c r="G27" i="39"/>
  <c r="F27" i="39"/>
  <c r="K27" i="39"/>
  <c r="L27" i="39" s="1"/>
  <c r="I27" i="39"/>
  <c r="J27" i="39"/>
  <c r="E27" i="39"/>
  <c r="H35" i="39"/>
  <c r="D35" i="39"/>
  <c r="G35" i="39"/>
  <c r="F35" i="39"/>
  <c r="K35" i="39"/>
  <c r="L35" i="39" s="1"/>
  <c r="E35" i="39"/>
  <c r="J35" i="39"/>
  <c r="I35" i="39"/>
  <c r="H37" i="39"/>
  <c r="D37" i="39"/>
  <c r="G37" i="39"/>
  <c r="F37" i="39"/>
  <c r="K37" i="39"/>
  <c r="L37" i="39" s="1"/>
  <c r="E37" i="39"/>
  <c r="I37" i="39"/>
  <c r="J37" i="39"/>
  <c r="I25" i="39"/>
  <c r="E25" i="39"/>
  <c r="J25" i="39"/>
  <c r="D25" i="39"/>
  <c r="H25" i="39"/>
  <c r="G25" i="39"/>
  <c r="K25" i="39"/>
  <c r="L25" i="39" s="1"/>
  <c r="F25" i="39"/>
  <c r="H33" i="39"/>
  <c r="D33" i="39"/>
  <c r="G33" i="39"/>
  <c r="F33" i="39"/>
  <c r="E33" i="39"/>
  <c r="K33" i="39"/>
  <c r="L33" i="39" s="1"/>
  <c r="J33" i="39"/>
  <c r="I33" i="39"/>
  <c r="J20" i="39"/>
  <c r="F20" i="39"/>
  <c r="I20" i="39"/>
  <c r="D20" i="39"/>
  <c r="E20" i="39"/>
  <c r="H20" i="39"/>
  <c r="G20" i="39"/>
  <c r="K20" i="39"/>
  <c r="L20" i="39" s="1"/>
  <c r="H26" i="39"/>
  <c r="D26" i="39"/>
  <c r="G26" i="39"/>
  <c r="J26" i="39"/>
  <c r="E26" i="39"/>
  <c r="I26" i="39"/>
  <c r="K26" i="39"/>
  <c r="L26" i="39" s="1"/>
  <c r="F26" i="39"/>
  <c r="K16" i="39"/>
  <c r="L16" i="39" s="1"/>
  <c r="G16" i="39"/>
  <c r="I16" i="39"/>
  <c r="D16" i="39"/>
  <c r="J16" i="39"/>
  <c r="E16" i="39"/>
  <c r="F16" i="39"/>
  <c r="H16" i="39"/>
  <c r="J22" i="39"/>
  <c r="F22" i="39"/>
  <c r="I22" i="39"/>
  <c r="D22" i="39"/>
  <c r="E22" i="39"/>
  <c r="K22" i="39"/>
  <c r="L22" i="39" s="1"/>
  <c r="H22" i="39"/>
  <c r="G22" i="39"/>
  <c r="J21" i="39"/>
  <c r="F21" i="39"/>
  <c r="I21" i="39"/>
  <c r="D21" i="39"/>
  <c r="H21" i="39"/>
  <c r="G21" i="39"/>
  <c r="E21" i="39"/>
  <c r="K21" i="39"/>
  <c r="L21" i="39" s="1"/>
  <c r="H31" i="39"/>
  <c r="D31" i="39"/>
  <c r="G31" i="39"/>
  <c r="F31" i="39"/>
  <c r="I31" i="39"/>
  <c r="K31" i="39"/>
  <c r="L31" i="39" s="1"/>
  <c r="E31" i="39"/>
  <c r="J31" i="39"/>
  <c r="C2" i="39"/>
  <c r="W38" i="39"/>
  <c r="K19" i="39"/>
  <c r="L19" i="39" s="1"/>
  <c r="G19" i="39"/>
  <c r="J19" i="39"/>
  <c r="E19" i="39"/>
  <c r="I19" i="39"/>
  <c r="F19" i="39"/>
  <c r="H19" i="39"/>
  <c r="D19" i="39"/>
  <c r="K15" i="39"/>
  <c r="L15" i="39" s="1"/>
  <c r="J15" i="39"/>
  <c r="F15" i="39"/>
  <c r="H15" i="39"/>
  <c r="E15" i="39"/>
  <c r="G15" i="39"/>
  <c r="D15" i="39"/>
  <c r="I15" i="39"/>
  <c r="C43" i="39" l="1"/>
  <c r="C42" i="39"/>
  <c r="C41" i="39"/>
  <c r="C40" i="39"/>
  <c r="J2" i="39"/>
  <c r="F2" i="39"/>
  <c r="I2" i="39"/>
  <c r="D2" i="39"/>
  <c r="D40" i="39" s="1"/>
  <c r="K2" i="39"/>
  <c r="L2" i="39" s="1"/>
  <c r="E2" i="39"/>
  <c r="H2" i="39"/>
  <c r="G2" i="39"/>
  <c r="F41" i="39" l="1"/>
  <c r="F40" i="39"/>
  <c r="P2" i="11" l="1"/>
  <c r="E2" i="11"/>
  <c r="AA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I19" i="11"/>
  <c r="W2" i="11" l="1"/>
  <c r="T302" i="38" l="1"/>
  <c r="U2" i="11" l="1"/>
  <c r="T299" i="38" l="1"/>
  <c r="N299" i="38"/>
  <c r="L299" i="38"/>
  <c r="P299" i="38" s="1"/>
  <c r="Q299" i="38" s="1"/>
  <c r="P298" i="38"/>
  <c r="Q298" i="38" s="1"/>
  <c r="N298" i="38"/>
  <c r="L298" i="38"/>
  <c r="N297" i="38"/>
  <c r="P297" i="38" s="1"/>
  <c r="Q297" i="38" s="1"/>
  <c r="L297" i="38"/>
  <c r="N296" i="38"/>
  <c r="N295" i="38"/>
  <c r="L295" i="38"/>
  <c r="T294" i="38"/>
  <c r="N294" i="38"/>
  <c r="L294" i="38"/>
  <c r="T293" i="38"/>
  <c r="N293" i="38"/>
  <c r="L293" i="38"/>
  <c r="T292" i="38"/>
  <c r="N292" i="38"/>
  <c r="T291" i="38"/>
  <c r="U291" i="38" s="1"/>
  <c r="N291" i="38"/>
  <c r="T290" i="38"/>
  <c r="N290" i="38"/>
  <c r="T289" i="38"/>
  <c r="N289" i="38"/>
  <c r="T288" i="38"/>
  <c r="N288" i="38"/>
  <c r="T287" i="38"/>
  <c r="U287" i="38" s="1"/>
  <c r="N287" i="38"/>
  <c r="T286" i="38"/>
  <c r="U286" i="38" s="1"/>
  <c r="N286" i="38"/>
  <c r="L286" i="38"/>
  <c r="T285" i="38"/>
  <c r="N285" i="38"/>
  <c r="L285" i="38"/>
  <c r="T284" i="38"/>
  <c r="N284" i="38"/>
  <c r="T283" i="38"/>
  <c r="N283" i="38"/>
  <c r="T282" i="38"/>
  <c r="N282" i="38"/>
  <c r="T281" i="38"/>
  <c r="N281" i="38"/>
  <c r="L281" i="38"/>
  <c r="T280" i="38"/>
  <c r="U280" i="38" s="1"/>
  <c r="N280" i="38"/>
  <c r="L280" i="38"/>
  <c r="U279" i="38"/>
  <c r="T279" i="38"/>
  <c r="N279" i="38"/>
  <c r="L279" i="38"/>
  <c r="T278" i="38"/>
  <c r="U278" i="38" s="1"/>
  <c r="N278" i="38"/>
  <c r="L278" i="38"/>
  <c r="N277" i="38"/>
  <c r="L277" i="38"/>
  <c r="T276" i="38"/>
  <c r="N276" i="38"/>
  <c r="L276" i="38"/>
  <c r="T275" i="38"/>
  <c r="N275" i="38"/>
  <c r="T274" i="38"/>
  <c r="N274" i="38"/>
  <c r="T273" i="38"/>
  <c r="N273" i="38"/>
  <c r="T272" i="38"/>
  <c r="N272" i="38"/>
  <c r="L272" i="38"/>
  <c r="T271" i="38"/>
  <c r="N271" i="38"/>
  <c r="T270" i="38"/>
  <c r="N270" i="38"/>
  <c r="U270" i="38" s="1"/>
  <c r="T269" i="38"/>
  <c r="U269" i="38" s="1"/>
  <c r="N269" i="38"/>
  <c r="T268" i="38"/>
  <c r="N268" i="38"/>
  <c r="N267" i="38"/>
  <c r="N266" i="38"/>
  <c r="T265" i="38"/>
  <c r="N265" i="38"/>
  <c r="N264" i="38"/>
  <c r="N263" i="38"/>
  <c r="N262" i="38"/>
  <c r="N261" i="38"/>
  <c r="L261" i="38"/>
  <c r="N260" i="38"/>
  <c r="L260" i="38"/>
  <c r="N259" i="38"/>
  <c r="L259" i="38"/>
  <c r="T258" i="38"/>
  <c r="N258" i="38"/>
  <c r="L258" i="38"/>
  <c r="T257" i="38"/>
  <c r="N257" i="38"/>
  <c r="T256" i="38"/>
  <c r="N256" i="38"/>
  <c r="T255" i="38"/>
  <c r="N255" i="38"/>
  <c r="U255" i="38" s="1"/>
  <c r="T254" i="38"/>
  <c r="N254" i="38"/>
  <c r="T253" i="38"/>
  <c r="N253" i="38"/>
  <c r="L253" i="38"/>
  <c r="T252" i="38"/>
  <c r="N252" i="38"/>
  <c r="L252" i="38"/>
  <c r="T251" i="38"/>
  <c r="N251" i="38"/>
  <c r="L251" i="38"/>
  <c r="N250" i="38"/>
  <c r="L250" i="38"/>
  <c r="T249" i="38"/>
  <c r="N249" i="38"/>
  <c r="N248" i="38"/>
  <c r="T247" i="38"/>
  <c r="N247" i="38"/>
  <c r="P247" i="38" s="1"/>
  <c r="Q247" i="38" s="1"/>
  <c r="T246" i="38"/>
  <c r="N246" i="38"/>
  <c r="P246" i="38" s="1"/>
  <c r="Q246" i="38" s="1"/>
  <c r="P245" i="38"/>
  <c r="Q245" i="38" s="1"/>
  <c r="N245" i="38"/>
  <c r="T244" i="38"/>
  <c r="N244" i="38"/>
  <c r="T243" i="38"/>
  <c r="U243" i="38" s="1"/>
  <c r="N243" i="38"/>
  <c r="L243" i="38"/>
  <c r="T242" i="38"/>
  <c r="N242" i="38"/>
  <c r="L242" i="38"/>
  <c r="T241" i="38"/>
  <c r="N241" i="38"/>
  <c r="L241" i="38"/>
  <c r="N240" i="38"/>
  <c r="P240" i="38" s="1"/>
  <c r="Q240" i="38" s="1"/>
  <c r="L240" i="38"/>
  <c r="F240" i="38"/>
  <c r="N239" i="38"/>
  <c r="L239" i="38"/>
  <c r="T238" i="38"/>
  <c r="N238" i="38"/>
  <c r="P238" i="38" s="1"/>
  <c r="Q238" i="38" s="1"/>
  <c r="L238" i="38"/>
  <c r="T237" i="38"/>
  <c r="N237" i="38"/>
  <c r="L237" i="38"/>
  <c r="T236" i="38"/>
  <c r="N236" i="38"/>
  <c r="U236" i="38" s="1"/>
  <c r="L236" i="38"/>
  <c r="T235" i="38"/>
  <c r="N235" i="38"/>
  <c r="L235" i="38"/>
  <c r="T234" i="38"/>
  <c r="N234" i="38"/>
  <c r="P234" i="38" s="1"/>
  <c r="L234" i="38"/>
  <c r="N233" i="38"/>
  <c r="U232" i="38"/>
  <c r="T232" i="38"/>
  <c r="N232" i="38"/>
  <c r="L232" i="38"/>
  <c r="T231" i="38"/>
  <c r="U231" i="38" s="1"/>
  <c r="N231" i="38"/>
  <c r="T230" i="38"/>
  <c r="N230" i="38"/>
  <c r="L230" i="38"/>
  <c r="T229" i="38"/>
  <c r="N229" i="38"/>
  <c r="L229" i="38"/>
  <c r="P229" i="38" s="1"/>
  <c r="Q229" i="38" s="1"/>
  <c r="T228" i="38"/>
  <c r="N228" i="38"/>
  <c r="L228" i="38"/>
  <c r="T227" i="38"/>
  <c r="N227" i="38"/>
  <c r="T226" i="38"/>
  <c r="N226" i="38"/>
  <c r="U226" i="38" s="1"/>
  <c r="T225" i="38"/>
  <c r="N225" i="38"/>
  <c r="U225" i="38" s="1"/>
  <c r="T224" i="38"/>
  <c r="U224" i="38" s="1"/>
  <c r="N224" i="38"/>
  <c r="N223" i="38"/>
  <c r="T222" i="38"/>
  <c r="U222" i="38" s="1"/>
  <c r="N222" i="38"/>
  <c r="T221" i="38"/>
  <c r="U221" i="38" s="1"/>
  <c r="N221" i="38"/>
  <c r="L221" i="38"/>
  <c r="T220" i="38"/>
  <c r="N220" i="38"/>
  <c r="L220" i="38"/>
  <c r="T219" i="38"/>
  <c r="N219" i="38"/>
  <c r="T218" i="38"/>
  <c r="N218" i="38"/>
  <c r="T217" i="38"/>
  <c r="N217" i="38"/>
  <c r="L217" i="38"/>
  <c r="P217" i="38" s="1"/>
  <c r="Q217" i="38" s="1"/>
  <c r="N216" i="38"/>
  <c r="P216" i="38" s="1"/>
  <c r="Q216" i="38" s="1"/>
  <c r="L216" i="38"/>
  <c r="T215" i="38"/>
  <c r="N215" i="38"/>
  <c r="L215" i="38"/>
  <c r="T214" i="38"/>
  <c r="N214" i="38"/>
  <c r="T213" i="38"/>
  <c r="N213" i="38"/>
  <c r="T212" i="38"/>
  <c r="N212" i="38"/>
  <c r="T211" i="38"/>
  <c r="N211" i="38"/>
  <c r="U211" i="38" s="1"/>
  <c r="N210" i="38"/>
  <c r="N209" i="38"/>
  <c r="T208" i="38"/>
  <c r="N208" i="38"/>
  <c r="U208" i="38" s="1"/>
  <c r="T207" i="38"/>
  <c r="N207" i="38"/>
  <c r="T206" i="38"/>
  <c r="N206" i="38"/>
  <c r="U206" i="38" s="1"/>
  <c r="T205" i="38"/>
  <c r="N205" i="38"/>
  <c r="T204" i="38"/>
  <c r="N204" i="38"/>
  <c r="T203" i="38"/>
  <c r="N203" i="38"/>
  <c r="T202" i="38"/>
  <c r="N202" i="38"/>
  <c r="L202" i="38"/>
  <c r="T201" i="38"/>
  <c r="N201" i="38"/>
  <c r="L201" i="38"/>
  <c r="T200" i="38"/>
  <c r="N200" i="38"/>
  <c r="L200" i="38"/>
  <c r="N199" i="38"/>
  <c r="L199" i="38"/>
  <c r="U198" i="38"/>
  <c r="T198" i="38"/>
  <c r="N198" i="38"/>
  <c r="L198" i="38"/>
  <c r="T197" i="38"/>
  <c r="N197" i="38"/>
  <c r="L197" i="38"/>
  <c r="T196" i="38"/>
  <c r="U196" i="38" s="1"/>
  <c r="Q196" i="38"/>
  <c r="N196" i="38"/>
  <c r="P196" i="38" s="1"/>
  <c r="L196" i="38"/>
  <c r="T195" i="38"/>
  <c r="N195" i="38"/>
  <c r="P195" i="38" s="1"/>
  <c r="Q195" i="38" s="1"/>
  <c r="L195" i="38"/>
  <c r="T194" i="38"/>
  <c r="N194" i="38"/>
  <c r="L194" i="38"/>
  <c r="T193" i="38"/>
  <c r="N193" i="38"/>
  <c r="U193" i="38" s="1"/>
  <c r="L193" i="38"/>
  <c r="T192" i="38"/>
  <c r="U192" i="38" s="1"/>
  <c r="N192" i="38"/>
  <c r="L192" i="38"/>
  <c r="T191" i="38"/>
  <c r="N191" i="38"/>
  <c r="U191" i="38" s="1"/>
  <c r="T190" i="38"/>
  <c r="N190" i="38"/>
  <c r="L190" i="38"/>
  <c r="T189" i="38"/>
  <c r="N189" i="38"/>
  <c r="L189" i="38"/>
  <c r="N188" i="38"/>
  <c r="N187" i="38"/>
  <c r="N186" i="38"/>
  <c r="N185" i="38"/>
  <c r="L185" i="38"/>
  <c r="T184" i="38"/>
  <c r="N184" i="38"/>
  <c r="T183" i="38"/>
  <c r="N183" i="38"/>
  <c r="U183" i="38" s="1"/>
  <c r="U182" i="38"/>
  <c r="T182" i="38"/>
  <c r="N182" i="38"/>
  <c r="T181" i="38"/>
  <c r="N181" i="38"/>
  <c r="T180" i="38"/>
  <c r="N180" i="38"/>
  <c r="T179" i="38"/>
  <c r="N179" i="38"/>
  <c r="T178" i="38"/>
  <c r="N178" i="38"/>
  <c r="T177" i="38"/>
  <c r="N177" i="38"/>
  <c r="T176" i="38"/>
  <c r="U176" i="38" s="1"/>
  <c r="N176" i="38"/>
  <c r="T175" i="38"/>
  <c r="N175" i="38"/>
  <c r="T174" i="38"/>
  <c r="N174" i="38"/>
  <c r="T173" i="38"/>
  <c r="N173" i="38"/>
  <c r="N172" i="38"/>
  <c r="N171" i="38"/>
  <c r="N170" i="38"/>
  <c r="N169" i="38"/>
  <c r="T168" i="38"/>
  <c r="U168" i="38" s="1"/>
  <c r="N168" i="38"/>
  <c r="T167" i="38"/>
  <c r="N167" i="38"/>
  <c r="P167" i="38" s="1"/>
  <c r="L167" i="38"/>
  <c r="T166" i="38"/>
  <c r="U166" i="38" s="1"/>
  <c r="N166" i="38"/>
  <c r="N165" i="38"/>
  <c r="L165" i="38"/>
  <c r="P165" i="38" s="1"/>
  <c r="T164" i="38"/>
  <c r="N164" i="38"/>
  <c r="U164" i="38" s="1"/>
  <c r="T163" i="38"/>
  <c r="N163" i="38"/>
  <c r="T162" i="38"/>
  <c r="N162" i="38"/>
  <c r="L162" i="38"/>
  <c r="T161" i="38"/>
  <c r="N161" i="38"/>
  <c r="L161" i="38"/>
  <c r="T160" i="38"/>
  <c r="U160" i="38" s="1"/>
  <c r="N160" i="38"/>
  <c r="T159" i="38"/>
  <c r="N159" i="38"/>
  <c r="U159" i="38" s="1"/>
  <c r="T158" i="38"/>
  <c r="N158" i="38"/>
  <c r="U158" i="38" s="1"/>
  <c r="T157" i="38"/>
  <c r="U157" i="38" s="1"/>
  <c r="N157" i="38"/>
  <c r="L157" i="38"/>
  <c r="T156" i="38"/>
  <c r="P156" i="38"/>
  <c r="Q156" i="38" s="1"/>
  <c r="N156" i="38"/>
  <c r="L156" i="38"/>
  <c r="N155" i="38"/>
  <c r="U154" i="38"/>
  <c r="T154" i="38"/>
  <c r="N154" i="38"/>
  <c r="L154" i="38"/>
  <c r="N153" i="38"/>
  <c r="N152" i="38"/>
  <c r="T151" i="38"/>
  <c r="N151" i="38"/>
  <c r="T150" i="38"/>
  <c r="U150" i="38" s="1"/>
  <c r="N150" i="38"/>
  <c r="L150" i="38"/>
  <c r="N149" i="38"/>
  <c r="T148" i="38"/>
  <c r="N148" i="38"/>
  <c r="L148" i="38"/>
  <c r="N147" i="38"/>
  <c r="T146" i="38"/>
  <c r="N146" i="38"/>
  <c r="P146" i="38" s="1"/>
  <c r="Q146" i="38" s="1"/>
  <c r="L146" i="38"/>
  <c r="N145" i="38"/>
  <c r="P145" i="38" s="1"/>
  <c r="Q145" i="38" s="1"/>
  <c r="L145" i="38"/>
  <c r="T144" i="38"/>
  <c r="N144" i="38"/>
  <c r="T143" i="38"/>
  <c r="N143" i="38"/>
  <c r="T142" i="38"/>
  <c r="N142" i="38"/>
  <c r="U142" i="38" s="1"/>
  <c r="U141" i="38"/>
  <c r="T141" i="38"/>
  <c r="N141" i="38"/>
  <c r="N140" i="38"/>
  <c r="T139" i="38"/>
  <c r="N139" i="38"/>
  <c r="T138" i="38"/>
  <c r="N138" i="38"/>
  <c r="L138" i="38"/>
  <c r="P139" i="38" s="1"/>
  <c r="Q139" i="38" s="1"/>
  <c r="T137" i="38"/>
  <c r="N137" i="38"/>
  <c r="T136" i="38"/>
  <c r="N136" i="38"/>
  <c r="L136" i="38"/>
  <c r="T135" i="38"/>
  <c r="N135" i="38"/>
  <c r="L135" i="38"/>
  <c r="T134" i="38"/>
  <c r="N134" i="38"/>
  <c r="L134" i="38"/>
  <c r="N133" i="38"/>
  <c r="L133" i="38"/>
  <c r="T132" i="38"/>
  <c r="N132" i="38"/>
  <c r="L132" i="38"/>
  <c r="T131" i="38"/>
  <c r="N131" i="38"/>
  <c r="T130" i="38"/>
  <c r="N130" i="38"/>
  <c r="U130" i="38" s="1"/>
  <c r="L130" i="38"/>
  <c r="N129" i="38"/>
  <c r="N128" i="38"/>
  <c r="L128" i="38"/>
  <c r="N127" i="38"/>
  <c r="L127" i="38"/>
  <c r="P127" i="38" s="1"/>
  <c r="Q127" i="38" s="1"/>
  <c r="T126" i="38"/>
  <c r="N126" i="38"/>
  <c r="P126" i="38" s="1"/>
  <c r="L126" i="38"/>
  <c r="T125" i="38"/>
  <c r="P125" i="38"/>
  <c r="Q125" i="38" s="1"/>
  <c r="N125" i="38"/>
  <c r="L125" i="38" s="1"/>
  <c r="T124" i="38"/>
  <c r="N124" i="38"/>
  <c r="L124" i="38"/>
  <c r="N123" i="38"/>
  <c r="P123" i="38" s="1"/>
  <c r="Q123" i="38" s="1"/>
  <c r="L123" i="38"/>
  <c r="N122" i="38"/>
  <c r="L122" i="38"/>
  <c r="T121" i="38"/>
  <c r="U121" i="38" s="1"/>
  <c r="N121" i="38"/>
  <c r="P121" i="38" s="1"/>
  <c r="Q121" i="38" s="1"/>
  <c r="L121" i="38"/>
  <c r="N120" i="38"/>
  <c r="L120" i="38"/>
  <c r="T119" i="38"/>
  <c r="N119" i="38"/>
  <c r="N118" i="38"/>
  <c r="N117" i="38"/>
  <c r="N116" i="38"/>
  <c r="N115" i="38"/>
  <c r="N114" i="38"/>
  <c r="N113" i="38"/>
  <c r="N112" i="38"/>
  <c r="N111" i="38"/>
  <c r="T110" i="38"/>
  <c r="U110" i="38" s="1"/>
  <c r="N110" i="38"/>
  <c r="L110" i="38"/>
  <c r="T109" i="38"/>
  <c r="N109" i="38"/>
  <c r="N108" i="38"/>
  <c r="L108" i="38"/>
  <c r="T107" i="38"/>
  <c r="N107" i="38"/>
  <c r="P107" i="38" s="1"/>
  <c r="L107" i="38"/>
  <c r="T106" i="38"/>
  <c r="N106" i="38"/>
  <c r="U106" i="38" s="1"/>
  <c r="T105" i="38"/>
  <c r="N105" i="38"/>
  <c r="L105" i="38"/>
  <c r="T104" i="38"/>
  <c r="N104" i="38"/>
  <c r="L104" i="38"/>
  <c r="N103" i="38"/>
  <c r="N102" i="38"/>
  <c r="N101" i="38"/>
  <c r="L101" i="38"/>
  <c r="T100" i="38"/>
  <c r="P100" i="38"/>
  <c r="Q100" i="38" s="1"/>
  <c r="N100" i="38"/>
  <c r="T99" i="38"/>
  <c r="N99" i="38"/>
  <c r="L99" i="38"/>
  <c r="T98" i="38"/>
  <c r="N98" i="38"/>
  <c r="P98" i="38" s="1"/>
  <c r="Q98" i="38" s="1"/>
  <c r="L98" i="38"/>
  <c r="N97" i="38"/>
  <c r="T96" i="38"/>
  <c r="U96" i="38" s="1"/>
  <c r="N96" i="38"/>
  <c r="T95" i="38"/>
  <c r="N95" i="38"/>
  <c r="T94" i="38"/>
  <c r="N94" i="38"/>
  <c r="N93" i="38"/>
  <c r="N92" i="38"/>
  <c r="N91" i="38"/>
  <c r="L91" i="38"/>
  <c r="T90" i="38"/>
  <c r="N90" i="38"/>
  <c r="U90" i="38" s="1"/>
  <c r="L90" i="38"/>
  <c r="N89" i="38"/>
  <c r="P89" i="38" s="1"/>
  <c r="Q89" i="38" s="1"/>
  <c r="L89" i="38"/>
  <c r="N88" i="38"/>
  <c r="L88" i="38"/>
  <c r="N87" i="38"/>
  <c r="P87" i="38" s="1"/>
  <c r="Q87" i="38" s="1"/>
  <c r="L87" i="38"/>
  <c r="N86" i="38"/>
  <c r="L86" i="38"/>
  <c r="N85" i="38"/>
  <c r="P85" i="38" s="1"/>
  <c r="Q85" i="38" s="1"/>
  <c r="L85" i="38"/>
  <c r="N84" i="38"/>
  <c r="L84" i="38"/>
  <c r="N83" i="38"/>
  <c r="N82" i="38"/>
  <c r="P82" i="38" s="1"/>
  <c r="Q82" i="38" s="1"/>
  <c r="T81" i="38"/>
  <c r="N81" i="38"/>
  <c r="T80" i="38"/>
  <c r="P80" i="38"/>
  <c r="N80" i="38"/>
  <c r="N79" i="38"/>
  <c r="T78" i="38"/>
  <c r="U78" i="38" s="1"/>
  <c r="N78" i="38"/>
  <c r="T77" i="38"/>
  <c r="N77" i="38"/>
  <c r="P77" i="38" s="1"/>
  <c r="N76" i="38"/>
  <c r="T75" i="38"/>
  <c r="N75" i="38"/>
  <c r="T74" i="38"/>
  <c r="N73" i="38"/>
  <c r="N72" i="38"/>
  <c r="T71" i="38"/>
  <c r="U71" i="38" s="1"/>
  <c r="N71" i="38"/>
  <c r="N70" i="38"/>
  <c r="T69" i="38"/>
  <c r="U69" i="38" s="1"/>
  <c r="N69" i="38"/>
  <c r="N68" i="38"/>
  <c r="N67" i="38"/>
  <c r="T66" i="38"/>
  <c r="N66" i="38"/>
  <c r="T65" i="38"/>
  <c r="N65" i="38"/>
  <c r="T64" i="38"/>
  <c r="N64" i="38"/>
  <c r="L64" i="38"/>
  <c r="T63" i="38"/>
  <c r="N63" i="38"/>
  <c r="T62" i="38"/>
  <c r="N62" i="38"/>
  <c r="T61" i="38"/>
  <c r="N61" i="38"/>
  <c r="N60" i="38"/>
  <c r="T59" i="38"/>
  <c r="N59" i="38"/>
  <c r="N58" i="38"/>
  <c r="N57" i="38"/>
  <c r="N56" i="38"/>
  <c r="T55" i="38"/>
  <c r="N55" i="38"/>
  <c r="L55" i="38"/>
  <c r="T54" i="38"/>
  <c r="N54" i="38"/>
  <c r="N53" i="38"/>
  <c r="N52" i="38"/>
  <c r="T51" i="38"/>
  <c r="N51" i="38"/>
  <c r="L51" i="38"/>
  <c r="T50" i="38"/>
  <c r="N50" i="38"/>
  <c r="P50" i="38" s="1"/>
  <c r="Q50" i="38" s="1"/>
  <c r="L50" i="38"/>
  <c r="N49" i="38"/>
  <c r="N48" i="38"/>
  <c r="N47" i="38"/>
  <c r="N46" i="38"/>
  <c r="N45" i="38"/>
  <c r="T44" i="38"/>
  <c r="N44" i="38"/>
  <c r="T43" i="38"/>
  <c r="N43" i="38"/>
  <c r="T42" i="38"/>
  <c r="U42" i="38" s="1"/>
  <c r="N42" i="38"/>
  <c r="T41" i="38"/>
  <c r="N41" i="38"/>
  <c r="T40" i="38"/>
  <c r="N40" i="38"/>
  <c r="T39" i="38"/>
  <c r="N39" i="38"/>
  <c r="T38" i="38"/>
  <c r="U38" i="38" s="1"/>
  <c r="N38" i="38"/>
  <c r="N37" i="38"/>
  <c r="T36" i="38"/>
  <c r="N36" i="38"/>
  <c r="N35" i="38"/>
  <c r="N34" i="38"/>
  <c r="N33" i="38"/>
  <c r="N32" i="38"/>
  <c r="T31" i="38"/>
  <c r="N31" i="38"/>
  <c r="U31" i="38" s="1"/>
  <c r="L31" i="38"/>
  <c r="T30" i="38"/>
  <c r="N30" i="38"/>
  <c r="L30" i="38"/>
  <c r="T29" i="38"/>
  <c r="N29" i="38"/>
  <c r="L29" i="38"/>
  <c r="T28" i="38"/>
  <c r="N28" i="38"/>
  <c r="K28" i="38"/>
  <c r="L28" i="38" s="1"/>
  <c r="T27" i="38"/>
  <c r="N27" i="38"/>
  <c r="U27" i="38" s="1"/>
  <c r="T26" i="38"/>
  <c r="N26" i="38"/>
  <c r="L26" i="38"/>
  <c r="T25" i="38"/>
  <c r="N25" i="38"/>
  <c r="L25" i="38"/>
  <c r="N24" i="38"/>
  <c r="N23" i="38"/>
  <c r="N22" i="38"/>
  <c r="N21" i="38"/>
  <c r="N20" i="38"/>
  <c r="L20" i="38"/>
  <c r="T19" i="38"/>
  <c r="N19" i="38"/>
  <c r="L19" i="38"/>
  <c r="T18" i="38"/>
  <c r="N18" i="38"/>
  <c r="L18" i="38"/>
  <c r="P18" i="38" s="1"/>
  <c r="Q18" i="38" s="1"/>
  <c r="T17" i="38"/>
  <c r="N17" i="38"/>
  <c r="L17" i="38"/>
  <c r="T16" i="38"/>
  <c r="N16" i="38"/>
  <c r="P16" i="38" s="1"/>
  <c r="Q16" i="38" s="1"/>
  <c r="L16" i="38"/>
  <c r="N15" i="38"/>
  <c r="L15" i="38"/>
  <c r="N14" i="38"/>
  <c r="T13" i="38"/>
  <c r="N13" i="38"/>
  <c r="L13" i="38"/>
  <c r="T12" i="38"/>
  <c r="N12" i="38"/>
  <c r="L12" i="38"/>
  <c r="P12" i="38" s="1"/>
  <c r="Q12" i="38" s="1"/>
  <c r="T11" i="38"/>
  <c r="N11" i="38"/>
  <c r="L11" i="38"/>
  <c r="T10" i="38"/>
  <c r="N10" i="38"/>
  <c r="P10" i="38" s="1"/>
  <c r="Q10" i="38" s="1"/>
  <c r="L10" i="38"/>
  <c r="T9" i="38"/>
  <c r="N9" i="38"/>
  <c r="P9" i="38" s="1"/>
  <c r="Q9" i="38" s="1"/>
  <c r="T8" i="38"/>
  <c r="U8" i="38" s="1"/>
  <c r="N8" i="38"/>
  <c r="P8" i="38" s="1"/>
  <c r="Q8" i="38" s="1"/>
  <c r="L8" i="38"/>
  <c r="T7" i="38"/>
  <c r="N7" i="38"/>
  <c r="L7" i="38"/>
  <c r="T6" i="38"/>
  <c r="N6" i="38"/>
  <c r="L6" i="38"/>
  <c r="N5" i="38"/>
  <c r="N4" i="38"/>
  <c r="T3" i="38"/>
  <c r="N3" i="38"/>
  <c r="L3" i="38"/>
  <c r="T2" i="38"/>
  <c r="N2" i="38"/>
  <c r="P2" i="38" s="1"/>
  <c r="L2" i="38"/>
  <c r="U7" i="38" l="1"/>
  <c r="U36" i="38"/>
  <c r="P91" i="38"/>
  <c r="Q91" i="38" s="1"/>
  <c r="P132" i="38"/>
  <c r="Q132" i="38" s="1"/>
  <c r="U162" i="38"/>
  <c r="U173" i="38"/>
  <c r="P250" i="38"/>
  <c r="P258" i="38"/>
  <c r="Q258" i="38" s="1"/>
  <c r="U284" i="38"/>
  <c r="P17" i="38"/>
  <c r="U18" i="38"/>
  <c r="U25" i="38"/>
  <c r="U41" i="38"/>
  <c r="U99" i="38"/>
  <c r="U100" i="38"/>
  <c r="U119" i="38"/>
  <c r="P124" i="38"/>
  <c r="Q124" i="38" s="1"/>
  <c r="U132" i="38"/>
  <c r="P134" i="38"/>
  <c r="Q134" i="38" s="1"/>
  <c r="U151" i="38"/>
  <c r="P154" i="38"/>
  <c r="Q154" i="38" s="1"/>
  <c r="U161" i="38"/>
  <c r="P185" i="38"/>
  <c r="Q185" i="38" s="1"/>
  <c r="P204" i="38"/>
  <c r="Q204" i="38" s="1"/>
  <c r="U217" i="38"/>
  <c r="U219" i="38"/>
  <c r="U230" i="38"/>
  <c r="P236" i="38"/>
  <c r="Q236" i="38" s="1"/>
  <c r="U237" i="38"/>
  <c r="U241" i="38"/>
  <c r="U246" i="38"/>
  <c r="P255" i="38"/>
  <c r="Q255" i="38" s="1"/>
  <c r="P260" i="38"/>
  <c r="Q260" i="38" s="1"/>
  <c r="P262" i="38"/>
  <c r="Q262" i="38" s="1"/>
  <c r="U272" i="38"/>
  <c r="P279" i="38"/>
  <c r="Q279" i="38" s="1"/>
  <c r="P6" i="38"/>
  <c r="Q6" i="38" s="1"/>
  <c r="P15" i="38"/>
  <c r="Q15" i="38" s="1"/>
  <c r="U94" i="38"/>
  <c r="P128" i="38"/>
  <c r="Q128" i="38" s="1"/>
  <c r="U175" i="38"/>
  <c r="U179" i="38"/>
  <c r="U200" i="38"/>
  <c r="U205" i="38"/>
  <c r="U212" i="38"/>
  <c r="U220" i="38"/>
  <c r="P230" i="38"/>
  <c r="Q230" i="38" s="1"/>
  <c r="P241" i="38"/>
  <c r="Q241" i="38" s="1"/>
  <c r="U265" i="38"/>
  <c r="P281" i="38"/>
  <c r="Q281" i="38" s="1"/>
  <c r="P295" i="38"/>
  <c r="Q295" i="38" s="1"/>
  <c r="P104" i="38"/>
  <c r="Q104" i="38" s="1"/>
  <c r="U124" i="38"/>
  <c r="P133" i="38"/>
  <c r="Q133" i="38" s="1"/>
  <c r="P162" i="38"/>
  <c r="Q162" i="38" s="1"/>
  <c r="U184" i="38"/>
  <c r="U201" i="38"/>
  <c r="U204" i="38"/>
  <c r="P243" i="38"/>
  <c r="Q243" i="38" s="1"/>
  <c r="U251" i="38"/>
  <c r="U257" i="38"/>
  <c r="U273" i="38"/>
  <c r="U281" i="38"/>
  <c r="U285" i="38"/>
  <c r="U288" i="38"/>
  <c r="U6" i="38"/>
  <c r="U10" i="38"/>
  <c r="P13" i="38"/>
  <c r="Q13" i="38" s="1"/>
  <c r="U43" i="38"/>
  <c r="U54" i="38"/>
  <c r="U136" i="38"/>
  <c r="U148" i="38"/>
  <c r="P164" i="38"/>
  <c r="Q164" i="38" s="1"/>
  <c r="U174" i="38"/>
  <c r="U189" i="38"/>
  <c r="P193" i="38"/>
  <c r="Q193" i="38" s="1"/>
  <c r="P208" i="38"/>
  <c r="Q208" i="38" s="1"/>
  <c r="U215" i="38"/>
  <c r="P228" i="38"/>
  <c r="Q228" i="38" s="1"/>
  <c r="P251" i="38"/>
  <c r="Q251" i="38" s="1"/>
  <c r="U252" i="38"/>
  <c r="P253" i="38"/>
  <c r="Q253" i="38" s="1"/>
  <c r="P259" i="38"/>
  <c r="Q259" i="38" s="1"/>
  <c r="P261" i="38"/>
  <c r="Q261" i="38" s="1"/>
  <c r="U268" i="38"/>
  <c r="P278" i="38"/>
  <c r="Q278" i="38" s="1"/>
  <c r="P280" i="38"/>
  <c r="Q280" i="38" s="1"/>
  <c r="U282" i="38"/>
  <c r="U290" i="38"/>
  <c r="U292" i="38"/>
  <c r="U299" i="38"/>
  <c r="U62" i="38"/>
  <c r="U65" i="38"/>
  <c r="P19" i="38"/>
  <c r="Q19" i="38" s="1"/>
  <c r="U26" i="38"/>
  <c r="P31" i="38"/>
  <c r="Q31" i="38" s="1"/>
  <c r="U40" i="38"/>
  <c r="U50" i="38"/>
  <c r="P64" i="38"/>
  <c r="U75" i="38"/>
  <c r="U77" i="38"/>
  <c r="U104" i="38"/>
  <c r="U107" i="38"/>
  <c r="U109" i="38"/>
  <c r="P122" i="38"/>
  <c r="Q122" i="38" s="1"/>
  <c r="U125" i="38"/>
  <c r="U135" i="38"/>
  <c r="P136" i="38"/>
  <c r="Q136" i="38" s="1"/>
  <c r="U139" i="38"/>
  <c r="P161" i="38"/>
  <c r="Q161" i="38" s="1"/>
  <c r="U178" i="38"/>
  <c r="U180" i="38"/>
  <c r="U203" i="38"/>
  <c r="U214" i="38"/>
  <c r="U218" i="38"/>
  <c r="P220" i="38"/>
  <c r="Q220" i="38" s="1"/>
  <c r="P221" i="38"/>
  <c r="Q221" i="38" s="1"/>
  <c r="U229" i="38"/>
  <c r="P232" i="38"/>
  <c r="Q232" i="38" s="1"/>
  <c r="U238" i="38"/>
  <c r="U244" i="38"/>
  <c r="P277" i="38"/>
  <c r="Q277" i="38" s="1"/>
  <c r="U294" i="38"/>
  <c r="U95" i="38"/>
  <c r="U2" i="38"/>
  <c r="U11" i="38"/>
  <c r="U12" i="38"/>
  <c r="P25" i="38"/>
  <c r="Q25" i="38" s="1"/>
  <c r="P26" i="38"/>
  <c r="Q26" i="38" s="1"/>
  <c r="U29" i="38"/>
  <c r="U39" i="38"/>
  <c r="U44" i="38"/>
  <c r="U61" i="38"/>
  <c r="U63" i="38"/>
  <c r="U64" i="38"/>
  <c r="U98" i="38"/>
  <c r="U134" i="38"/>
  <c r="U146" i="38"/>
  <c r="P148" i="38"/>
  <c r="Q148" i="38" s="1"/>
  <c r="U156" i="38"/>
  <c r="U197" i="38"/>
  <c r="U213" i="38"/>
  <c r="P215" i="38"/>
  <c r="U228" i="38"/>
  <c r="U247" i="38"/>
  <c r="U253" i="38"/>
  <c r="U258" i="38"/>
  <c r="U271" i="38"/>
  <c r="U274" i="38"/>
  <c r="P285" i="38"/>
  <c r="Q285" i="38" s="1"/>
  <c r="P294" i="38"/>
  <c r="Q294" i="38" s="1"/>
  <c r="Q17" i="38"/>
  <c r="Q77" i="38"/>
  <c r="U9" i="38"/>
  <c r="U17" i="38"/>
  <c r="U19" i="38"/>
  <c r="U55" i="38"/>
  <c r="Q126" i="38"/>
  <c r="Q165" i="38"/>
  <c r="U3" i="38"/>
  <c r="P11" i="38"/>
  <c r="Q11" i="38" s="1"/>
  <c r="P27" i="38"/>
  <c r="Q27" i="38" s="1"/>
  <c r="P29" i="38"/>
  <c r="P55" i="38"/>
  <c r="Q55" i="38" s="1"/>
  <c r="U66" i="38"/>
  <c r="Q80" i="38"/>
  <c r="P81" i="38"/>
  <c r="Q81" i="38" s="1"/>
  <c r="U138" i="38"/>
  <c r="U144" i="38"/>
  <c r="U167" i="38"/>
  <c r="U256" i="38"/>
  <c r="P293" i="38"/>
  <c r="U293" i="38"/>
  <c r="U13" i="38"/>
  <c r="U81" i="38"/>
  <c r="Q167" i="38"/>
  <c r="P194" i="38"/>
  <c r="Q194" i="38" s="1"/>
  <c r="U194" i="38"/>
  <c r="Q2" i="38"/>
  <c r="U30" i="38"/>
  <c r="U51" i="38"/>
  <c r="U59" i="38"/>
  <c r="Q64" i="38"/>
  <c r="U105" i="38"/>
  <c r="P120" i="38"/>
  <c r="Q120" i="38" s="1"/>
  <c r="P190" i="38"/>
  <c r="Q190" i="38" s="1"/>
  <c r="P197" i="38"/>
  <c r="Q197" i="38" s="1"/>
  <c r="U235" i="38"/>
  <c r="P3" i="38"/>
  <c r="Q3" i="38" s="1"/>
  <c r="P20" i="38"/>
  <c r="U28" i="38"/>
  <c r="P30" i="38"/>
  <c r="P51" i="38"/>
  <c r="P84" i="38"/>
  <c r="P86" i="38"/>
  <c r="Q86" i="38" s="1"/>
  <c r="P88" i="38"/>
  <c r="Q88" i="38" s="1"/>
  <c r="P90" i="38"/>
  <c r="Q90" i="38" s="1"/>
  <c r="P99" i="38"/>
  <c r="Q99" i="38" s="1"/>
  <c r="P101" i="38"/>
  <c r="P108" i="38"/>
  <c r="Q108" i="38" s="1"/>
  <c r="P110" i="38"/>
  <c r="U126" i="38"/>
  <c r="P130" i="38"/>
  <c r="U131" i="38"/>
  <c r="U137" i="38"/>
  <c r="U143" i="38"/>
  <c r="P150" i="38"/>
  <c r="Q150" i="38" s="1"/>
  <c r="P157" i="38"/>
  <c r="Q157" i="38" s="1"/>
  <c r="U181" i="38"/>
  <c r="U195" i="38"/>
  <c r="Q215" i="38"/>
  <c r="P239" i="38"/>
  <c r="Q239" i="38" s="1"/>
  <c r="P242" i="38"/>
  <c r="Q242" i="38" s="1"/>
  <c r="U242" i="38"/>
  <c r="Q250" i="38"/>
  <c r="U254" i="38"/>
  <c r="P286" i="38"/>
  <c r="Q286" i="38" s="1"/>
  <c r="U289" i="38"/>
  <c r="P135" i="38"/>
  <c r="Q135" i="38" s="1"/>
  <c r="P206" i="38"/>
  <c r="Q206" i="38" s="1"/>
  <c r="Q234" i="38"/>
  <c r="U16" i="38"/>
  <c r="U80" i="38"/>
  <c r="P105" i="38"/>
  <c r="Q105" i="38" s="1"/>
  <c r="Q107" i="38"/>
  <c r="P160" i="38"/>
  <c r="U190" i="38"/>
  <c r="P192" i="38"/>
  <c r="Q192" i="38" s="1"/>
  <c r="P200" i="38"/>
  <c r="Q200" i="38" s="1"/>
  <c r="P201" i="38"/>
  <c r="Q201" i="38" s="1"/>
  <c r="U202" i="38"/>
  <c r="U249" i="38"/>
  <c r="P276" i="38"/>
  <c r="Q276" i="38" s="1"/>
  <c r="U276" i="38"/>
  <c r="U283" i="38"/>
  <c r="U163" i="38"/>
  <c r="U177" i="38"/>
  <c r="P199" i="38"/>
  <c r="Q199" i="38" s="1"/>
  <c r="U207" i="38"/>
  <c r="P231" i="38"/>
  <c r="Q231" i="38" s="1"/>
  <c r="O231" i="38"/>
  <c r="P237" i="38"/>
  <c r="Q237" i="38" s="1"/>
  <c r="P252" i="38"/>
  <c r="Q252" i="38" s="1"/>
  <c r="P272" i="38"/>
  <c r="U275" i="38"/>
  <c r="U227" i="38"/>
  <c r="P235" i="38"/>
  <c r="Q235" i="38" s="1"/>
  <c r="U234" i="38"/>
  <c r="N2" i="11"/>
  <c r="Q272" i="38" l="1"/>
  <c r="Q110" i="38"/>
  <c r="Q130" i="38"/>
  <c r="Q84" i="38"/>
  <c r="Q51" i="38"/>
  <c r="Q293" i="38"/>
  <c r="Q29" i="38"/>
  <c r="Q160" i="38"/>
  <c r="Q20" i="38"/>
  <c r="Q101" i="38"/>
  <c r="Q30" i="38"/>
  <c r="U425" i="2" l="1"/>
  <c r="T425" i="2"/>
  <c r="R425" i="2"/>
  <c r="Q425" i="2"/>
  <c r="P425" i="2"/>
  <c r="L425" i="2"/>
  <c r="M425" i="2"/>
  <c r="N425" i="2"/>
  <c r="K425" i="2"/>
  <c r="F425" i="2"/>
  <c r="E425" i="2"/>
  <c r="D425" i="2"/>
  <c r="P408" i="2"/>
  <c r="N39" i="11" l="1"/>
  <c r="O39" i="11" s="1"/>
  <c r="N38" i="11"/>
  <c r="O38" i="11" s="1"/>
  <c r="U214" i="2" l="1"/>
  <c r="U77" i="2"/>
  <c r="U388" i="2" l="1"/>
  <c r="U372" i="2"/>
  <c r="U369" i="2"/>
  <c r="U366" i="2"/>
  <c r="U357" i="2"/>
  <c r="T356" i="2"/>
  <c r="U356" i="2" s="1"/>
  <c r="U348" i="2"/>
  <c r="T347" i="2"/>
  <c r="U347" i="2"/>
  <c r="T330" i="2"/>
  <c r="U330" i="2" s="1"/>
  <c r="U332" i="2" s="1"/>
  <c r="T249" i="2"/>
  <c r="U249" i="2" s="1"/>
  <c r="E215" i="2"/>
  <c r="U131" i="2"/>
  <c r="T131" i="2"/>
  <c r="P424" i="2"/>
  <c r="Q424" i="2" s="1"/>
  <c r="P423" i="2"/>
  <c r="Q423" i="2" s="1"/>
  <c r="P422" i="2"/>
  <c r="Q422" i="2" s="1"/>
  <c r="U421" i="2"/>
  <c r="Q421" i="2"/>
  <c r="P421" i="2"/>
  <c r="Q418" i="2"/>
  <c r="Q419" i="2"/>
  <c r="Q417" i="2"/>
  <c r="P418" i="2"/>
  <c r="P419" i="2"/>
  <c r="P417" i="2"/>
  <c r="Q369" i="2"/>
  <c r="Q332" i="2"/>
  <c r="U319" i="2"/>
  <c r="U306" i="2"/>
  <c r="Q306" i="2"/>
  <c r="Q259" i="2"/>
  <c r="P259" i="2"/>
  <c r="N259" i="2"/>
  <c r="U228" i="2"/>
  <c r="U215" i="2"/>
  <c r="P214" i="2"/>
  <c r="U210" i="2"/>
  <c r="U209" i="2"/>
  <c r="U192" i="2"/>
  <c r="U188" i="2"/>
  <c r="U181" i="2"/>
  <c r="U163" i="2"/>
  <c r="U160" i="2"/>
  <c r="U151" i="2"/>
  <c r="U146" i="2"/>
  <c r="U138" i="2"/>
  <c r="U133" i="2"/>
  <c r="U126" i="2"/>
  <c r="U125" i="2"/>
  <c r="U120" i="2"/>
  <c r="U111" i="2"/>
  <c r="U107" i="2"/>
  <c r="U95" i="2"/>
  <c r="U92" i="2"/>
  <c r="U89" i="2"/>
  <c r="U86" i="2"/>
  <c r="P73" i="2"/>
  <c r="U73" i="2"/>
  <c r="U424" i="2"/>
  <c r="U418" i="2"/>
  <c r="U417" i="2"/>
  <c r="U387" i="2"/>
  <c r="U386" i="2"/>
  <c r="U385" i="2"/>
  <c r="U384" i="2"/>
  <c r="U383" i="2"/>
  <c r="U382" i="2"/>
  <c r="U381" i="2"/>
  <c r="U380" i="2"/>
  <c r="U379" i="2"/>
  <c r="U378" i="2"/>
  <c r="U377" i="2"/>
  <c r="U375" i="2"/>
  <c r="U374" i="2"/>
  <c r="U373" i="2"/>
  <c r="U371" i="2"/>
  <c r="U370" i="2"/>
  <c r="U368" i="2"/>
  <c r="U360" i="2"/>
  <c r="U359" i="2"/>
  <c r="U358" i="2"/>
  <c r="U355" i="2"/>
  <c r="U354" i="2"/>
  <c r="U353" i="2"/>
  <c r="U352" i="2"/>
  <c r="U350" i="2"/>
  <c r="U346" i="2"/>
  <c r="U344" i="2"/>
  <c r="U343" i="2"/>
  <c r="U342" i="2"/>
  <c r="U341" i="2"/>
  <c r="U338" i="2"/>
  <c r="U337" i="2"/>
  <c r="U336" i="2"/>
  <c r="U335" i="2"/>
  <c r="U334" i="2"/>
  <c r="U331" i="2"/>
  <c r="U329" i="2"/>
  <c r="U328" i="2"/>
  <c r="U327" i="2"/>
  <c r="U326" i="2"/>
  <c r="U325" i="2"/>
  <c r="U324" i="2"/>
  <c r="U323" i="2"/>
  <c r="U321" i="2"/>
  <c r="U320" i="2"/>
  <c r="U318" i="2"/>
  <c r="U317" i="2"/>
  <c r="U316" i="2"/>
  <c r="U315" i="2"/>
  <c r="U313" i="2"/>
  <c r="U312" i="2"/>
  <c r="U311" i="2"/>
  <c r="U310" i="2"/>
  <c r="U309" i="2"/>
  <c r="U305" i="2"/>
  <c r="U304" i="2"/>
  <c r="U303" i="2"/>
  <c r="U302" i="2"/>
  <c r="U301" i="2"/>
  <c r="U300" i="2"/>
  <c r="U299" i="2"/>
  <c r="U298" i="2"/>
  <c r="U297" i="2"/>
  <c r="U295" i="2"/>
  <c r="U294" i="2"/>
  <c r="U293" i="2"/>
  <c r="U292" i="2"/>
  <c r="U291" i="2"/>
  <c r="U290" i="2"/>
  <c r="U289" i="2"/>
  <c r="U288" i="2"/>
  <c r="U287" i="2"/>
  <c r="U286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5" i="2"/>
  <c r="U264" i="2"/>
  <c r="U258" i="2"/>
  <c r="U254" i="2"/>
  <c r="U253" i="2"/>
  <c r="U252" i="2"/>
  <c r="U251" i="2"/>
  <c r="U248" i="2"/>
  <c r="U247" i="2"/>
  <c r="U246" i="2"/>
  <c r="U245" i="2"/>
  <c r="U243" i="2"/>
  <c r="U240" i="2"/>
  <c r="U239" i="2"/>
  <c r="U237" i="2"/>
  <c r="U235" i="2"/>
  <c r="U233" i="2"/>
  <c r="U232" i="2"/>
  <c r="U231" i="2"/>
  <c r="U230" i="2"/>
  <c r="U227" i="2"/>
  <c r="U226" i="2"/>
  <c r="U225" i="2"/>
  <c r="U224" i="2"/>
  <c r="U223" i="2"/>
  <c r="U222" i="2"/>
  <c r="U220" i="2"/>
  <c r="U219" i="2"/>
  <c r="U218" i="2"/>
  <c r="U208" i="2"/>
  <c r="U207" i="2"/>
  <c r="U204" i="2"/>
  <c r="U202" i="2"/>
  <c r="U193" i="2"/>
  <c r="U191" i="2"/>
  <c r="U189" i="2"/>
  <c r="U187" i="2"/>
  <c r="U186" i="2"/>
  <c r="U185" i="2"/>
  <c r="U180" i="2"/>
  <c r="U179" i="2"/>
  <c r="U178" i="2"/>
  <c r="U176" i="2"/>
  <c r="U175" i="2"/>
  <c r="U174" i="2"/>
  <c r="U170" i="2"/>
  <c r="U159" i="2"/>
  <c r="U158" i="2"/>
  <c r="U156" i="2"/>
  <c r="U155" i="2"/>
  <c r="U149" i="2"/>
  <c r="U142" i="2"/>
  <c r="U140" i="2"/>
  <c r="U135" i="2"/>
  <c r="U132" i="2"/>
  <c r="U130" i="2"/>
  <c r="U129" i="2"/>
  <c r="U128" i="2"/>
  <c r="U124" i="2"/>
  <c r="U119" i="2"/>
  <c r="U118" i="2"/>
  <c r="U115" i="2"/>
  <c r="U114" i="2"/>
  <c r="U106" i="2"/>
  <c r="U105" i="2"/>
  <c r="U104" i="2"/>
  <c r="U103" i="2"/>
  <c r="U102" i="2"/>
  <c r="U101" i="2"/>
  <c r="U100" i="2"/>
  <c r="U98" i="2"/>
  <c r="U91" i="2"/>
  <c r="U90" i="2"/>
  <c r="U88" i="2"/>
  <c r="U87" i="2"/>
  <c r="U85" i="2"/>
  <c r="U84" i="2"/>
  <c r="U83" i="2"/>
  <c r="U76" i="2"/>
  <c r="U75" i="2"/>
  <c r="U74" i="2"/>
  <c r="U72" i="2"/>
  <c r="U69" i="2"/>
  <c r="U68" i="2"/>
  <c r="U67" i="2"/>
  <c r="U66" i="2"/>
  <c r="U65" i="2"/>
  <c r="U64" i="2"/>
  <c r="U63" i="2"/>
  <c r="U62" i="2"/>
  <c r="U59" i="2"/>
  <c r="U58" i="2"/>
  <c r="T95" i="2"/>
  <c r="N95" i="2"/>
  <c r="F107" i="2"/>
  <c r="E107" i="2"/>
  <c r="D107" i="2"/>
  <c r="F95" i="2"/>
  <c r="E95" i="2"/>
  <c r="D95" i="2"/>
  <c r="D77" i="2"/>
  <c r="D73" i="2"/>
  <c r="T92" i="2"/>
  <c r="N92" i="2"/>
  <c r="T89" i="2"/>
  <c r="T86" i="2"/>
  <c r="T77" i="2"/>
  <c r="T73" i="2"/>
  <c r="N73" i="2"/>
  <c r="U250" i="2" l="1"/>
  <c r="U259" i="2"/>
  <c r="U255" i="2"/>
  <c r="U257" i="2"/>
  <c r="N107" i="2"/>
  <c r="Q77" i="2"/>
  <c r="P77" i="2"/>
  <c r="N77" i="2"/>
  <c r="Q73" i="2"/>
  <c r="L71" i="2"/>
  <c r="P71" i="2" s="1"/>
  <c r="Q71" i="2" s="1"/>
  <c r="Q86" i="2"/>
  <c r="P86" i="2"/>
  <c r="N86" i="2"/>
  <c r="Q89" i="2"/>
  <c r="P89" i="2"/>
  <c r="N89" i="2"/>
  <c r="Q92" i="2"/>
  <c r="P92" i="2"/>
  <c r="Q95" i="2"/>
  <c r="P95" i="2"/>
  <c r="Q107" i="2"/>
  <c r="P107" i="2"/>
  <c r="Q111" i="2"/>
  <c r="P111" i="2"/>
  <c r="N111" i="2"/>
  <c r="Q120" i="2"/>
  <c r="P120" i="2"/>
  <c r="N120" i="2"/>
  <c r="F120" i="2"/>
  <c r="Q125" i="2"/>
  <c r="P125" i="2"/>
  <c r="N125" i="2"/>
  <c r="Q126" i="2"/>
  <c r="P126" i="2"/>
  <c r="N126" i="2"/>
  <c r="P119" i="2"/>
  <c r="L119" i="2"/>
  <c r="P59" i="2"/>
  <c r="Q59" i="2" s="1"/>
  <c r="P58" i="2"/>
  <c r="Q58" i="2" s="1"/>
  <c r="P69" i="2"/>
  <c r="Q69" i="2" s="1"/>
  <c r="P68" i="2"/>
  <c r="Q68" i="2" s="1"/>
  <c r="P67" i="2"/>
  <c r="Q67" i="2" s="1"/>
  <c r="P74" i="2"/>
  <c r="Q74" i="2" s="1"/>
  <c r="P78" i="2"/>
  <c r="Q78" i="2" s="1"/>
  <c r="P83" i="2"/>
  <c r="Q83" i="2" s="1"/>
  <c r="P84" i="2"/>
  <c r="P88" i="2"/>
  <c r="P91" i="2"/>
  <c r="Q91" i="2"/>
  <c r="P114" i="2"/>
  <c r="Q114" i="2"/>
  <c r="Q115" i="2"/>
  <c r="P115" i="2"/>
  <c r="N133" i="2"/>
  <c r="Q138" i="2"/>
  <c r="P138" i="2"/>
  <c r="N138" i="2"/>
  <c r="M134" i="2"/>
  <c r="Q133" i="2"/>
  <c r="P133" i="2"/>
  <c r="Q146" i="2"/>
  <c r="P146" i="2"/>
  <c r="Q151" i="2"/>
  <c r="P151" i="2"/>
  <c r="N146" i="2"/>
  <c r="N151" i="2"/>
  <c r="E151" i="2"/>
  <c r="Q160" i="2"/>
  <c r="P160" i="2"/>
  <c r="N160" i="2"/>
  <c r="N163" i="2"/>
  <c r="Q163" i="2"/>
  <c r="P163" i="2"/>
  <c r="E163" i="2"/>
  <c r="F163" i="2"/>
  <c r="N181" i="2"/>
  <c r="Q181" i="2"/>
  <c r="P181" i="2"/>
  <c r="P155" i="2"/>
  <c r="Q155" i="2" s="1"/>
  <c r="P161" i="2"/>
  <c r="Q161" i="2" s="1"/>
  <c r="Q171" i="2"/>
  <c r="P171" i="2"/>
  <c r="P170" i="2"/>
  <c r="Q170" i="2" s="1"/>
  <c r="Q169" i="2"/>
  <c r="P169" i="2"/>
  <c r="P168" i="2"/>
  <c r="Q168" i="2" s="1"/>
  <c r="Q167" i="2"/>
  <c r="P167" i="2"/>
  <c r="P166" i="2"/>
  <c r="Q166" i="2" s="1"/>
  <c r="Q165" i="2"/>
  <c r="P165" i="2"/>
  <c r="P164" i="2"/>
  <c r="Q164" i="2" s="1"/>
  <c r="Q179" i="2"/>
  <c r="P179" i="2"/>
  <c r="P178" i="2"/>
  <c r="Q178" i="2" s="1"/>
  <c r="P180" i="2"/>
  <c r="N188" i="2"/>
  <c r="Q188" i="2"/>
  <c r="P188" i="2"/>
  <c r="P182" i="2"/>
  <c r="Q182" i="2" s="1"/>
  <c r="P186" i="2"/>
  <c r="Q186" i="2" s="1"/>
  <c r="P185" i="2"/>
  <c r="Q185" i="2" s="1"/>
  <c r="N192" i="2"/>
  <c r="P192" i="2"/>
  <c r="N22" i="11"/>
  <c r="Q192" i="2"/>
  <c r="N209" i="2"/>
  <c r="P190" i="2"/>
  <c r="Q190" i="2"/>
  <c r="Q189" i="2"/>
  <c r="P189" i="2"/>
  <c r="P208" i="2" l="1"/>
  <c r="N214" i="2"/>
  <c r="Q209" i="2"/>
  <c r="P209" i="2"/>
  <c r="L208" i="2"/>
  <c r="P193" i="2"/>
  <c r="Q193" i="2" s="1"/>
  <c r="P203" i="2"/>
  <c r="Q203" i="2"/>
  <c r="P204" i="2"/>
  <c r="Q204" i="2"/>
  <c r="P205" i="2"/>
  <c r="Q205" i="2"/>
  <c r="P206" i="2"/>
  <c r="Q206" i="2" s="1"/>
  <c r="Q207" i="2"/>
  <c r="P207" i="2"/>
  <c r="Q214" i="2" l="1"/>
  <c r="N215" i="2"/>
  <c r="P211" i="2"/>
  <c r="Q211" i="2" s="1"/>
  <c r="P212" i="2"/>
  <c r="Q212" i="2"/>
  <c r="Q210" i="2"/>
  <c r="P210" i="2"/>
  <c r="Q215" i="2"/>
  <c r="P215" i="2"/>
  <c r="L215" i="2"/>
  <c r="P158" i="2"/>
  <c r="N228" i="2"/>
  <c r="Q228" i="2"/>
  <c r="P228" i="2"/>
  <c r="P218" i="2"/>
  <c r="Q218" i="2" s="1"/>
  <c r="P220" i="2"/>
  <c r="Q220" i="2" s="1"/>
  <c r="P221" i="2"/>
  <c r="Q221" i="2"/>
  <c r="P222" i="2"/>
  <c r="Q222" i="2"/>
  <c r="Q223" i="2"/>
  <c r="P223" i="2"/>
  <c r="P227" i="2"/>
  <c r="N255" i="2"/>
  <c r="Q255" i="2"/>
  <c r="P255" i="2"/>
  <c r="D255" i="2"/>
  <c r="P257" i="2"/>
  <c r="Q250" i="2"/>
  <c r="Q257" i="2"/>
  <c r="P250" i="2"/>
  <c r="P237" i="2"/>
  <c r="Q237" i="2" s="1"/>
  <c r="P235" i="2"/>
  <c r="Q235" i="2" s="1"/>
  <c r="P234" i="2"/>
  <c r="Q234" i="2" s="1"/>
  <c r="P239" i="2"/>
  <c r="Q239" i="2" s="1"/>
  <c r="P243" i="2"/>
  <c r="Q243" i="2" s="1"/>
  <c r="P246" i="2"/>
  <c r="Q246" i="2" s="1"/>
  <c r="P245" i="2"/>
  <c r="Q245" i="2" s="1"/>
  <c r="P256" i="2"/>
  <c r="Q256" i="2" s="1"/>
  <c r="P252" i="2"/>
  <c r="Q252" i="2" s="1"/>
  <c r="P251" i="2"/>
  <c r="Q251" i="2" s="1"/>
  <c r="P254" i="2"/>
  <c r="N250" i="2"/>
  <c r="N257" i="2"/>
  <c r="O332" i="2"/>
  <c r="O330" i="2"/>
  <c r="P319" i="2"/>
  <c r="P306" i="2"/>
  <c r="P264" i="2"/>
  <c r="Q264" i="2" s="1"/>
  <c r="P282" i="2"/>
  <c r="Q282" i="2" s="1"/>
  <c r="P287" i="2"/>
  <c r="Q287" i="2" s="1"/>
  <c r="P293" i="2"/>
  <c r="Q293" i="2" s="1"/>
  <c r="P292" i="2"/>
  <c r="Q292" i="2" s="1"/>
  <c r="P291" i="2"/>
  <c r="Q291" i="2" s="1"/>
  <c r="P290" i="2"/>
  <c r="Q290" i="2" s="1"/>
  <c r="P289" i="2"/>
  <c r="Q289" i="2" s="1"/>
  <c r="P332" i="2"/>
  <c r="N330" i="2" l="1"/>
  <c r="P330" i="2" s="1"/>
  <c r="Q330" i="2" s="1"/>
  <c r="N364" i="2" l="1"/>
  <c r="N365" i="2"/>
  <c r="P364" i="2" s="1"/>
  <c r="Q364" i="2" s="1"/>
  <c r="N356" i="2" l="1"/>
  <c r="P356" i="2" s="1"/>
  <c r="Q356" i="2" s="1"/>
  <c r="N347" i="2" l="1"/>
  <c r="P347" i="2" s="1"/>
  <c r="Q347" i="2" s="1"/>
  <c r="N344" i="2" l="1"/>
  <c r="T344" i="2"/>
  <c r="N345" i="2"/>
  <c r="P345" i="2" s="1"/>
  <c r="Q345" i="2" s="1"/>
  <c r="E332" i="2" l="1"/>
  <c r="F259" i="2" l="1"/>
  <c r="E259" i="2"/>
  <c r="F257" i="2"/>
  <c r="E257" i="2"/>
  <c r="F255" i="2"/>
  <c r="E255" i="2"/>
  <c r="D257" i="2"/>
  <c r="M255" i="2" l="1"/>
  <c r="K250" i="2"/>
  <c r="N26" i="11" l="1"/>
  <c r="R228" i="2"/>
  <c r="D228" i="2"/>
  <c r="F228" i="2"/>
  <c r="E228" i="2"/>
  <c r="M228" i="2"/>
  <c r="K228" i="2"/>
  <c r="D125" i="2" l="1"/>
  <c r="F126" i="2" l="1"/>
  <c r="F151" i="2" l="1"/>
  <c r="D192" i="2" l="1"/>
  <c r="D214" i="2" l="1"/>
  <c r="F192" i="2" l="1"/>
  <c r="D188" i="2" l="1"/>
  <c r="D181" i="2" l="1"/>
  <c r="AO539" i="2" l="1"/>
  <c r="D133" i="2" l="1"/>
  <c r="F125" i="2" l="1"/>
  <c r="O2" i="11" l="1"/>
  <c r="D120" i="2"/>
  <c r="D111" i="2" l="1"/>
  <c r="D86" i="2" l="1"/>
  <c r="T305" i="2" l="1"/>
  <c r="S2" i="11" l="1"/>
  <c r="U36" i="11"/>
  <c r="U35" i="11"/>
  <c r="U34" i="11"/>
  <c r="U33" i="11"/>
  <c r="U30" i="11"/>
  <c r="U29" i="11"/>
  <c r="U28" i="11"/>
  <c r="U21" i="11"/>
  <c r="U20" i="11"/>
  <c r="U19" i="11"/>
  <c r="U18" i="11"/>
  <c r="U16" i="11"/>
  <c r="U15" i="11"/>
  <c r="U3" i="11" l="1"/>
  <c r="U4" i="11"/>
  <c r="U5" i="11"/>
  <c r="U6" i="11"/>
  <c r="U7" i="11"/>
  <c r="U8" i="11"/>
  <c r="U9" i="11"/>
  <c r="U10" i="11"/>
  <c r="U11" i="11"/>
  <c r="U12" i="11"/>
  <c r="S36" i="11" l="1"/>
  <c r="S35" i="11"/>
  <c r="S34" i="11"/>
  <c r="S33" i="11"/>
  <c r="S30" i="11"/>
  <c r="S29" i="11"/>
  <c r="S28" i="11"/>
  <c r="S21" i="11"/>
  <c r="S20" i="11"/>
  <c r="S19" i="11"/>
  <c r="S18" i="11"/>
  <c r="S16" i="11"/>
  <c r="S15" i="11"/>
  <c r="S3" i="11"/>
  <c r="S4" i="11"/>
  <c r="S5" i="11"/>
  <c r="S6" i="11"/>
  <c r="S7" i="11"/>
  <c r="S8" i="11"/>
  <c r="S9" i="11"/>
  <c r="S10" i="11"/>
  <c r="S11" i="11"/>
  <c r="S12" i="11"/>
  <c r="N3" i="11" l="1"/>
  <c r="N4" i="11"/>
  <c r="N6" i="11"/>
  <c r="N7" i="11"/>
  <c r="N8" i="11"/>
  <c r="N9" i="11"/>
  <c r="N10" i="11"/>
  <c r="N11" i="11"/>
  <c r="N12" i="11"/>
  <c r="N15" i="11"/>
  <c r="N17" i="11"/>
  <c r="N18" i="11"/>
  <c r="N19" i="11"/>
  <c r="N20" i="11"/>
  <c r="N21" i="11"/>
  <c r="N23" i="11"/>
  <c r="N24" i="11"/>
  <c r="O26" i="11"/>
  <c r="N27" i="11"/>
  <c r="O27" i="11" s="1"/>
  <c r="N28" i="11"/>
  <c r="N31" i="11"/>
  <c r="N32" i="11"/>
  <c r="O32" i="11" s="1"/>
  <c r="N33" i="11"/>
  <c r="N34" i="11"/>
  <c r="N35" i="11"/>
  <c r="N36" i="11"/>
  <c r="N37" i="11"/>
  <c r="O37" i="11" s="1"/>
  <c r="O22" i="11" l="1"/>
  <c r="O18" i="11"/>
  <c r="O11" i="11"/>
  <c r="O7" i="11"/>
  <c r="O36" i="11"/>
  <c r="O21" i="11"/>
  <c r="O17" i="11"/>
  <c r="O10" i="11"/>
  <c r="O6" i="11"/>
  <c r="O33" i="11"/>
  <c r="O35" i="11"/>
  <c r="O31" i="11"/>
  <c r="O24" i="11"/>
  <c r="O20" i="11"/>
  <c r="O15" i="11"/>
  <c r="O9" i="11"/>
  <c r="O4" i="11"/>
  <c r="O34" i="11"/>
  <c r="O28" i="11"/>
  <c r="O23" i="11"/>
  <c r="O19" i="11"/>
  <c r="O12" i="11"/>
  <c r="O8" i="11"/>
  <c r="O3" i="11"/>
  <c r="W36" i="11" l="1"/>
  <c r="W35" i="11" l="1"/>
  <c r="W34" i="11"/>
  <c r="W33" i="11"/>
  <c r="W30" i="11"/>
  <c r="W29" i="11"/>
  <c r="W28" i="11"/>
  <c r="W21" i="11"/>
  <c r="W20" i="11"/>
  <c r="W16" i="11"/>
  <c r="W15" i="11"/>
  <c r="W3" i="11"/>
  <c r="W4" i="11"/>
  <c r="W5" i="11"/>
  <c r="W6" i="11"/>
  <c r="W7" i="11"/>
  <c r="W8" i="11"/>
  <c r="W9" i="11"/>
  <c r="W10" i="11"/>
  <c r="W11" i="11"/>
  <c r="W12" i="11"/>
  <c r="I23" i="11" l="1"/>
  <c r="U23" i="11" l="1"/>
  <c r="U22" i="11"/>
  <c r="S23" i="11"/>
  <c r="S22" i="11"/>
  <c r="W22" i="11"/>
  <c r="W23" i="11"/>
  <c r="W18" i="11"/>
  <c r="W19" i="11"/>
  <c r="K421" i="2" l="1"/>
  <c r="M421" i="2"/>
  <c r="K416" i="2"/>
  <c r="M416" i="2"/>
  <c r="K388" i="2"/>
  <c r="M388" i="2"/>
  <c r="M372" i="2"/>
  <c r="M369" i="2"/>
  <c r="K366" i="2"/>
  <c r="M366" i="2"/>
  <c r="K357" i="2"/>
  <c r="M357" i="2"/>
  <c r="T338" i="2"/>
  <c r="K348" i="2"/>
  <c r="M348" i="2"/>
  <c r="K332" i="2"/>
  <c r="M332" i="2"/>
  <c r="K319" i="2"/>
  <c r="M319" i="2"/>
  <c r="T294" i="2"/>
  <c r="K306" i="2"/>
  <c r="M306" i="2"/>
  <c r="K255" i="2"/>
  <c r="T247" i="2"/>
  <c r="M250" i="2"/>
  <c r="M215" i="2"/>
  <c r="K215" i="2"/>
  <c r="K214" i="2"/>
  <c r="M214" i="2"/>
  <c r="K209" i="2"/>
  <c r="M209" i="2"/>
  <c r="K192" i="2"/>
  <c r="M192" i="2"/>
  <c r="K188" i="2"/>
  <c r="M188" i="2"/>
  <c r="K181" i="2"/>
  <c r="M181" i="2"/>
  <c r="K163" i="2"/>
  <c r="M163" i="2"/>
  <c r="K160" i="2"/>
  <c r="M160" i="2"/>
  <c r="T178" i="2"/>
  <c r="K151" i="2"/>
  <c r="M151" i="2"/>
  <c r="R146" i="2"/>
  <c r="K146" i="2"/>
  <c r="M146" i="2"/>
  <c r="D146" i="2"/>
  <c r="E146" i="2"/>
  <c r="F146" i="2"/>
  <c r="T134" i="2"/>
  <c r="N134" i="2"/>
  <c r="D134" i="2"/>
  <c r="K133" i="2"/>
  <c r="M133" i="2"/>
  <c r="K126" i="2"/>
  <c r="M126" i="2"/>
  <c r="K125" i="2"/>
  <c r="M125" i="2"/>
  <c r="K120" i="2"/>
  <c r="M120" i="2"/>
  <c r="T105" i="2" l="1"/>
  <c r="T104" i="2"/>
  <c r="T103" i="2"/>
  <c r="T106" i="2"/>
  <c r="K111" i="2"/>
  <c r="M111" i="2"/>
  <c r="K107" i="2"/>
  <c r="M107" i="2"/>
  <c r="T88" i="2"/>
  <c r="T87" i="2"/>
  <c r="K95" i="2"/>
  <c r="M95" i="2"/>
  <c r="K92" i="2"/>
  <c r="M92" i="2"/>
  <c r="M89" i="2"/>
  <c r="K86" i="2"/>
  <c r="M86" i="2"/>
  <c r="K77" i="2"/>
  <c r="M77" i="2"/>
  <c r="K73" i="2"/>
  <c r="M73" i="2"/>
  <c r="T413" i="2" l="1"/>
  <c r="T414" i="2"/>
  <c r="T415" i="2"/>
  <c r="T412" i="2"/>
  <c r="T411" i="2"/>
  <c r="T410" i="2"/>
  <c r="T409" i="2"/>
  <c r="T406" i="2"/>
  <c r="T407" i="2"/>
  <c r="T408" i="2"/>
  <c r="T405" i="2"/>
  <c r="T404" i="2"/>
  <c r="T403" i="2"/>
  <c r="T402" i="2"/>
  <c r="T401" i="2"/>
  <c r="T346" i="2"/>
  <c r="T318" i="2"/>
  <c r="T303" i="2"/>
  <c r="T304" i="2"/>
  <c r="T301" i="2"/>
  <c r="T302" i="2"/>
  <c r="T227" i="2"/>
  <c r="T226" i="2"/>
  <c r="T158" i="2"/>
  <c r="T159" i="2"/>
  <c r="T145" i="2"/>
  <c r="T142" i="2"/>
  <c r="T140" i="2"/>
  <c r="T132" i="2"/>
  <c r="T130" i="2"/>
  <c r="T129" i="2"/>
  <c r="T128" i="2"/>
  <c r="T69" i="2"/>
  <c r="T68" i="2"/>
  <c r="T67" i="2"/>
  <c r="T66" i="2"/>
  <c r="T65" i="2"/>
  <c r="T64" i="2"/>
  <c r="T63" i="2"/>
  <c r="T62" i="2"/>
  <c r="T59" i="2"/>
  <c r="T215" i="2" l="1"/>
  <c r="T163" i="2"/>
  <c r="T146" i="2"/>
  <c r="T133" i="2"/>
  <c r="N328" i="1" l="1"/>
  <c r="I329" i="1"/>
  <c r="M328" i="1"/>
  <c r="I328" i="1"/>
  <c r="L202" i="1"/>
  <c r="L328" i="1"/>
  <c r="R372" i="2"/>
  <c r="R366" i="2"/>
  <c r="R369" i="2"/>
  <c r="T72" i="2"/>
  <c r="N103" i="2" l="1"/>
  <c r="N104" i="2"/>
  <c r="N105" i="2"/>
  <c r="G5" i="11"/>
  <c r="F89" i="2"/>
  <c r="E89" i="2"/>
  <c r="D89" i="2"/>
  <c r="N88" i="2"/>
  <c r="N87" i="2"/>
  <c r="L88" i="2"/>
  <c r="K87" i="2"/>
  <c r="K89" i="2" s="1"/>
  <c r="D151" i="2"/>
  <c r="D138" i="2"/>
  <c r="E138" i="2"/>
  <c r="F133" i="2"/>
  <c r="E133" i="2"/>
  <c r="E126" i="2"/>
  <c r="D126" i="2"/>
  <c r="E125" i="2"/>
  <c r="E120" i="2"/>
  <c r="F111" i="2"/>
  <c r="E111" i="2"/>
  <c r="F92" i="2"/>
  <c r="E92" i="2"/>
  <c r="D92" i="2"/>
  <c r="F86" i="2"/>
  <c r="E86" i="2"/>
  <c r="F77" i="2"/>
  <c r="E77" i="2"/>
  <c r="N5" i="11" l="1"/>
  <c r="L87" i="2"/>
  <c r="Q88" i="2" s="1"/>
  <c r="O5" i="11" l="1"/>
  <c r="L89" i="2"/>
  <c r="G16" i="11"/>
  <c r="G30" i="11"/>
  <c r="G29" i="11"/>
  <c r="G25" i="11"/>
  <c r="G14" i="11"/>
  <c r="N14" i="11" s="1"/>
  <c r="O14" i="11" s="1"/>
  <c r="G13" i="11"/>
  <c r="D40" i="11"/>
  <c r="C40" i="11"/>
  <c r="F369" i="2"/>
  <c r="E369" i="2"/>
  <c r="N132" i="2"/>
  <c r="N130" i="2"/>
  <c r="N129" i="2"/>
  <c r="N128" i="2"/>
  <c r="N127" i="2"/>
  <c r="L400" i="2"/>
  <c r="L401" i="2"/>
  <c r="L402" i="2"/>
  <c r="L403" i="2"/>
  <c r="L404" i="2"/>
  <c r="L408" i="2"/>
  <c r="L409" i="2"/>
  <c r="N413" i="2"/>
  <c r="U413" i="2" s="1"/>
  <c r="N414" i="2"/>
  <c r="U414" i="2" s="1"/>
  <c r="N415" i="2"/>
  <c r="U415" i="2" s="1"/>
  <c r="N412" i="2"/>
  <c r="U412" i="2" s="1"/>
  <c r="N411" i="2"/>
  <c r="U411" i="2" s="1"/>
  <c r="N410" i="2"/>
  <c r="U410" i="2" s="1"/>
  <c r="N409" i="2"/>
  <c r="N406" i="2"/>
  <c r="U406" i="2" s="1"/>
  <c r="N407" i="2"/>
  <c r="U407" i="2" s="1"/>
  <c r="N408" i="2"/>
  <c r="N405" i="2"/>
  <c r="U405" i="2" s="1"/>
  <c r="N404" i="2"/>
  <c r="N403" i="2"/>
  <c r="N402" i="2"/>
  <c r="N401" i="2"/>
  <c r="N400" i="2"/>
  <c r="N346" i="2"/>
  <c r="P346" i="2" s="1"/>
  <c r="Q346" i="2" s="1"/>
  <c r="D348" i="2"/>
  <c r="D319" i="2"/>
  <c r="F319" i="2"/>
  <c r="E319" i="2"/>
  <c r="L318" i="2"/>
  <c r="N318" i="2"/>
  <c r="N305" i="2"/>
  <c r="P305" i="2" s="1"/>
  <c r="Q305" i="2" s="1"/>
  <c r="N303" i="2"/>
  <c r="N304" i="2"/>
  <c r="N301" i="2"/>
  <c r="N302" i="2"/>
  <c r="F306" i="2"/>
  <c r="E306" i="2"/>
  <c r="D306" i="2"/>
  <c r="F250" i="2"/>
  <c r="E250" i="2"/>
  <c r="D250" i="2"/>
  <c r="N249" i="2"/>
  <c r="L226" i="2"/>
  <c r="N227" i="2"/>
  <c r="Q227" i="2" s="1"/>
  <c r="N226" i="2"/>
  <c r="F215" i="2"/>
  <c r="D215" i="2"/>
  <c r="F214" i="2"/>
  <c r="E214" i="2"/>
  <c r="F209" i="2"/>
  <c r="E209" i="2"/>
  <c r="D209" i="2"/>
  <c r="E192" i="2"/>
  <c r="F188" i="2"/>
  <c r="E188" i="2"/>
  <c r="F181" i="2"/>
  <c r="E181" i="2"/>
  <c r="D163" i="2"/>
  <c r="F160" i="2"/>
  <c r="E160" i="2"/>
  <c r="D160" i="2"/>
  <c r="N159" i="2"/>
  <c r="P159" i="2" s="1"/>
  <c r="Q159" i="2" s="1"/>
  <c r="N158" i="2"/>
  <c r="N144" i="2"/>
  <c r="N143" i="2"/>
  <c r="N142" i="2"/>
  <c r="N141" i="2"/>
  <c r="N140" i="2"/>
  <c r="K138" i="2"/>
  <c r="K134" i="2"/>
  <c r="F134" i="2"/>
  <c r="E134" i="2"/>
  <c r="M138" i="2"/>
  <c r="F138" i="2"/>
  <c r="L131" i="2"/>
  <c r="N131" i="2"/>
  <c r="P131" i="2" s="1"/>
  <c r="Q131" i="2" s="1"/>
  <c r="N113" i="2"/>
  <c r="N25" i="11" l="1"/>
  <c r="E39" i="11"/>
  <c r="E38" i="11"/>
  <c r="P402" i="2"/>
  <c r="Q402" i="2" s="1"/>
  <c r="U402" i="2"/>
  <c r="Q408" i="2"/>
  <c r="U408" i="2"/>
  <c r="P403" i="2"/>
  <c r="Q403" i="2" s="1"/>
  <c r="U403" i="2"/>
  <c r="P400" i="2"/>
  <c r="Q400" i="2" s="1"/>
  <c r="P404" i="2"/>
  <c r="Q404" i="2" s="1"/>
  <c r="U404" i="2"/>
  <c r="P401" i="2"/>
  <c r="Q401" i="2" s="1"/>
  <c r="U401" i="2"/>
  <c r="P409" i="2"/>
  <c r="Q409" i="2" s="1"/>
  <c r="U409" i="2"/>
  <c r="P318" i="2"/>
  <c r="Q318" i="2" s="1"/>
  <c r="P303" i="2"/>
  <c r="Q303" i="2" s="1"/>
  <c r="P249" i="2"/>
  <c r="Q249" i="2" s="1"/>
  <c r="P301" i="2"/>
  <c r="Q301" i="2" s="1"/>
  <c r="Q158" i="2"/>
  <c r="N16" i="11"/>
  <c r="N30" i="11"/>
  <c r="I25" i="11"/>
  <c r="N13" i="11"/>
  <c r="N29" i="11"/>
  <c r="E11" i="11"/>
  <c r="L133" i="2"/>
  <c r="L151" i="2"/>
  <c r="L146" i="2"/>
  <c r="E6" i="11"/>
  <c r="E5" i="11"/>
  <c r="AB5" i="11" s="1"/>
  <c r="E36" i="11"/>
  <c r="E20" i="11"/>
  <c r="E3" i="11"/>
  <c r="E29" i="11"/>
  <c r="E13" i="11"/>
  <c r="E28" i="11"/>
  <c r="E12" i="11"/>
  <c r="E21" i="11"/>
  <c r="E4" i="11"/>
  <c r="L138" i="2"/>
  <c r="E33" i="11"/>
  <c r="E25" i="11"/>
  <c r="E17" i="11"/>
  <c r="E9" i="11"/>
  <c r="E32" i="11"/>
  <c r="E24" i="11"/>
  <c r="E16" i="11"/>
  <c r="E8" i="11"/>
  <c r="E35" i="11"/>
  <c r="E31" i="11"/>
  <c r="E27" i="11"/>
  <c r="E23" i="11"/>
  <c r="E19" i="11"/>
  <c r="E15" i="11"/>
  <c r="E7" i="11"/>
  <c r="E37" i="11"/>
  <c r="M37" i="11" s="1"/>
  <c r="E34" i="11"/>
  <c r="E30" i="11"/>
  <c r="E26" i="11"/>
  <c r="E22" i="11"/>
  <c r="E18" i="11"/>
  <c r="E14" i="11"/>
  <c r="E10" i="11"/>
  <c r="L134" i="2"/>
  <c r="AB35" i="11" l="1"/>
  <c r="AB10" i="11"/>
  <c r="AB11" i="11"/>
  <c r="AB18" i="11"/>
  <c r="AB2" i="11"/>
  <c r="AB22" i="11"/>
  <c r="AB23" i="11"/>
  <c r="AB8" i="11"/>
  <c r="AB9" i="11"/>
  <c r="AB26" i="11"/>
  <c r="AB7" i="11"/>
  <c r="AB6" i="11"/>
  <c r="AB16" i="11"/>
  <c r="AB4" i="11"/>
  <c r="AB3" i="11"/>
  <c r="AB27" i="11"/>
  <c r="AB19" i="11"/>
  <c r="AB20" i="11"/>
  <c r="AB34" i="11"/>
  <c r="AB33" i="11"/>
  <c r="AB32" i="11"/>
  <c r="AB28" i="11"/>
  <c r="AB29" i="11"/>
  <c r="AB14" i="11"/>
  <c r="AB13" i="11"/>
  <c r="AB15" i="11"/>
  <c r="AB31" i="11"/>
  <c r="AB30" i="11"/>
  <c r="AB24" i="11"/>
  <c r="AB25" i="11"/>
  <c r="AB21" i="11"/>
  <c r="AB12" i="11"/>
  <c r="AB36" i="11"/>
  <c r="M5" i="11"/>
  <c r="M38" i="11"/>
  <c r="P38" i="11"/>
  <c r="M39" i="11"/>
  <c r="P39" i="11"/>
  <c r="M27" i="11"/>
  <c r="M25" i="11"/>
  <c r="M36" i="11"/>
  <c r="P34" i="11"/>
  <c r="P26" i="11"/>
  <c r="M26" i="11"/>
  <c r="M12" i="11"/>
  <c r="M16" i="11"/>
  <c r="M20" i="11"/>
  <c r="P13" i="11"/>
  <c r="O13" i="11"/>
  <c r="U24" i="11"/>
  <c r="S24" i="11"/>
  <c r="M22" i="11"/>
  <c r="M8" i="11"/>
  <c r="M3" i="11"/>
  <c r="X2" i="11"/>
  <c r="O25" i="11"/>
  <c r="M10" i="11"/>
  <c r="M4" i="11"/>
  <c r="M30" i="11"/>
  <c r="M15" i="11"/>
  <c r="M31" i="11"/>
  <c r="M24" i="11"/>
  <c r="M21" i="11"/>
  <c r="M13" i="11"/>
  <c r="M11" i="11"/>
  <c r="O29" i="11"/>
  <c r="O16" i="11"/>
  <c r="M23" i="11"/>
  <c r="M9" i="11"/>
  <c r="M6" i="11"/>
  <c r="M7" i="11"/>
  <c r="M17" i="11"/>
  <c r="P28" i="11"/>
  <c r="M28" i="11"/>
  <c r="P14" i="11"/>
  <c r="M14" i="11"/>
  <c r="P18" i="11"/>
  <c r="M18" i="11"/>
  <c r="M34" i="11"/>
  <c r="M19" i="11"/>
  <c r="M35" i="11"/>
  <c r="P32" i="11"/>
  <c r="M32" i="11"/>
  <c r="M33" i="11"/>
  <c r="M2" i="11"/>
  <c r="M29" i="11"/>
  <c r="O30" i="11"/>
  <c r="P22" i="11"/>
  <c r="P37" i="11"/>
  <c r="P23" i="11"/>
  <c r="P8" i="11"/>
  <c r="P9" i="11"/>
  <c r="P12" i="11"/>
  <c r="P3" i="11"/>
  <c r="T2" i="11" s="1"/>
  <c r="P6" i="11"/>
  <c r="P29" i="11"/>
  <c r="P16" i="11"/>
  <c r="P19" i="11"/>
  <c r="P27" i="11"/>
  <c r="P17" i="11"/>
  <c r="P20" i="11"/>
  <c r="P30" i="11"/>
  <c r="P35" i="11"/>
  <c r="P33" i="11"/>
  <c r="P5" i="11"/>
  <c r="P10" i="11"/>
  <c r="P7" i="11"/>
  <c r="P4" i="11"/>
  <c r="P15" i="11"/>
  <c r="P31" i="11"/>
  <c r="X24" i="11"/>
  <c r="P24" i="11"/>
  <c r="P21" i="11"/>
  <c r="P36" i="11"/>
  <c r="X36" i="11"/>
  <c r="P11" i="11"/>
  <c r="W24" i="11"/>
  <c r="P25" i="11"/>
  <c r="X30" i="11"/>
  <c r="X15" i="11"/>
  <c r="X12" i="11"/>
  <c r="X11" i="11"/>
  <c r="X18" i="11"/>
  <c r="X29" i="11"/>
  <c r="X28" i="11"/>
  <c r="X5" i="11"/>
  <c r="X10" i="11"/>
  <c r="X9" i="11"/>
  <c r="X6" i="11"/>
  <c r="X7" i="11"/>
  <c r="X16" i="11"/>
  <c r="X4" i="11"/>
  <c r="X3" i="11"/>
  <c r="X20" i="11"/>
  <c r="X19" i="11"/>
  <c r="X21" i="11"/>
  <c r="X33" i="11"/>
  <c r="X34" i="11"/>
  <c r="X35" i="11"/>
  <c r="X22" i="11"/>
  <c r="X23" i="11"/>
  <c r="X8" i="11"/>
  <c r="T16" i="11" l="1"/>
  <c r="T24" i="11"/>
  <c r="T35" i="11"/>
  <c r="T18" i="11"/>
  <c r="T15" i="11"/>
  <c r="T7" i="11"/>
  <c r="T6" i="11"/>
  <c r="T9" i="11"/>
  <c r="T10" i="11"/>
  <c r="T33" i="11"/>
  <c r="T34" i="11"/>
  <c r="T11" i="11"/>
  <c r="T36" i="11"/>
  <c r="T30" i="11"/>
  <c r="T20" i="11"/>
  <c r="T19" i="11"/>
  <c r="T8" i="11"/>
  <c r="T23" i="11"/>
  <c r="T22" i="11"/>
  <c r="T21" i="11"/>
  <c r="T3" i="11"/>
  <c r="T4" i="11"/>
  <c r="T5" i="11"/>
  <c r="T29" i="11"/>
  <c r="T28" i="11"/>
  <c r="T12" i="11"/>
  <c r="F73" i="2"/>
  <c r="E73" i="2"/>
  <c r="N72" i="2"/>
  <c r="L72" i="2"/>
  <c r="N62" i="2"/>
  <c r="N63" i="2"/>
  <c r="N64" i="2"/>
  <c r="N65" i="2"/>
  <c r="P65" i="2" s="1"/>
  <c r="Q65" i="2" s="1"/>
  <c r="N66" i="2"/>
  <c r="N67" i="2"/>
  <c r="N68" i="2"/>
  <c r="N69" i="2"/>
  <c r="N70" i="2"/>
  <c r="L69" i="2"/>
  <c r="L68" i="2"/>
  <c r="L67" i="2"/>
  <c r="L66" i="2"/>
  <c r="L64" i="2"/>
  <c r="L63" i="2"/>
  <c r="L62" i="2"/>
  <c r="P64" i="2" l="1"/>
  <c r="Q64" i="2" s="1"/>
  <c r="P72" i="2"/>
  <c r="Q72" i="2" s="1"/>
  <c r="P66" i="2"/>
  <c r="Q66" i="2" s="1"/>
  <c r="P62" i="2"/>
  <c r="Q62" i="2" s="1"/>
  <c r="E348" i="2" l="1"/>
  <c r="E357" i="2"/>
  <c r="E366" i="2"/>
  <c r="E372" i="2"/>
  <c r="E388" i="2"/>
  <c r="E416" i="2"/>
  <c r="E421" i="2"/>
  <c r="C6" i="2"/>
  <c r="C330" i="1"/>
  <c r="C329" i="1"/>
  <c r="C328" i="1"/>
  <c r="D44" i="2"/>
  <c r="D47" i="2"/>
  <c r="D52" i="2"/>
  <c r="D36" i="2"/>
  <c r="D57" i="2" l="1"/>
  <c r="C36" i="2"/>
  <c r="D12" i="2"/>
  <c r="D421" i="2"/>
  <c r="D416" i="2"/>
  <c r="D388" i="2"/>
  <c r="D372" i="2"/>
  <c r="D369" i="2"/>
  <c r="D366" i="2"/>
  <c r="D357" i="2"/>
  <c r="D332" i="2"/>
  <c r="D217" i="2"/>
  <c r="D154" i="2"/>
  <c r="C54" i="2"/>
  <c r="D9" i="2"/>
  <c r="D11" i="2"/>
  <c r="E6" i="2"/>
  <c r="C388" i="2"/>
  <c r="C306" i="2"/>
  <c r="C250" i="2"/>
  <c r="C214" i="2"/>
  <c r="C209" i="2"/>
  <c r="C181" i="2"/>
  <c r="G181" i="2"/>
  <c r="H181" i="2"/>
  <c r="I181" i="2"/>
  <c r="R181" i="2"/>
  <c r="S181" i="2"/>
  <c r="C188" i="2"/>
  <c r="C160" i="2"/>
  <c r="D40" i="2"/>
  <c r="D54" i="2"/>
  <c r="D23" i="2"/>
  <c r="D6" i="2"/>
  <c r="C357" i="2"/>
  <c r="C348" i="2"/>
  <c r="C319" i="2"/>
  <c r="C332" i="2"/>
  <c r="F340" i="2" l="1"/>
  <c r="F421" i="2" l="1"/>
  <c r="F416" i="2"/>
  <c r="F388" i="2"/>
  <c r="F366" i="2"/>
  <c r="F357" i="2"/>
  <c r="F348" i="2"/>
  <c r="F332" i="2"/>
  <c r="F40" i="2"/>
  <c r="E40" i="2"/>
  <c r="F54" i="2"/>
  <c r="E54" i="2"/>
  <c r="F36" i="2"/>
  <c r="E36" i="2"/>
  <c r="F23" i="2"/>
  <c r="E23" i="2"/>
  <c r="F6" i="2"/>
  <c r="H388" i="2" l="1"/>
  <c r="G388" i="2"/>
  <c r="H54" i="2"/>
  <c r="G54" i="2"/>
  <c r="H36" i="2"/>
  <c r="G36" i="2"/>
  <c r="H23" i="2"/>
  <c r="G23" i="2"/>
  <c r="C23" i="2"/>
  <c r="I23" i="2"/>
  <c r="K23" i="2"/>
  <c r="M23" i="2"/>
  <c r="R23" i="2"/>
  <c r="S23" i="2"/>
  <c r="I416" i="2"/>
  <c r="I388" i="2"/>
  <c r="I348" i="2"/>
  <c r="I357" i="2" s="1"/>
  <c r="I366" i="2" s="1"/>
  <c r="I332" i="2"/>
  <c r="I319" i="2"/>
  <c r="I306" i="2"/>
  <c r="I250" i="2"/>
  <c r="I209" i="2"/>
  <c r="I214" i="2" s="1"/>
  <c r="I228" i="2" s="1"/>
  <c r="I188" i="2"/>
  <c r="I192" i="2" s="1"/>
  <c r="I160" i="2"/>
  <c r="I163" i="2" s="1"/>
  <c r="I86" i="2"/>
  <c r="I54" i="2"/>
  <c r="I40" i="2" s="1"/>
  <c r="I36" i="2"/>
  <c r="I6" i="2"/>
  <c r="S425" i="2"/>
  <c r="S421" i="2"/>
  <c r="I421" i="2" l="1"/>
  <c r="I425" i="2" s="1"/>
  <c r="R421" i="2"/>
  <c r="C425" i="2"/>
  <c r="S416" i="2"/>
  <c r="R416" i="2"/>
  <c r="S388" i="2"/>
  <c r="R388" i="2"/>
  <c r="C416" i="2" l="1"/>
  <c r="S357" i="2"/>
  <c r="R357" i="2"/>
  <c r="S348" i="2"/>
  <c r="R348" i="2"/>
  <c r="S332" i="2"/>
  <c r="R332" i="2"/>
  <c r="S319" i="2"/>
  <c r="R319" i="2"/>
  <c r="S306" i="2"/>
  <c r="R306" i="2"/>
  <c r="S250" i="2"/>
  <c r="R250" i="2"/>
  <c r="S228" i="2"/>
  <c r="S214" i="2"/>
  <c r="R214" i="2"/>
  <c r="S209" i="2"/>
  <c r="R209" i="2"/>
  <c r="S188" i="2"/>
  <c r="R188" i="2"/>
  <c r="S192" i="2"/>
  <c r="R192" i="2"/>
  <c r="S160" i="2"/>
  <c r="R160" i="2"/>
  <c r="S86" i="2"/>
  <c r="R86" i="2"/>
  <c r="L40" i="2"/>
  <c r="M40" i="2"/>
  <c r="K40" i="2"/>
  <c r="C40" i="2"/>
  <c r="S54" i="2"/>
  <c r="R54" i="2"/>
  <c r="S36" i="2"/>
  <c r="R36" i="2"/>
  <c r="M54" i="2"/>
  <c r="K54" i="2"/>
  <c r="M36" i="2"/>
  <c r="K36" i="2"/>
  <c r="C192" i="2"/>
  <c r="N13" i="2" l="1"/>
  <c r="L13" i="2"/>
  <c r="C163" i="2" l="1"/>
  <c r="H209" i="2"/>
  <c r="G209" i="2"/>
  <c r="N237" i="2" l="1"/>
  <c r="L237" i="2"/>
  <c r="N256" i="2" l="1"/>
  <c r="L256" i="2"/>
  <c r="S369" i="2" l="1"/>
  <c r="S366" i="2"/>
  <c r="C369" i="2" l="1"/>
  <c r="C421" i="2"/>
  <c r="C366" i="2"/>
  <c r="H306" i="2"/>
  <c r="G306" i="2"/>
  <c r="H250" i="2"/>
  <c r="G250" i="2"/>
  <c r="H160" i="2"/>
  <c r="G160" i="2"/>
  <c r="H228" i="2"/>
  <c r="G228" i="2"/>
  <c r="C228" i="2"/>
  <c r="H192" i="2"/>
  <c r="G192" i="2"/>
  <c r="H188" i="2"/>
  <c r="G188" i="2"/>
  <c r="H214" i="2"/>
  <c r="G214" i="2"/>
  <c r="H86" i="2"/>
  <c r="G86" i="2"/>
  <c r="C86" i="2"/>
  <c r="N116" i="2"/>
  <c r="N389" i="2"/>
  <c r="N358" i="2"/>
  <c r="N422" i="2"/>
  <c r="N25" i="2"/>
  <c r="N307" i="2"/>
  <c r="N26" i="2"/>
  <c r="N390" i="2"/>
  <c r="N394" i="2"/>
  <c r="N139" i="2"/>
  <c r="P139" i="2" s="1"/>
  <c r="N78" i="2"/>
  <c r="N106" i="2"/>
  <c r="N97" i="2"/>
  <c r="N178" i="2"/>
  <c r="N27" i="2"/>
  <c r="N79" i="2"/>
  <c r="N108" i="2"/>
  <c r="N323" i="2"/>
  <c r="N236" i="2"/>
  <c r="N37" i="2"/>
  <c r="N98" i="2"/>
  <c r="N260" i="2"/>
  <c r="N309" i="2"/>
  <c r="N38" i="2"/>
  <c r="N81" i="2"/>
  <c r="N367" i="2"/>
  <c r="N109" i="2"/>
  <c r="N82" i="2"/>
  <c r="N174" i="2"/>
  <c r="N28" i="2"/>
  <c r="N423" i="2"/>
  <c r="N148" i="2"/>
  <c r="P148" i="2" s="1"/>
  <c r="N241" i="2"/>
  <c r="N41" i="2"/>
  <c r="N172" i="2"/>
  <c r="N261" i="2"/>
  <c r="N393" i="2"/>
  <c r="N29" i="2"/>
  <c r="N310" i="2"/>
  <c r="N2" i="2"/>
  <c r="N39" i="2"/>
  <c r="N112" i="2"/>
  <c r="N268" i="2"/>
  <c r="N284" i="2"/>
  <c r="N396" i="2"/>
  <c r="N242" i="2"/>
  <c r="N110" i="2"/>
  <c r="N324" i="2"/>
  <c r="N311" i="2"/>
  <c r="N121" i="2"/>
  <c r="N240" i="2"/>
  <c r="N147" i="2"/>
  <c r="P147" i="2" s="1"/>
  <c r="N49" i="2"/>
  <c r="N50" i="2"/>
  <c r="N117" i="2"/>
  <c r="N339" i="2"/>
  <c r="P339" i="2" s="1"/>
  <c r="Q339" i="2" s="1"/>
  <c r="N166" i="2"/>
  <c r="N30" i="2"/>
  <c r="N152" i="2"/>
  <c r="N167" i="2"/>
  <c r="N321" i="2"/>
  <c r="N75" i="2"/>
  <c r="N122" i="2"/>
  <c r="N370" i="2"/>
  <c r="N294" i="2"/>
  <c r="N155" i="2"/>
  <c r="N3" i="2"/>
  <c r="N114" i="2"/>
  <c r="N42" i="2"/>
  <c r="N213" i="2"/>
  <c r="N205" i="2"/>
  <c r="N171" i="2"/>
  <c r="N343" i="2"/>
  <c r="N156" i="2"/>
  <c r="N24" i="2"/>
  <c r="N31" i="2"/>
  <c r="N194" i="2"/>
  <c r="N195" i="2"/>
  <c r="N161" i="2"/>
  <c r="N269" i="2"/>
  <c r="N276" i="2"/>
  <c r="N371" i="2"/>
  <c r="N157" i="2"/>
  <c r="N225" i="2"/>
  <c r="N298" i="2"/>
  <c r="N333" i="2"/>
  <c r="N196" i="2"/>
  <c r="N118" i="2"/>
  <c r="N362" i="2"/>
  <c r="N16" i="2"/>
  <c r="N53" i="2"/>
  <c r="N285" i="2"/>
  <c r="N354" i="2"/>
  <c r="N368" i="2"/>
  <c r="N32" i="2"/>
  <c r="N175" i="2"/>
  <c r="N164" i="2"/>
  <c r="N204" i="2"/>
  <c r="N101" i="2"/>
  <c r="N262" i="2"/>
  <c r="N312" i="2"/>
  <c r="N278" i="2"/>
  <c r="N279" i="2"/>
  <c r="N238" i="2"/>
  <c r="N308" i="2"/>
  <c r="N102" i="2"/>
  <c r="N149" i="2"/>
  <c r="N165" i="2"/>
  <c r="N96" i="2"/>
  <c r="N280" i="2"/>
  <c r="N197" i="2"/>
  <c r="N363" i="2"/>
  <c r="P363" i="2" s="1"/>
  <c r="Q363" i="2" s="1"/>
  <c r="N373" i="2"/>
  <c r="N326" i="2"/>
  <c r="N275" i="2"/>
  <c r="N274" i="2"/>
  <c r="N277" i="2"/>
  <c r="N252" i="2"/>
  <c r="N223" i="2"/>
  <c r="N349" i="2"/>
  <c r="N328" i="2"/>
  <c r="N198" i="2"/>
  <c r="N33" i="2"/>
  <c r="N189" i="2"/>
  <c r="N162" i="2"/>
  <c r="N135" i="2"/>
  <c r="N359" i="2"/>
  <c r="N150" i="2"/>
  <c r="N229" i="2"/>
  <c r="N17" i="2"/>
  <c r="N45" i="2"/>
  <c r="N10" i="2"/>
  <c r="N15" i="2"/>
  <c r="N397" i="2"/>
  <c r="N153" i="2"/>
  <c r="N136" i="2"/>
  <c r="N183" i="2"/>
  <c r="N350" i="2"/>
  <c r="N203" i="2"/>
  <c r="N206" i="2"/>
  <c r="N327" i="2"/>
  <c r="N199" i="2"/>
  <c r="N340" i="2"/>
  <c r="N381" i="2"/>
  <c r="N169" i="2"/>
  <c r="N271" i="2"/>
  <c r="N337" i="2"/>
  <c r="N267" i="2"/>
  <c r="N258" i="2"/>
  <c r="N99" i="2"/>
  <c r="N100" i="2"/>
  <c r="N93" i="2"/>
  <c r="N94" i="2"/>
  <c r="N283" i="2"/>
  <c r="N123" i="2"/>
  <c r="N18" i="2"/>
  <c r="N392" i="2"/>
  <c r="N211" i="2"/>
  <c r="N355" i="2"/>
  <c r="N382" i="2"/>
  <c r="N14" i="2"/>
  <c r="N374" i="2"/>
  <c r="N391" i="2"/>
  <c r="N398" i="2"/>
  <c r="N383" i="2"/>
  <c r="N200" i="2"/>
  <c r="N185" i="2"/>
  <c r="N417" i="2"/>
  <c r="N418" i="2"/>
  <c r="N34" i="2"/>
  <c r="N352" i="2"/>
  <c r="P352" i="2" s="1"/>
  <c r="Q352" i="2" s="1"/>
  <c r="N137" i="2"/>
  <c r="N253" i="2"/>
  <c r="N377" i="2"/>
  <c r="N254" i="2"/>
  <c r="Q254" i="2" s="1"/>
  <c r="N273" i="2"/>
  <c r="N168" i="2"/>
  <c r="N216" i="2"/>
  <c r="N290" i="2"/>
  <c r="N191" i="2"/>
  <c r="N384" i="2"/>
  <c r="N424" i="2"/>
  <c r="N419" i="2"/>
  <c r="N48" i="2"/>
  <c r="N218" i="2"/>
  <c r="N331" i="2"/>
  <c r="N201" i="2"/>
  <c r="N385" i="2"/>
  <c r="N19" i="2"/>
  <c r="N335" i="2"/>
  <c r="N212" i="2"/>
  <c r="N336" i="2"/>
  <c r="N378" i="2"/>
  <c r="N187" i="2"/>
  <c r="N379" i="2"/>
  <c r="N60" i="2"/>
  <c r="N124" i="2"/>
  <c r="N4" i="2"/>
  <c r="N386" i="2"/>
  <c r="N244" i="2"/>
  <c r="N342" i="2"/>
  <c r="N43" i="2"/>
  <c r="N315" i="2"/>
  <c r="P315" i="2" s="1"/>
  <c r="Q315" i="2" s="1"/>
  <c r="N361" i="2"/>
  <c r="N395" i="2"/>
  <c r="N270" i="2"/>
  <c r="N234" i="2"/>
  <c r="N232" i="2"/>
  <c r="N341" i="2"/>
  <c r="N182" i="2"/>
  <c r="N314" i="2"/>
  <c r="P314" i="2" s="1"/>
  <c r="Q314" i="2" s="1"/>
  <c r="N177" i="2"/>
  <c r="N190" i="2"/>
  <c r="N184" i="2"/>
  <c r="N272" i="2"/>
  <c r="N353" i="2"/>
  <c r="N7" i="2"/>
  <c r="N387" i="2"/>
  <c r="N316" i="2"/>
  <c r="N80" i="2"/>
  <c r="N289" i="2"/>
  <c r="N221" i="2"/>
  <c r="N55" i="2"/>
  <c r="N176" i="2"/>
  <c r="N224" i="2"/>
  <c r="N222" i="2"/>
  <c r="N46" i="2"/>
  <c r="N322" i="2"/>
  <c r="N329" i="2"/>
  <c r="N84" i="2"/>
  <c r="N170" i="2"/>
  <c r="N202" i="2"/>
  <c r="N300" i="2"/>
  <c r="N248" i="2"/>
  <c r="N375" i="2"/>
  <c r="N230" i="2"/>
  <c r="N325" i="2"/>
  <c r="N292" i="2"/>
  <c r="N51" i="2"/>
  <c r="N20" i="2"/>
  <c r="N76" i="2"/>
  <c r="N376" i="2"/>
  <c r="N239" i="2"/>
  <c r="N288" i="2"/>
  <c r="N35" i="2"/>
  <c r="N186" i="2"/>
  <c r="N313" i="2"/>
  <c r="P313" i="2" s="1"/>
  <c r="Q313" i="2" s="1"/>
  <c r="N231" i="2"/>
  <c r="N56" i="2"/>
  <c r="N296" i="2"/>
  <c r="N320" i="2"/>
  <c r="P320" i="2" s="1"/>
  <c r="Q320" i="2" s="1"/>
  <c r="N220" i="2"/>
  <c r="N243" i="2"/>
  <c r="N193" i="2"/>
  <c r="N173" i="2"/>
  <c r="N299" i="2"/>
  <c r="N246" i="2"/>
  <c r="N208" i="2"/>
  <c r="Q208" i="2" s="1"/>
  <c r="N235" i="2"/>
  <c r="N360" i="2"/>
  <c r="N219" i="2"/>
  <c r="N281" i="2"/>
  <c r="N90" i="2"/>
  <c r="N282" i="2"/>
  <c r="N207" i="2"/>
  <c r="N338" i="2"/>
  <c r="N334" i="2"/>
  <c r="P334" i="2" s="1"/>
  <c r="N247" i="2"/>
  <c r="N293" i="2"/>
  <c r="N233" i="2"/>
  <c r="N380" i="2"/>
  <c r="N297" i="2"/>
  <c r="N420" i="2"/>
  <c r="N291" i="2"/>
  <c r="N61" i="2"/>
  <c r="N59" i="2"/>
  <c r="N119" i="2"/>
  <c r="Q119" i="2" s="1"/>
  <c r="N180" i="2"/>
  <c r="Q180" i="2" s="1"/>
  <c r="N263" i="2"/>
  <c r="N317" i="2"/>
  <c r="N295" i="2"/>
  <c r="N266" i="2"/>
  <c r="N265" i="2"/>
  <c r="N5" i="2"/>
  <c r="N71" i="2"/>
  <c r="N21" i="2"/>
  <c r="N399" i="2"/>
  <c r="N264" i="2"/>
  <c r="N286" i="2"/>
  <c r="N287" i="2"/>
  <c r="N351" i="2"/>
  <c r="N251" i="2"/>
  <c r="N179" i="2"/>
  <c r="N91" i="2"/>
  <c r="N22" i="2"/>
  <c r="N85" i="2"/>
  <c r="P85" i="2" s="1"/>
  <c r="Q85" i="2" s="1"/>
  <c r="N58" i="2"/>
  <c r="N245" i="2"/>
  <c r="N115" i="2"/>
  <c r="N83" i="2"/>
  <c r="N74" i="2"/>
  <c r="N8" i="2"/>
  <c r="N210" i="2"/>
  <c r="L422" i="2"/>
  <c r="L78" i="2"/>
  <c r="L178" i="2"/>
  <c r="L423" i="2"/>
  <c r="L41" i="2"/>
  <c r="L339" i="2"/>
  <c r="L166" i="2"/>
  <c r="L167" i="2"/>
  <c r="L75" i="2"/>
  <c r="L294" i="2"/>
  <c r="L114" i="2"/>
  <c r="L205" i="2"/>
  <c r="L171" i="2"/>
  <c r="L343" i="2"/>
  <c r="L24" i="2"/>
  <c r="L36" i="2" s="1"/>
  <c r="L298" i="2"/>
  <c r="L362" i="2"/>
  <c r="L354" i="2"/>
  <c r="L164" i="2"/>
  <c r="L163" i="2" s="1"/>
  <c r="L204" i="2"/>
  <c r="L165" i="2"/>
  <c r="L363" i="2"/>
  <c r="L373" i="2"/>
  <c r="L252" i="2"/>
  <c r="L223" i="2"/>
  <c r="L328" i="2"/>
  <c r="L189" i="2"/>
  <c r="L15" i="2"/>
  <c r="L203" i="2"/>
  <c r="L206" i="2"/>
  <c r="L327" i="2"/>
  <c r="L340" i="2"/>
  <c r="L169" i="2"/>
  <c r="L337" i="2"/>
  <c r="L211" i="2"/>
  <c r="L14" i="2"/>
  <c r="L23" i="2" s="1"/>
  <c r="L374" i="2"/>
  <c r="L185" i="2"/>
  <c r="L417" i="2"/>
  <c r="L418" i="2"/>
  <c r="L352" i="2"/>
  <c r="L377" i="2"/>
  <c r="L168" i="2"/>
  <c r="L216" i="2"/>
  <c r="L290" i="2"/>
  <c r="L424" i="2"/>
  <c r="L419" i="2"/>
  <c r="L48" i="2"/>
  <c r="L218" i="2"/>
  <c r="L331" i="2"/>
  <c r="L335" i="2"/>
  <c r="L212" i="2"/>
  <c r="L336" i="2"/>
  <c r="L378" i="2"/>
  <c r="L379" i="2"/>
  <c r="L342" i="2"/>
  <c r="L315" i="2"/>
  <c r="L361" i="2"/>
  <c r="L395" i="2"/>
  <c r="L234" i="2"/>
  <c r="L341" i="2"/>
  <c r="L182" i="2"/>
  <c r="L314" i="2"/>
  <c r="L190" i="2"/>
  <c r="L353" i="2"/>
  <c r="L289" i="2"/>
  <c r="L221" i="2"/>
  <c r="L224" i="2"/>
  <c r="L222" i="2"/>
  <c r="L329" i="2"/>
  <c r="L84" i="2"/>
  <c r="L170" i="2"/>
  <c r="L160" i="2" s="1"/>
  <c r="L375" i="2"/>
  <c r="L292" i="2"/>
  <c r="L76" i="2"/>
  <c r="L376" i="2"/>
  <c r="L239" i="2"/>
  <c r="L186" i="2"/>
  <c r="L313" i="2"/>
  <c r="L296" i="2"/>
  <c r="L320" i="2"/>
  <c r="L220" i="2"/>
  <c r="L243" i="2"/>
  <c r="L193" i="2"/>
  <c r="L299" i="2"/>
  <c r="L246" i="2"/>
  <c r="L235" i="2"/>
  <c r="L360" i="2"/>
  <c r="L90" i="2"/>
  <c r="L282" i="2"/>
  <c r="L207" i="2"/>
  <c r="L338" i="2"/>
  <c r="L334" i="2"/>
  <c r="L293" i="2"/>
  <c r="L380" i="2"/>
  <c r="L297" i="2"/>
  <c r="L291" i="2"/>
  <c r="L59" i="2"/>
  <c r="L295" i="2"/>
  <c r="L399" i="2"/>
  <c r="L264" i="2"/>
  <c r="L286" i="2"/>
  <c r="L287" i="2"/>
  <c r="L351" i="2"/>
  <c r="L251" i="2"/>
  <c r="L179" i="2"/>
  <c r="L91" i="2"/>
  <c r="L58" i="2"/>
  <c r="L245" i="2"/>
  <c r="L115" i="2"/>
  <c r="L83" i="2"/>
  <c r="L74" i="2"/>
  <c r="L210" i="2"/>
  <c r="T368" i="2"/>
  <c r="T369" i="2" s="1"/>
  <c r="T354" i="2"/>
  <c r="T355" i="2"/>
  <c r="T353" i="2"/>
  <c r="T352" i="2"/>
  <c r="T350" i="2"/>
  <c r="T118" i="2"/>
  <c r="T10" i="2"/>
  <c r="T149" i="2"/>
  <c r="T151" i="2" s="1"/>
  <c r="T124" i="2"/>
  <c r="T58" i="2"/>
  <c r="T76" i="2"/>
  <c r="T74" i="2"/>
  <c r="T85" i="2"/>
  <c r="T84" i="2"/>
  <c r="T83" i="2"/>
  <c r="T119" i="2"/>
  <c r="T115" i="2"/>
  <c r="T90" i="2"/>
  <c r="T91" i="2"/>
  <c r="T22" i="2"/>
  <c r="T20" i="2"/>
  <c r="T21" i="2"/>
  <c r="T15" i="2"/>
  <c r="T13" i="2"/>
  <c r="T17" i="2"/>
  <c r="T48" i="2"/>
  <c r="T51" i="2"/>
  <c r="T292" i="2"/>
  <c r="T298" i="2"/>
  <c r="T300" i="2"/>
  <c r="T299" i="2"/>
  <c r="T297" i="2"/>
  <c r="T295" i="2"/>
  <c r="T293" i="2"/>
  <c r="T290" i="2"/>
  <c r="T291" i="2"/>
  <c r="T289" i="2"/>
  <c r="T288" i="2"/>
  <c r="T287" i="2"/>
  <c r="T286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5" i="2"/>
  <c r="T264" i="2"/>
  <c r="T216" i="2"/>
  <c r="T360" i="2"/>
  <c r="T359" i="2"/>
  <c r="T358" i="2"/>
  <c r="T75" i="2"/>
  <c r="T315" i="2"/>
  <c r="T313" i="2"/>
  <c r="T309" i="2"/>
  <c r="T312" i="2"/>
  <c r="T316" i="2"/>
  <c r="T317" i="2"/>
  <c r="T311" i="2"/>
  <c r="T310" i="2"/>
  <c r="T331" i="2"/>
  <c r="T329" i="2"/>
  <c r="T328" i="2"/>
  <c r="T327" i="2"/>
  <c r="T326" i="2"/>
  <c r="T325" i="2"/>
  <c r="T324" i="2"/>
  <c r="T323" i="2"/>
  <c r="T321" i="2"/>
  <c r="T320" i="2"/>
  <c r="T371" i="2"/>
  <c r="T370" i="2"/>
  <c r="T418" i="2"/>
  <c r="T417" i="2"/>
  <c r="T187" i="2"/>
  <c r="T185" i="2"/>
  <c r="T186" i="2"/>
  <c r="T191" i="2"/>
  <c r="T189" i="2"/>
  <c r="T170" i="2"/>
  <c r="T202" i="2"/>
  <c r="T180" i="2"/>
  <c r="T179" i="2"/>
  <c r="T176" i="2"/>
  <c r="T175" i="2"/>
  <c r="T174" i="2"/>
  <c r="T208" i="2"/>
  <c r="T207" i="2"/>
  <c r="T204" i="2"/>
  <c r="T210" i="2"/>
  <c r="T214" i="2" s="1"/>
  <c r="T193" i="2"/>
  <c r="T135" i="2"/>
  <c r="T138" i="2" s="1"/>
  <c r="T35" i="2"/>
  <c r="T24" i="2"/>
  <c r="T139" i="2"/>
  <c r="T55" i="2"/>
  <c r="T56" i="2"/>
  <c r="T41" i="2"/>
  <c r="T7" i="2"/>
  <c r="T8" i="2"/>
  <c r="T387" i="2"/>
  <c r="T375" i="2"/>
  <c r="T386" i="2"/>
  <c r="T379" i="2"/>
  <c r="T424" i="2"/>
  <c r="T381" i="2"/>
  <c r="T374" i="2"/>
  <c r="T382" i="2"/>
  <c r="T385" i="2"/>
  <c r="T384" i="2"/>
  <c r="T377" i="2"/>
  <c r="T383" i="2"/>
  <c r="T378" i="2"/>
  <c r="T380" i="2"/>
  <c r="T373" i="2"/>
  <c r="T399" i="2"/>
  <c r="U399" i="2" s="1"/>
  <c r="T398" i="2"/>
  <c r="T396" i="2"/>
  <c r="U396" i="2" s="1"/>
  <c r="T397" i="2"/>
  <c r="U397" i="2" s="1"/>
  <c r="T395" i="2"/>
  <c r="U395" i="2" s="1"/>
  <c r="T394" i="2"/>
  <c r="U394" i="2" s="1"/>
  <c r="T393" i="2"/>
  <c r="U393" i="2" s="1"/>
  <c r="T392" i="2"/>
  <c r="U392" i="2" s="1"/>
  <c r="T391" i="2"/>
  <c r="T225" i="2"/>
  <c r="T224" i="2"/>
  <c r="T223" i="2"/>
  <c r="T222" i="2"/>
  <c r="T220" i="2"/>
  <c r="T219" i="2"/>
  <c r="T218" i="2"/>
  <c r="T114" i="2"/>
  <c r="T156" i="2"/>
  <c r="T155" i="2"/>
  <c r="T102" i="2"/>
  <c r="T101" i="2"/>
  <c r="T100" i="2"/>
  <c r="T98" i="2"/>
  <c r="T343" i="2"/>
  <c r="T342" i="2"/>
  <c r="T341" i="2"/>
  <c r="T337" i="2"/>
  <c r="T336" i="2"/>
  <c r="T335" i="2"/>
  <c r="T334" i="2"/>
  <c r="T254" i="2"/>
  <c r="T253" i="2"/>
  <c r="T252" i="2"/>
  <c r="T251" i="2"/>
  <c r="T258" i="2"/>
  <c r="T248" i="2"/>
  <c r="T246" i="2"/>
  <c r="T245" i="2"/>
  <c r="T243" i="2"/>
  <c r="T240" i="2"/>
  <c r="T239" i="2"/>
  <c r="T237" i="2"/>
  <c r="T235" i="2"/>
  <c r="T233" i="2"/>
  <c r="T232" i="2"/>
  <c r="T231" i="2"/>
  <c r="T230" i="2"/>
  <c r="L293" i="1"/>
  <c r="L292" i="1"/>
  <c r="L252" i="1"/>
  <c r="L251" i="1"/>
  <c r="L283" i="1"/>
  <c r="L282" i="1"/>
  <c r="L281" i="1"/>
  <c r="L280" i="1"/>
  <c r="L279" i="1"/>
  <c r="L278" i="1"/>
  <c r="L277" i="1"/>
  <c r="L88" i="1"/>
  <c r="L87" i="1"/>
  <c r="L86" i="1"/>
  <c r="L85" i="1"/>
  <c r="L103" i="1"/>
  <c r="L2" i="1"/>
  <c r="L75" i="1"/>
  <c r="L102" i="1"/>
  <c r="L101" i="1"/>
  <c r="L98" i="1"/>
  <c r="L92" i="1"/>
  <c r="L91" i="1"/>
  <c r="L90" i="1"/>
  <c r="L89" i="1"/>
  <c r="L49" i="1"/>
  <c r="L48" i="1"/>
  <c r="L47" i="1"/>
  <c r="L51" i="1"/>
  <c r="L50" i="1"/>
  <c r="L46" i="1"/>
  <c r="L54" i="1"/>
  <c r="L53" i="1"/>
  <c r="L62" i="1"/>
  <c r="L61" i="1"/>
  <c r="L60" i="1"/>
  <c r="L84" i="1"/>
  <c r="L83" i="1"/>
  <c r="L64" i="1"/>
  <c r="L63" i="1"/>
  <c r="L16" i="1"/>
  <c r="L15" i="1"/>
  <c r="L14" i="1"/>
  <c r="L13" i="1"/>
  <c r="L12" i="1"/>
  <c r="L11" i="1"/>
  <c r="L10" i="1"/>
  <c r="L9" i="1"/>
  <c r="L8" i="1"/>
  <c r="L7" i="1"/>
  <c r="L37" i="1"/>
  <c r="L40" i="1"/>
  <c r="L39" i="1"/>
  <c r="L38" i="1"/>
  <c r="L99" i="1"/>
  <c r="L100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160" i="1"/>
  <c r="L287" i="1"/>
  <c r="L286" i="1"/>
  <c r="L285" i="1"/>
  <c r="L284" i="1"/>
  <c r="L52" i="1"/>
  <c r="L250" i="1"/>
  <c r="L249" i="1"/>
  <c r="L248" i="1"/>
  <c r="L247" i="1"/>
  <c r="L246" i="1"/>
  <c r="L245" i="1"/>
  <c r="L244" i="1"/>
  <c r="L243" i="1"/>
  <c r="L242" i="1"/>
  <c r="L241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91" i="1"/>
  <c r="L290" i="1"/>
  <c r="L315" i="1"/>
  <c r="L314" i="1"/>
  <c r="L313" i="1"/>
  <c r="L312" i="1"/>
  <c r="L311" i="1"/>
  <c r="L310" i="1"/>
  <c r="L59" i="1"/>
  <c r="L58" i="1"/>
  <c r="L57" i="1"/>
  <c r="L56" i="1"/>
  <c r="L55" i="1"/>
  <c r="L139" i="1"/>
  <c r="L138" i="1"/>
  <c r="L137" i="1"/>
  <c r="L132" i="1"/>
  <c r="L131" i="1"/>
  <c r="L130" i="1"/>
  <c r="L135" i="1"/>
  <c r="L134" i="1"/>
  <c r="L133" i="1"/>
  <c r="L112" i="1"/>
  <c r="L111" i="1"/>
  <c r="L110" i="1"/>
  <c r="L129" i="1"/>
  <c r="L149" i="1"/>
  <c r="L148" i="1"/>
  <c r="L147" i="1"/>
  <c r="L146" i="1"/>
  <c r="L145" i="1"/>
  <c r="L144" i="1"/>
  <c r="L143" i="1"/>
  <c r="L142" i="1"/>
  <c r="L141" i="1"/>
  <c r="L140" i="1"/>
  <c r="L161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55" i="1"/>
  <c r="L154" i="1"/>
  <c r="L153" i="1"/>
  <c r="L152" i="1"/>
  <c r="L151" i="1"/>
  <c r="L150" i="1"/>
  <c r="L159" i="1"/>
  <c r="L158" i="1"/>
  <c r="L157" i="1"/>
  <c r="L156" i="1"/>
  <c r="L109" i="1"/>
  <c r="L136" i="1"/>
  <c r="L43" i="1"/>
  <c r="L96" i="1"/>
  <c r="L95" i="1"/>
  <c r="L94" i="1"/>
  <c r="L6" i="1"/>
  <c r="L5" i="1"/>
  <c r="L4" i="1"/>
  <c r="L3" i="1"/>
  <c r="L30" i="1"/>
  <c r="L29" i="1"/>
  <c r="L28" i="1"/>
  <c r="L27" i="1"/>
  <c r="L26" i="1"/>
  <c r="L25" i="1"/>
  <c r="L24" i="1"/>
  <c r="L23" i="1"/>
  <c r="L22" i="1"/>
  <c r="L21" i="1"/>
  <c r="L20" i="1"/>
  <c r="L19" i="1"/>
  <c r="L97" i="1"/>
  <c r="L105" i="1"/>
  <c r="L104" i="1"/>
  <c r="L45" i="1"/>
  <c r="L44" i="1"/>
  <c r="L33" i="1"/>
  <c r="L32" i="1"/>
  <c r="L31" i="1"/>
  <c r="L18" i="1"/>
  <c r="L17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326" i="1"/>
  <c r="L325" i="1"/>
  <c r="L324" i="1"/>
  <c r="L323" i="1"/>
  <c r="L322" i="1"/>
  <c r="L321" i="1"/>
  <c r="L320" i="1"/>
  <c r="L319" i="1"/>
  <c r="L318" i="1"/>
  <c r="L317" i="1"/>
  <c r="L316" i="1"/>
  <c r="L169" i="1"/>
  <c r="L168" i="1"/>
  <c r="L167" i="1"/>
  <c r="L166" i="1"/>
  <c r="L165" i="1"/>
  <c r="L164" i="1"/>
  <c r="L163" i="1"/>
  <c r="L162" i="1"/>
  <c r="L66" i="1"/>
  <c r="L65" i="1"/>
  <c r="L81" i="1"/>
  <c r="L82" i="1"/>
  <c r="L80" i="1"/>
  <c r="L76" i="1"/>
  <c r="L79" i="1"/>
  <c r="L78" i="1"/>
  <c r="L77" i="1"/>
  <c r="L42" i="1"/>
  <c r="L41" i="1"/>
  <c r="L201" i="1"/>
  <c r="L200" i="1"/>
  <c r="L199" i="1"/>
  <c r="L198" i="1"/>
  <c r="L93" i="1"/>
  <c r="L108" i="1"/>
  <c r="L107" i="1"/>
  <c r="L106" i="1"/>
  <c r="L74" i="1"/>
  <c r="L73" i="1"/>
  <c r="L72" i="1"/>
  <c r="L71" i="1"/>
  <c r="L70" i="1"/>
  <c r="L69" i="1"/>
  <c r="L68" i="1"/>
  <c r="L67" i="1"/>
  <c r="L276" i="1"/>
  <c r="L275" i="1"/>
  <c r="L274" i="1"/>
  <c r="L273" i="1"/>
  <c r="L272" i="1"/>
  <c r="L271" i="1"/>
  <c r="L269" i="1"/>
  <c r="L268" i="1"/>
  <c r="L267" i="1"/>
  <c r="L266" i="1"/>
  <c r="L265" i="1"/>
  <c r="L36" i="1"/>
  <c r="L35" i="1"/>
  <c r="L34" i="1"/>
  <c r="L195" i="1"/>
  <c r="L194" i="1"/>
  <c r="L193" i="1"/>
  <c r="L192" i="1"/>
  <c r="L196" i="1"/>
  <c r="L197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T416" i="2" l="1"/>
  <c r="U391" i="2"/>
  <c r="P399" i="2"/>
  <c r="Q399" i="2" s="1"/>
  <c r="U398" i="2"/>
  <c r="P395" i="2"/>
  <c r="P351" i="2"/>
  <c r="P338" i="2"/>
  <c r="Q338" i="2" s="1"/>
  <c r="P335" i="2"/>
  <c r="Q335" i="2" s="1"/>
  <c r="P337" i="2"/>
  <c r="Q337" i="2" s="1"/>
  <c r="Q334" i="2"/>
  <c r="P336" i="2"/>
  <c r="Q336" i="2" s="1"/>
  <c r="P327" i="2"/>
  <c r="Q327" i="2" s="1"/>
  <c r="P328" i="2"/>
  <c r="Q328" i="2" s="1"/>
  <c r="L319" i="2"/>
  <c r="P340" i="2"/>
  <c r="Q340" i="2" s="1"/>
  <c r="P341" i="2"/>
  <c r="Q341" i="2" s="1"/>
  <c r="P342" i="2"/>
  <c r="Q342" i="2" s="1"/>
  <c r="P360" i="2"/>
  <c r="P353" i="2"/>
  <c r="Q353" i="2" s="1"/>
  <c r="P361" i="2"/>
  <c r="Q361" i="2" s="1"/>
  <c r="P354" i="2"/>
  <c r="Q354" i="2" s="1"/>
  <c r="P362" i="2"/>
  <c r="Q362" i="2" s="1"/>
  <c r="P343" i="2"/>
  <c r="Q343" i="2" s="1"/>
  <c r="L416" i="2"/>
  <c r="P296" i="2"/>
  <c r="Q296" i="2" s="1"/>
  <c r="N332" i="2"/>
  <c r="P331" i="2"/>
  <c r="Q331" i="2" s="1"/>
  <c r="P329" i="2"/>
  <c r="Q329" i="2" s="1"/>
  <c r="L192" i="2"/>
  <c r="T372" i="2"/>
  <c r="L255" i="2"/>
  <c r="N306" i="2"/>
  <c r="P297" i="2"/>
  <c r="Q297" i="2" s="1"/>
  <c r="P298" i="2"/>
  <c r="Q298" i="2" s="1"/>
  <c r="P294" i="2"/>
  <c r="Q294" i="2" s="1"/>
  <c r="T366" i="2"/>
  <c r="T255" i="2"/>
  <c r="T160" i="2"/>
  <c r="T421" i="2"/>
  <c r="T306" i="2"/>
  <c r="T357" i="2"/>
  <c r="L421" i="2"/>
  <c r="L388" i="2"/>
  <c r="Q84" i="2"/>
  <c r="N348" i="2"/>
  <c r="L332" i="2"/>
  <c r="L348" i="2"/>
  <c r="L366" i="2"/>
  <c r="L357" i="2"/>
  <c r="P76" i="2"/>
  <c r="Q76" i="2" s="1"/>
  <c r="P224" i="2"/>
  <c r="Q224" i="2" s="1"/>
  <c r="N416" i="2"/>
  <c r="P75" i="2"/>
  <c r="Q75" i="2" s="1"/>
  <c r="N319" i="2"/>
  <c r="T332" i="2"/>
  <c r="L214" i="2"/>
  <c r="L209" i="2"/>
  <c r="N388" i="2"/>
  <c r="N357" i="2"/>
  <c r="N369" i="2"/>
  <c r="T348" i="2"/>
  <c r="T388" i="2"/>
  <c r="T192" i="2"/>
  <c r="T319" i="2"/>
  <c r="L306" i="2"/>
  <c r="P90" i="2"/>
  <c r="Q90" i="2" s="1"/>
  <c r="N421" i="2"/>
  <c r="N366" i="2"/>
  <c r="N372" i="2"/>
  <c r="T209" i="2"/>
  <c r="L250" i="2"/>
  <c r="L228" i="2"/>
  <c r="T228" i="2"/>
  <c r="T250" i="2"/>
  <c r="L188" i="2"/>
  <c r="T188" i="2"/>
  <c r="L181" i="2"/>
  <c r="T126" i="2"/>
  <c r="T181" i="2"/>
  <c r="P134" i="2"/>
  <c r="L77" i="2"/>
  <c r="L73" i="2"/>
  <c r="L107" i="2"/>
  <c r="L92" i="2"/>
  <c r="L95" i="2"/>
  <c r="L86" i="2"/>
  <c r="L120" i="2"/>
  <c r="L111" i="2"/>
  <c r="L125" i="2"/>
  <c r="L126" i="2"/>
  <c r="T125" i="2"/>
  <c r="T120" i="2"/>
  <c r="T111" i="2"/>
  <c r="T107" i="2"/>
  <c r="N23" i="2"/>
  <c r="T23" i="2"/>
  <c r="L54" i="2"/>
  <c r="N54" i="2"/>
  <c r="T54" i="2"/>
  <c r="T36" i="2"/>
  <c r="N40" i="2"/>
  <c r="N36" i="2"/>
  <c r="U416" i="2" l="1"/>
  <c r="Q395" i="2"/>
  <c r="Q416" i="2" s="1"/>
  <c r="P416" i="2"/>
  <c r="Q360" i="2"/>
  <c r="Q366" i="2" s="1"/>
  <c r="P366" i="2"/>
  <c r="Q348" i="2"/>
  <c r="P348" i="2"/>
  <c r="Q351" i="2"/>
  <c r="Q357" i="2" s="1"/>
  <c r="P357" i="2"/>
  <c r="U23" i="2"/>
  <c r="P23" i="2"/>
  <c r="P388" i="2"/>
  <c r="U36" i="2"/>
  <c r="U54" i="2"/>
  <c r="P40" i="2"/>
  <c r="P54" i="2"/>
  <c r="P369" i="2"/>
  <c r="P36" i="2"/>
  <c r="U426" i="2" l="1"/>
  <c r="U427" i="2"/>
</calcChain>
</file>

<file path=xl/comments1.xml><?xml version="1.0" encoding="utf-8"?>
<comments xmlns="http://schemas.openxmlformats.org/spreadsheetml/2006/main">
  <authors>
    <author/>
  </authors>
  <commentList>
    <comment ref="A16" authorId="0" shapeId="0">
      <text>
        <r>
          <rPr>
            <sz val="10"/>
            <color rgb="FF000000"/>
            <rFont val="Arial"/>
            <family val="2"/>
            <charset val="1"/>
          </rPr>
          <t xml:space="preserve">Gateway Nat. Rec. Area - Critical Zone </t>
        </r>
      </text>
    </comment>
    <comment ref="A36" authorId="0" shapeId="0">
      <text>
        <r>
          <rPr>
            <sz val="10"/>
            <color rgb="FF000000"/>
            <rFont val="Arial"/>
            <family val="2"/>
            <charset val="1"/>
          </rPr>
          <t>E of Waycake (Waakaack) and Thorns Creek</t>
        </r>
      </text>
    </comment>
    <comment ref="A61" authorId="0" shapeId="0">
      <text>
        <r>
          <rPr>
            <sz val="10"/>
            <color rgb="FF000000"/>
            <rFont val="Arial"/>
            <family val="2"/>
            <charset val="1"/>
          </rPr>
          <t>Avery Ave S. to just S. of Cedar Ave.</t>
        </r>
      </text>
    </comment>
    <comment ref="A63" authorId="0" shapeId="0">
      <text>
        <r>
          <rPr>
            <sz val="10"/>
            <color rgb="FF000000"/>
            <rFont val="Arial"/>
            <family val="2"/>
            <charset val="1"/>
          </rPr>
          <t xml:space="preserve">Asbury Park to Shark River Inlet </t>
        </r>
      </text>
    </comment>
    <comment ref="A165" authorId="0" shapeId="0">
      <text>
        <r>
          <rPr>
            <sz val="10"/>
            <color rgb="FF000000"/>
            <rFont val="Arial"/>
            <family val="2"/>
            <charset val="1"/>
          </rPr>
          <t>1000 ft N of Brigantine Ave s. to just N. of 4th Street N</t>
        </r>
      </text>
    </comment>
    <comment ref="A166" authorId="0" shapeId="0">
      <text>
        <r>
          <rPr>
            <sz val="10"/>
            <color rgb="FF000000"/>
            <rFont val="Arial"/>
            <family val="2"/>
            <charset val="1"/>
          </rPr>
          <t xml:space="preserve">1500ft north of 14th St North to 15th St South </t>
        </r>
      </text>
    </comment>
    <comment ref="A167" authorId="0" shapeId="0">
      <text>
        <r>
          <rPr>
            <sz val="10"/>
            <color rgb="FF000000"/>
            <rFont val="Arial"/>
            <family val="2"/>
            <charset val="1"/>
          </rPr>
          <t xml:space="preserve">N15th to N7th Sts. </t>
        </r>
      </text>
    </comment>
    <comment ref="A168" authorId="0" shapeId="0">
      <text>
        <r>
          <rPr>
            <sz val="10"/>
            <color rgb="FF000000"/>
            <rFont val="Arial"/>
            <family val="2"/>
            <charset val="1"/>
          </rPr>
          <t>1000' North of 14th Street North to 14th Street South</t>
        </r>
      </text>
    </comment>
    <comment ref="A189" authorId="0" shapeId="0">
      <text>
        <r>
          <rPr>
            <sz val="10"/>
            <color rgb="FF000000"/>
            <rFont val="Arial"/>
            <family val="2"/>
            <charset val="1"/>
          </rPr>
          <t xml:space="preserve">Vermont to North Carolina Aves. </t>
        </r>
      </text>
    </comment>
    <comment ref="A192" authorId="0" shapeId="0">
      <text>
        <r>
          <rPr>
            <sz val="10"/>
            <color rgb="FF000000"/>
            <rFont val="Arial"/>
            <family val="2"/>
            <charset val="1"/>
          </rPr>
          <t xml:space="preserve">Jackson Ave - Fredericksburg Ave </t>
        </r>
      </text>
    </comment>
    <comment ref="A193" authorId="0" shapeId="0">
      <text>
        <r>
          <rPr>
            <sz val="10"/>
            <color rgb="FF000000"/>
            <rFont val="Arial"/>
            <family val="2"/>
            <charset val="1"/>
          </rPr>
          <t xml:space="preserve">Cambridge Ave to Melbourne Place </t>
        </r>
      </text>
    </comment>
    <comment ref="A196" authorId="0" shapeId="0">
      <text>
        <r>
          <rPr>
            <sz val="10"/>
            <color rgb="FF000000"/>
            <rFont val="Arial"/>
            <family val="2"/>
            <charset val="1"/>
          </rPr>
          <t>Fredericksburg St - Douglas Ave</t>
        </r>
      </text>
    </comment>
    <comment ref="A226" authorId="0" shapeId="0">
      <text>
        <r>
          <rPr>
            <sz val="10"/>
            <color rgb="FF000000"/>
            <rFont val="Arial"/>
            <family val="2"/>
            <charset val="1"/>
          </rPr>
          <t>Phase I Initial Construction</t>
        </r>
      </text>
    </comment>
    <comment ref="A227" authorId="0" shapeId="0">
      <text>
        <r>
          <rPr>
            <sz val="10"/>
            <color rgb="FF000000"/>
            <rFont val="Arial"/>
            <family val="2"/>
            <charset val="1"/>
          </rPr>
          <t>Phase II Initial Construction</t>
        </r>
      </text>
    </comment>
    <comment ref="A228" authorId="0" shapeId="0">
      <text>
        <r>
          <rPr>
            <sz val="10"/>
            <color rgb="FF000000"/>
            <rFont val="Arial"/>
            <family val="2"/>
            <charset val="1"/>
          </rPr>
          <t>Emergency Work</t>
        </r>
      </text>
    </comment>
    <comment ref="A229" authorId="0" shapeId="0">
      <text>
        <r>
          <rPr>
            <sz val="10"/>
            <color rgb="FF000000"/>
            <rFont val="Arial"/>
            <family val="2"/>
            <charset val="1"/>
          </rPr>
          <t>Phase I Renourishment</t>
        </r>
      </text>
    </comment>
    <comment ref="A230" authorId="0" shapeId="0">
      <text>
        <r>
          <rPr>
            <sz val="10"/>
            <color rgb="FF000000"/>
            <rFont val="Arial"/>
            <family val="2"/>
            <charset val="1"/>
          </rPr>
          <t>Phase II Renourishment</t>
        </r>
      </text>
    </comment>
    <comment ref="A231" authorId="0" shapeId="0">
      <text>
        <r>
          <rPr>
            <sz val="10"/>
            <color rgb="FF000000"/>
            <rFont val="Arial"/>
            <family val="2"/>
            <charset val="1"/>
          </rPr>
          <t>34th - 60th street</t>
        </r>
      </text>
    </comment>
    <comment ref="A232" authorId="0" shapeId="0">
      <text>
        <r>
          <rPr>
            <sz val="10"/>
            <color rgb="FF000000"/>
            <rFont val="Arial"/>
            <family val="2"/>
            <charset val="1"/>
          </rPr>
          <t>3rd Renourishment</t>
        </r>
      </text>
    </comment>
    <comment ref="A240" authorId="0" shapeId="0">
      <text>
        <r>
          <rPr>
            <sz val="10"/>
            <color rgb="FF000000"/>
            <rFont val="Arial"/>
            <family val="2"/>
            <charset val="1"/>
          </rPr>
          <t>Second Renourishment</t>
        </r>
      </text>
    </comment>
    <comment ref="A270" authorId="0" shapeId="0">
      <text>
        <r>
          <rPr>
            <sz val="10"/>
            <color rgb="FF000000"/>
            <rFont val="Arial"/>
            <family val="2"/>
            <charset val="1"/>
          </rPr>
          <t>8th to 30th</t>
        </r>
      </text>
    </comment>
    <comment ref="A271" authorId="0" shapeId="0">
      <text>
        <r>
          <rPr>
            <sz val="10"/>
            <color rgb="FF000000"/>
            <rFont val="Arial"/>
            <family val="2"/>
            <charset val="1"/>
          </rPr>
          <t>10th to 15th Street</t>
        </r>
      </text>
    </comment>
    <comment ref="A272" authorId="0" shapeId="0">
      <text>
        <r>
          <rPr>
            <sz val="10"/>
            <color rgb="FF000000"/>
            <rFont val="Arial"/>
            <family val="2"/>
            <charset val="1"/>
          </rPr>
          <t>9th to 18th street</t>
        </r>
      </text>
    </comment>
    <comment ref="A273" authorId="0" shapeId="0">
      <text>
        <r>
          <rPr>
            <sz val="10"/>
            <color rgb="FF000000"/>
            <rFont val="Arial"/>
            <family val="2"/>
            <charset val="1"/>
          </rPr>
          <t>18th to 26th street</t>
        </r>
      </text>
    </comment>
    <comment ref="A274" authorId="0" shapeId="0">
      <text>
        <r>
          <rPr>
            <sz val="10"/>
            <color rgb="FF000000"/>
            <rFont val="Arial"/>
            <family val="2"/>
            <charset val="1"/>
          </rPr>
          <t>14th to 30th Street</t>
        </r>
      </text>
    </comment>
    <comment ref="A275" authorId="0" shapeId="0">
      <text>
        <r>
          <rPr>
            <sz val="10"/>
            <color rgb="FF000000"/>
            <rFont val="Arial"/>
            <family val="2"/>
            <charset val="1"/>
          </rPr>
          <t>Eighth Street jetty down to the 25th Street beach</t>
        </r>
      </text>
    </comment>
    <comment ref="A279" authorId="0" shapeId="0">
      <text>
        <r>
          <rPr>
            <sz val="10"/>
            <color rgb="FF000000"/>
            <rFont val="Arial"/>
            <family val="2"/>
            <charset val="1"/>
          </rPr>
          <t>76th to 123rd St</t>
        </r>
      </text>
    </comment>
    <comment ref="A280" authorId="0" shapeId="0">
      <text>
        <r>
          <rPr>
            <sz val="10"/>
            <color rgb="FF000000"/>
            <rFont val="Arial"/>
            <family val="2"/>
            <charset val="1"/>
          </rPr>
          <t>98th to 111th St</t>
        </r>
      </text>
    </comment>
    <comment ref="A281" authorId="0" shapeId="0">
      <text>
        <r>
          <rPr>
            <sz val="10"/>
            <color rgb="FF000000"/>
            <rFont val="Arial"/>
            <family val="2"/>
            <charset val="1"/>
          </rPr>
          <t>"83rd to 123rd Street"</t>
        </r>
      </text>
    </comment>
    <comment ref="A286" authorId="0" shapeId="0">
      <text>
        <r>
          <rPr>
            <sz val="10"/>
            <color rgb="FF000000"/>
            <rFont val="Arial"/>
            <family val="2"/>
            <charset val="1"/>
          </rPr>
          <t xml:space="preserve">2nd Ave to Poplar Ave </t>
        </r>
      </text>
    </comment>
    <comment ref="A287" authorId="0" shapeId="0">
      <text>
        <r>
          <rPr>
            <sz val="10"/>
            <color rgb="FF000000"/>
            <rFont val="Arial"/>
            <family val="2"/>
            <charset val="1"/>
          </rPr>
          <t xml:space="preserve">2nd-5th Ave, 11th to Poplar Ave. </t>
        </r>
      </text>
    </comment>
    <comment ref="A302" authorId="0" shapeId="0">
      <text>
        <r>
          <rPr>
            <sz val="10"/>
            <color rgb="FF000000"/>
            <rFont val="Arial"/>
            <family val="2"/>
            <charset val="1"/>
          </rPr>
          <t>Coast Guard Station and NE Cape May</t>
        </r>
      </text>
    </comment>
    <comment ref="A303" authorId="0" shapeId="0">
      <text>
        <r>
          <rPr>
            <sz val="10"/>
            <color rgb="FF000000"/>
            <rFont val="Arial"/>
            <family val="2"/>
            <charset val="1"/>
          </rPr>
          <t>3rd Ave terminal groin west to and Central Ave groin including 'Cell 6'</t>
        </r>
      </text>
    </comment>
    <comment ref="A305" authorId="0" shapeId="0">
      <text>
        <r>
          <rPr>
            <sz val="10"/>
            <color rgb="FF000000"/>
            <rFont val="Arial"/>
            <family val="2"/>
            <charset val="1"/>
          </rPr>
          <t>Cape May Point State Park and Cape May Point groin cells 1, 4, and 5</t>
        </r>
      </text>
    </comment>
    <comment ref="A306" authorId="0" shapeId="0">
      <text>
        <r>
          <rPr>
            <sz val="10"/>
            <color rgb="FF000000"/>
            <rFont val="Arial"/>
            <family val="2"/>
            <charset val="1"/>
          </rPr>
          <t>USCG Training Center beach between Cape May Inlet and Wilmington Avenue</t>
        </r>
      </text>
    </comment>
    <comment ref="A307" authorId="0" shapeId="0">
      <text>
        <r>
          <rPr>
            <sz val="10"/>
            <color rgb="FF000000"/>
            <rFont val="Arial"/>
            <family val="2"/>
            <charset val="1"/>
          </rPr>
          <t>BASE: STA -00+50 to 25+09 &amp; STA 67+82 to 85+97 with 5 Options</t>
        </r>
      </text>
    </comment>
    <comment ref="A308" authorId="0" shapeId="0">
      <text>
        <r>
          <rPr>
            <sz val="10"/>
            <color rgb="FF000000"/>
            <rFont val="Arial"/>
            <family val="2"/>
            <charset val="1"/>
          </rPr>
          <t>Trenton/Gurney Ave TO Wilm. Ave/Poverty Beach; Coast Guard Base Beach</t>
        </r>
      </text>
    </comment>
    <comment ref="A310" authorId="0" shapeId="0">
      <text>
        <r>
          <rPr>
            <sz val="10"/>
            <color rgb="FF000000"/>
            <rFont val="Arial"/>
            <family val="2"/>
            <charset val="1"/>
          </rPr>
          <t xml:space="preserve">10th to 15th Street </t>
        </r>
      </text>
    </comment>
    <comment ref="A311" authorId="0" shapeId="0">
      <text>
        <r>
          <rPr>
            <sz val="10"/>
            <color rgb="FF000000"/>
            <rFont val="Arial"/>
            <family val="2"/>
            <charset val="1"/>
          </rPr>
          <t xml:space="preserve">10th to 15th Street </t>
        </r>
      </text>
    </comment>
    <comment ref="A312" authorId="0" shapeId="0">
      <text>
        <r>
          <rPr>
            <sz val="10"/>
            <color rgb="FF000000"/>
            <rFont val="Arial"/>
            <family val="2"/>
            <charset val="1"/>
          </rPr>
          <t xml:space="preserve">10th to 15th Street </t>
        </r>
      </text>
    </comment>
    <comment ref="A313" authorId="0" shapeId="0">
      <text>
        <r>
          <rPr>
            <sz val="10"/>
            <color rgb="FF000000"/>
            <rFont val="Arial"/>
            <family val="2"/>
            <charset val="1"/>
          </rPr>
          <t xml:space="preserve">Fronting Cape May State Park </t>
        </r>
      </text>
    </comment>
    <comment ref="A317" authorId="0" shapeId="0">
      <text>
        <r>
          <rPr>
            <sz val="10"/>
            <color rgb="FF000000"/>
            <rFont val="Arial"/>
            <family val="2"/>
            <charset val="1"/>
          </rPr>
          <t>Alexander Ave to Lighthouse Ave, Cape May Point, NJ</t>
        </r>
      </text>
    </comment>
    <comment ref="A319" authorId="0" shapeId="0">
      <text>
        <r>
          <rPr>
            <sz val="10"/>
            <color rgb="FF000000"/>
            <rFont val="Arial"/>
            <family val="2"/>
            <charset val="1"/>
          </rPr>
          <t>Alexander Ave to Lighthouse Ave, Cape May Point, NJ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6" authorId="0" shapeId="0">
      <text>
        <r>
          <rPr>
            <sz val="10"/>
            <color rgb="FF000000"/>
            <rFont val="Arial"/>
            <family val="2"/>
            <charset val="1"/>
          </rPr>
          <t>Avery Ave S. to just S. of Cedar Ave.</t>
        </r>
      </text>
    </comment>
    <comment ref="A31" authorId="0" shapeId="0">
      <text>
        <r>
          <rPr>
            <sz val="10"/>
            <color rgb="FF000000"/>
            <rFont val="Arial"/>
            <family val="2"/>
            <charset val="1"/>
          </rPr>
          <t xml:space="preserve">Asbury Park to Shark River Inlet </t>
        </r>
      </text>
    </comment>
    <comment ref="A133" authorId="0" shapeId="0">
      <text>
        <r>
          <rPr>
            <sz val="10"/>
            <color rgb="FF000000"/>
            <rFont val="Arial"/>
            <family val="2"/>
            <charset val="1"/>
          </rPr>
          <t>1000 ft N of Brigantine Ave s. to just N. of 4th Street N</t>
        </r>
      </text>
    </comment>
    <comment ref="A134" authorId="0" shapeId="0">
      <text>
        <r>
          <rPr>
            <sz val="10"/>
            <color rgb="FF000000"/>
            <rFont val="Arial"/>
            <family val="2"/>
            <charset val="1"/>
          </rPr>
          <t xml:space="preserve">1500ft north of 14th St North to 15th St South </t>
        </r>
      </text>
    </comment>
    <comment ref="A135" authorId="0" shapeId="0">
      <text>
        <r>
          <rPr>
            <sz val="10"/>
            <color rgb="FF000000"/>
            <rFont val="Arial"/>
            <family val="2"/>
            <charset val="1"/>
          </rPr>
          <t xml:space="preserve">N15th to N7th Sts. </t>
        </r>
      </text>
    </comment>
    <comment ref="A136" authorId="0" shapeId="0">
      <text>
        <r>
          <rPr>
            <sz val="10"/>
            <color rgb="FF000000"/>
            <rFont val="Arial"/>
            <family val="2"/>
            <charset val="1"/>
          </rPr>
          <t>1000' North of 14th Street North to 14th Street South</t>
        </r>
      </text>
    </comment>
    <comment ref="A157" authorId="0" shapeId="0">
      <text>
        <r>
          <rPr>
            <sz val="10"/>
            <color rgb="FF000000"/>
            <rFont val="Arial"/>
            <family val="2"/>
            <charset val="1"/>
          </rPr>
          <t xml:space="preserve">Vermont to North Carolina Aves. </t>
        </r>
      </text>
    </comment>
    <comment ref="A161" authorId="0" shapeId="0">
      <text>
        <r>
          <rPr>
            <sz val="10"/>
            <color rgb="FF000000"/>
            <rFont val="Arial"/>
            <family val="2"/>
            <charset val="1"/>
          </rPr>
          <t xml:space="preserve">Jackson Ave - Fredericksburg Ave </t>
        </r>
      </text>
    </comment>
    <comment ref="A162" authorId="0" shapeId="0">
      <text>
        <r>
          <rPr>
            <sz val="10"/>
            <color rgb="FF000000"/>
            <rFont val="Arial"/>
            <family val="2"/>
            <charset val="1"/>
          </rPr>
          <t xml:space="preserve">Cambridge Ave to Melbourne Place </t>
        </r>
      </text>
    </comment>
    <comment ref="A189" authorId="0" shapeId="0">
      <text>
        <r>
          <rPr>
            <sz val="10"/>
            <color rgb="FF000000"/>
            <rFont val="Arial"/>
            <family val="2"/>
            <charset val="1"/>
          </rPr>
          <t>Phase I Initial Construction</t>
        </r>
      </text>
    </comment>
    <comment ref="A190" authorId="0" shapeId="0">
      <text>
        <r>
          <rPr>
            <sz val="10"/>
            <color rgb="FF000000"/>
            <rFont val="Arial"/>
            <family val="2"/>
            <charset val="1"/>
          </rPr>
          <t>Phase II Initial Construction</t>
        </r>
      </text>
    </comment>
    <comment ref="A191" authorId="0" shapeId="0">
      <text>
        <r>
          <rPr>
            <sz val="10"/>
            <color rgb="FF000000"/>
            <rFont val="Arial"/>
            <family val="2"/>
            <charset val="1"/>
          </rPr>
          <t>Emergency Work</t>
        </r>
      </text>
    </comment>
    <comment ref="A192" authorId="0" shapeId="0">
      <text>
        <r>
          <rPr>
            <sz val="10"/>
            <color rgb="FF000000"/>
            <rFont val="Arial"/>
            <family val="2"/>
            <charset val="1"/>
          </rPr>
          <t>Phase I Renourishment</t>
        </r>
      </text>
    </comment>
    <comment ref="A193" authorId="0" shapeId="0">
      <text>
        <r>
          <rPr>
            <sz val="10"/>
            <color rgb="FF000000"/>
            <rFont val="Arial"/>
            <family val="2"/>
            <charset val="1"/>
          </rPr>
          <t>34th - 60th street</t>
        </r>
      </text>
    </comment>
    <comment ref="A194" authorId="0" shapeId="0">
      <text>
        <r>
          <rPr>
            <sz val="10"/>
            <color rgb="FF000000"/>
            <rFont val="Arial"/>
            <family val="2"/>
            <charset val="1"/>
          </rPr>
          <t>Phase II Renourishment</t>
        </r>
      </text>
    </comment>
    <comment ref="A195" authorId="0" shapeId="0">
      <text>
        <r>
          <rPr>
            <sz val="10"/>
            <color rgb="FF000000"/>
            <rFont val="Arial"/>
            <family val="2"/>
            <charset val="1"/>
          </rPr>
          <t>Second Renourishment</t>
        </r>
      </text>
    </comment>
    <comment ref="A196" authorId="0" shapeId="0">
      <text>
        <r>
          <rPr>
            <sz val="10"/>
            <color rgb="FF000000"/>
            <rFont val="Arial"/>
            <family val="2"/>
            <charset val="1"/>
          </rPr>
          <t>3rd Renourishment</t>
        </r>
      </text>
    </comment>
    <comment ref="A238" authorId="0" shapeId="0">
      <text>
        <r>
          <rPr>
            <sz val="10"/>
            <color rgb="FF000000"/>
            <rFont val="Arial"/>
            <family val="2"/>
            <charset val="1"/>
          </rPr>
          <t>8th to 30th</t>
        </r>
      </text>
    </comment>
    <comment ref="A239" authorId="0" shapeId="0">
      <text>
        <r>
          <rPr>
            <sz val="10"/>
            <color rgb="FF000000"/>
            <rFont val="Arial"/>
            <family val="2"/>
            <charset val="1"/>
          </rPr>
          <t>10th to 15th Street</t>
        </r>
      </text>
    </comment>
    <comment ref="A240" authorId="0" shapeId="0">
      <text>
        <r>
          <rPr>
            <sz val="10"/>
            <color rgb="FF000000"/>
            <rFont val="Arial"/>
            <family val="2"/>
            <charset val="1"/>
          </rPr>
          <t>9th to 18th street</t>
        </r>
      </text>
    </comment>
    <comment ref="A241" authorId="0" shapeId="0">
      <text>
        <r>
          <rPr>
            <sz val="10"/>
            <color rgb="FF000000"/>
            <rFont val="Arial"/>
            <family val="2"/>
            <charset val="1"/>
          </rPr>
          <t>18th to 26th street</t>
        </r>
      </text>
    </comment>
    <comment ref="A242" authorId="0" shapeId="0">
      <text>
        <r>
          <rPr>
            <sz val="10"/>
            <color rgb="FF000000"/>
            <rFont val="Arial"/>
            <family val="2"/>
            <charset val="1"/>
          </rPr>
          <t>14th to 30th Street</t>
        </r>
      </text>
    </comment>
    <comment ref="A243" authorId="0" shapeId="0">
      <text>
        <r>
          <rPr>
            <sz val="10"/>
            <color rgb="FF000000"/>
            <rFont val="Arial"/>
            <family val="2"/>
            <charset val="1"/>
          </rPr>
          <t>Eighth Street jetty down to the 25th Street beach</t>
        </r>
      </text>
    </comment>
    <comment ref="A250" authorId="0" shapeId="0">
      <text>
        <r>
          <rPr>
            <sz val="10"/>
            <color rgb="FF000000"/>
            <rFont val="Arial"/>
            <family val="2"/>
            <charset val="1"/>
          </rPr>
          <t>76th to 123rd St</t>
        </r>
      </text>
    </comment>
    <comment ref="A251" authorId="0" shapeId="0">
      <text>
        <r>
          <rPr>
            <sz val="10"/>
            <color rgb="FF000000"/>
            <rFont val="Arial"/>
            <family val="2"/>
            <charset val="1"/>
          </rPr>
          <t>98th to 111th St</t>
        </r>
      </text>
    </comment>
    <comment ref="A252" authorId="0" shapeId="0">
      <text>
        <r>
          <rPr>
            <sz val="10"/>
            <color rgb="FF000000"/>
            <rFont val="Arial"/>
            <family val="2"/>
            <charset val="1"/>
          </rPr>
          <t>"83rd to 123rd Street"</t>
        </r>
      </text>
    </comment>
    <comment ref="A258" authorId="0" shapeId="0">
      <text>
        <r>
          <rPr>
            <sz val="10"/>
            <color rgb="FF000000"/>
            <rFont val="Arial"/>
            <family val="2"/>
            <charset val="1"/>
          </rPr>
          <t xml:space="preserve">2nd Ave to Poplar Ave </t>
        </r>
      </text>
    </comment>
    <comment ref="A259" authorId="0" shapeId="0">
      <text>
        <r>
          <rPr>
            <sz val="10"/>
            <color rgb="FF000000"/>
            <rFont val="Arial"/>
            <family val="2"/>
            <charset val="1"/>
          </rPr>
          <t xml:space="preserve">2nd-5th Ave, 11th to Poplar Ave. </t>
        </r>
      </text>
    </comment>
    <comment ref="A267" authorId="0" shapeId="0">
      <text>
        <r>
          <rPr>
            <sz val="10"/>
            <color rgb="FF000000"/>
            <rFont val="Arial"/>
            <family val="2"/>
            <charset val="1"/>
          </rPr>
          <t>Alexander Ave to Lighthouse Ave, Cape May Point, NJ</t>
        </r>
      </text>
    </comment>
    <comment ref="A269" authorId="0" shapeId="0">
      <text>
        <r>
          <rPr>
            <sz val="10"/>
            <color rgb="FF000000"/>
            <rFont val="Arial"/>
            <family val="2"/>
            <charset val="1"/>
          </rPr>
          <t>Alexander Ave to Lighthouse Ave, Cape May Point, NJ</t>
        </r>
      </text>
    </comment>
    <comment ref="A295" authorId="0" shapeId="0">
      <text>
        <r>
          <rPr>
            <sz val="10"/>
            <color rgb="FF000000"/>
            <rFont val="Arial"/>
            <family val="2"/>
            <charset val="1"/>
          </rPr>
          <t xml:space="preserve">Fronting Cape May State Park </t>
        </r>
      </text>
    </comment>
    <comment ref="A296" authorId="0" shapeId="0">
      <text>
        <r>
          <rPr>
            <sz val="10"/>
            <color rgb="FF000000"/>
            <rFont val="Arial"/>
            <family val="2"/>
            <charset val="1"/>
          </rPr>
          <t xml:space="preserve">10th to 15th Street </t>
        </r>
      </text>
    </comment>
    <comment ref="A297" authorId="0" shapeId="0">
      <text>
        <r>
          <rPr>
            <sz val="10"/>
            <color rgb="FF000000"/>
            <rFont val="Arial"/>
            <family val="2"/>
            <charset val="1"/>
          </rPr>
          <t xml:space="preserve">10th to 15th Street </t>
        </r>
      </text>
    </comment>
    <comment ref="A298" authorId="0" shapeId="0">
      <text>
        <r>
          <rPr>
            <sz val="10"/>
            <color rgb="FF000000"/>
            <rFont val="Arial"/>
            <family val="2"/>
            <charset val="1"/>
          </rPr>
          <t xml:space="preserve">10th to 15th Street </t>
        </r>
      </text>
    </comment>
    <comment ref="A299" authorId="0" shapeId="0">
      <text>
        <r>
          <rPr>
            <sz val="10"/>
            <color rgb="FF000000"/>
            <rFont val="Arial"/>
            <family val="2"/>
            <charset val="1"/>
          </rPr>
          <t>Cape May Point State Park and Cape May Point groin cells 1, 4, and 5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8" authorId="0" shapeId="0">
      <text>
        <r>
          <rPr>
            <sz val="10"/>
            <color rgb="FF000000"/>
            <rFont val="Arial"/>
            <family val="2"/>
            <charset val="1"/>
          </rPr>
          <t xml:space="preserve">Gateway Nat. Rec. Area - Critical Zone </t>
        </r>
      </text>
    </comment>
    <comment ref="A37" authorId="0" shapeId="0">
      <text>
        <r>
          <rPr>
            <sz val="10"/>
            <color rgb="FF000000"/>
            <rFont val="Arial"/>
            <family val="2"/>
            <charset val="1"/>
          </rPr>
          <t>E of Waycake (Waakaack) and Thorns Creek</t>
        </r>
      </text>
    </comment>
    <comment ref="A84" authorId="0" shapeId="0">
      <text>
        <r>
          <rPr>
            <sz val="10"/>
            <color rgb="FF000000"/>
            <rFont val="Arial"/>
            <family val="2"/>
            <charset val="1"/>
          </rPr>
          <t>Avery Ave S. to just S. of Cedar Ave.</t>
        </r>
      </text>
    </comment>
    <comment ref="A91" authorId="0" shapeId="0">
      <text>
        <r>
          <rPr>
            <sz val="10"/>
            <color rgb="FF000000"/>
            <rFont val="Arial"/>
            <family val="2"/>
            <charset val="1"/>
          </rPr>
          <t xml:space="preserve">Asbury Park to Shark River Inlet </t>
        </r>
      </text>
    </comment>
    <comment ref="A221" authorId="0" shapeId="0">
      <text>
        <r>
          <rPr>
            <sz val="10"/>
            <color rgb="FF000000"/>
            <rFont val="Arial"/>
            <family val="2"/>
            <charset val="1"/>
          </rPr>
          <t>1000 ft N of Brigantine Ave s. to just N. of 4th Street N</t>
        </r>
      </text>
    </comment>
    <comment ref="A222" authorId="0" shapeId="0">
      <text>
        <r>
          <rPr>
            <sz val="10"/>
            <color rgb="FF000000"/>
            <rFont val="Arial"/>
            <family val="2"/>
            <charset val="1"/>
          </rPr>
          <t xml:space="preserve">1500ft north of 14th St North to 15th St South </t>
        </r>
      </text>
    </comment>
    <comment ref="A223" authorId="0" shapeId="0">
      <text>
        <r>
          <rPr>
            <sz val="10"/>
            <color rgb="FF000000"/>
            <rFont val="Arial"/>
            <family val="2"/>
            <charset val="1"/>
          </rPr>
          <t xml:space="preserve">N15th to N7th Sts. </t>
        </r>
      </text>
    </comment>
    <comment ref="A224" authorId="0" shapeId="0">
      <text>
        <r>
          <rPr>
            <sz val="10"/>
            <color rgb="FF000000"/>
            <rFont val="Arial"/>
            <family val="2"/>
            <charset val="1"/>
          </rPr>
          <t>1000' North of 14th Street North to 14th Street South</t>
        </r>
      </text>
    </comment>
    <comment ref="A246" authorId="0" shapeId="0">
      <text>
        <r>
          <rPr>
            <sz val="10"/>
            <color rgb="FF000000"/>
            <rFont val="Arial"/>
            <family val="2"/>
            <charset val="1"/>
          </rPr>
          <t xml:space="preserve">Vermont to North Carolina Aves. </t>
        </r>
      </text>
    </comment>
    <comment ref="A251" authorId="0" shapeId="0">
      <text>
        <r>
          <rPr>
            <sz val="10"/>
            <color rgb="FF000000"/>
            <rFont val="Arial"/>
            <family val="2"/>
            <charset val="1"/>
          </rPr>
          <t xml:space="preserve">Jackson Ave - Fredericksburg Ave </t>
        </r>
      </text>
    </comment>
    <comment ref="A252" authorId="0" shapeId="0">
      <text>
        <r>
          <rPr>
            <sz val="10"/>
            <color rgb="FF000000"/>
            <rFont val="Arial"/>
            <family val="2"/>
            <charset val="1"/>
          </rPr>
          <t xml:space="preserve">Cambridge Ave to Melbourne Place </t>
        </r>
      </text>
    </comment>
    <comment ref="A257" authorId="0" shapeId="0">
      <text>
        <r>
          <rPr>
            <sz val="10"/>
            <color rgb="FF000000"/>
            <rFont val="Arial"/>
            <family val="2"/>
            <charset val="1"/>
          </rPr>
          <t>Fredericksburg St - Douglas Ave</t>
        </r>
      </text>
    </comment>
    <comment ref="A286" authorId="0" shapeId="0">
      <text>
        <r>
          <rPr>
            <sz val="10"/>
            <color rgb="FF000000"/>
            <rFont val="Arial"/>
            <family val="2"/>
            <charset val="1"/>
          </rPr>
          <t>Phase I Initial Construction</t>
        </r>
      </text>
    </comment>
    <comment ref="A287" authorId="0" shapeId="0">
      <text>
        <r>
          <rPr>
            <sz val="10"/>
            <color rgb="FF000000"/>
            <rFont val="Arial"/>
            <family val="2"/>
            <charset val="1"/>
          </rPr>
          <t>Phase II Initial Construction</t>
        </r>
      </text>
    </comment>
    <comment ref="A288" authorId="0" shapeId="0">
      <text>
        <r>
          <rPr>
            <sz val="10"/>
            <color rgb="FF000000"/>
            <rFont val="Arial"/>
            <family val="2"/>
            <charset val="1"/>
          </rPr>
          <t>Emergency Work</t>
        </r>
      </text>
    </comment>
    <comment ref="A289" authorId="0" shapeId="0">
      <text>
        <r>
          <rPr>
            <sz val="10"/>
            <color rgb="FF000000"/>
            <rFont val="Arial"/>
            <family val="2"/>
            <charset val="1"/>
          </rPr>
          <t>Phase I Renourishment</t>
        </r>
      </text>
    </comment>
    <comment ref="A290" authorId="0" shapeId="0">
      <text>
        <r>
          <rPr>
            <sz val="10"/>
            <color rgb="FF000000"/>
            <rFont val="Arial"/>
            <family val="2"/>
            <charset val="1"/>
          </rPr>
          <t>34th - 60th street</t>
        </r>
      </text>
    </comment>
    <comment ref="A291" authorId="0" shapeId="0">
      <text>
        <r>
          <rPr>
            <sz val="10"/>
            <color rgb="FF000000"/>
            <rFont val="Arial"/>
            <family val="2"/>
            <charset val="1"/>
          </rPr>
          <t>Phase II Renourishment</t>
        </r>
      </text>
    </comment>
    <comment ref="A292" authorId="0" shapeId="0">
      <text>
        <r>
          <rPr>
            <sz val="10"/>
            <color rgb="FF000000"/>
            <rFont val="Arial"/>
            <family val="2"/>
            <charset val="1"/>
          </rPr>
          <t>Second Renourishment</t>
        </r>
      </text>
    </comment>
    <comment ref="A293" authorId="0" shapeId="0">
      <text>
        <r>
          <rPr>
            <sz val="10"/>
            <color rgb="FF000000"/>
            <rFont val="Arial"/>
            <family val="2"/>
            <charset val="1"/>
          </rPr>
          <t>3rd Renourishment</t>
        </r>
      </text>
    </comment>
    <comment ref="A338" authorId="0" shapeId="0">
      <text>
        <r>
          <rPr>
            <sz val="10"/>
            <color rgb="FF000000"/>
            <rFont val="Arial"/>
            <family val="2"/>
            <charset val="1"/>
          </rPr>
          <t>8th to 30th</t>
        </r>
      </text>
    </comment>
    <comment ref="A339" authorId="0" shapeId="0">
      <text>
        <r>
          <rPr>
            <sz val="10"/>
            <color rgb="FF000000"/>
            <rFont val="Arial"/>
            <family val="2"/>
            <charset val="1"/>
          </rPr>
          <t>10th to 15th Street</t>
        </r>
      </text>
    </comment>
    <comment ref="A340" authorId="0" shapeId="0">
      <text>
        <r>
          <rPr>
            <sz val="10"/>
            <color rgb="FF000000"/>
            <rFont val="Arial"/>
            <family val="2"/>
            <charset val="1"/>
          </rPr>
          <t>9th to 18th street</t>
        </r>
      </text>
    </comment>
    <comment ref="A341" authorId="0" shapeId="0">
      <text>
        <r>
          <rPr>
            <sz val="10"/>
            <color rgb="FF000000"/>
            <rFont val="Arial"/>
            <family val="2"/>
            <charset val="1"/>
          </rPr>
          <t>18th to 26th street</t>
        </r>
      </text>
    </comment>
    <comment ref="A342" authorId="0" shapeId="0">
      <text>
        <r>
          <rPr>
            <sz val="10"/>
            <color rgb="FF000000"/>
            <rFont val="Arial"/>
            <family val="2"/>
            <charset val="1"/>
          </rPr>
          <t>14th to 30th Street</t>
        </r>
      </text>
    </comment>
    <comment ref="A343" authorId="0" shapeId="0">
      <text>
        <r>
          <rPr>
            <sz val="10"/>
            <color rgb="FF000000"/>
            <rFont val="Arial"/>
            <family val="2"/>
            <charset val="1"/>
          </rPr>
          <t>Eighth Street jetty down to the 25th Street beach</t>
        </r>
      </text>
    </comment>
    <comment ref="A351" authorId="0" shapeId="0">
      <text>
        <r>
          <rPr>
            <sz val="10"/>
            <color rgb="FF000000"/>
            <rFont val="Arial"/>
            <family val="2"/>
            <charset val="1"/>
          </rPr>
          <t>76th to 123rd St</t>
        </r>
      </text>
    </comment>
    <comment ref="A352" authorId="0" shapeId="0">
      <text>
        <r>
          <rPr>
            <sz val="10"/>
            <color rgb="FF000000"/>
            <rFont val="Arial"/>
            <family val="2"/>
            <charset val="1"/>
          </rPr>
          <t>98th to 111th St</t>
        </r>
      </text>
    </comment>
    <comment ref="A353" authorId="0" shapeId="0">
      <text>
        <r>
          <rPr>
            <sz val="10"/>
            <color rgb="FF000000"/>
            <rFont val="Arial"/>
            <family val="2"/>
            <charset val="1"/>
          </rPr>
          <t>"83rd to 123rd Street"</t>
        </r>
      </text>
    </comment>
    <comment ref="A360" authorId="0" shapeId="0">
      <text>
        <r>
          <rPr>
            <sz val="10"/>
            <color rgb="FF000000"/>
            <rFont val="Arial"/>
            <family val="2"/>
            <charset val="1"/>
          </rPr>
          <t xml:space="preserve">2nd Ave to Poplar Ave </t>
        </r>
      </text>
    </comment>
    <comment ref="A361" authorId="0" shapeId="0">
      <text>
        <r>
          <rPr>
            <sz val="10"/>
            <color rgb="FF000000"/>
            <rFont val="Arial"/>
            <family val="2"/>
            <charset val="1"/>
          </rPr>
          <t xml:space="preserve">2nd-5th Ave, 11th to Poplar Ave. </t>
        </r>
      </text>
    </comment>
    <comment ref="A374" authorId="0" shapeId="0">
      <text>
        <r>
          <rPr>
            <sz val="10"/>
            <color rgb="FF000000"/>
            <rFont val="Arial"/>
            <family val="2"/>
            <charset val="1"/>
          </rPr>
          <t>Coast Guard Station and NE Cape May</t>
        </r>
      </text>
    </comment>
    <comment ref="A375" authorId="0" shapeId="0">
      <text>
        <r>
          <rPr>
            <sz val="10"/>
            <color rgb="FF000000"/>
            <rFont val="Arial"/>
            <family val="2"/>
            <charset val="1"/>
          </rPr>
          <t>Trenton/Gurney Ave TO Wilm. Ave/Poverty Beach; Coast Guard Base Beach</t>
        </r>
      </text>
    </comment>
    <comment ref="A376" authorId="0" shapeId="0">
      <text>
        <r>
          <rPr>
            <sz val="10"/>
            <color rgb="FF000000"/>
            <rFont val="Arial"/>
            <family val="2"/>
            <charset val="1"/>
          </rPr>
          <t>3rd Ave terminal groin west to and Central Ave groin including 'Cell 6'</t>
        </r>
      </text>
    </comment>
    <comment ref="A379" authorId="0" shapeId="0">
      <text>
        <r>
          <rPr>
            <sz val="10"/>
            <color rgb="FF000000"/>
            <rFont val="Arial"/>
            <family val="2"/>
            <charset val="1"/>
          </rPr>
          <t>USCG Training Center beach between Cape May Inlet and Wilmington Avenue</t>
        </r>
      </text>
    </comment>
    <comment ref="A386" authorId="0" shapeId="0">
      <text>
        <r>
          <rPr>
            <sz val="10"/>
            <color rgb="FF000000"/>
            <rFont val="Arial"/>
            <family val="2"/>
            <charset val="1"/>
          </rPr>
          <t>BASE: STA -00+50 to 25+09 &amp; STA 67+82 to 85+97 with 5 Options</t>
        </r>
      </text>
    </comment>
    <comment ref="A390" authorId="0" shapeId="0">
      <text>
        <r>
          <rPr>
            <sz val="10"/>
            <color rgb="FF000000"/>
            <rFont val="Arial"/>
            <family val="2"/>
            <charset val="1"/>
          </rPr>
          <t>Alexander Ave to Lighthouse Ave, Cape May Point, NJ</t>
        </r>
      </text>
    </comment>
    <comment ref="A392" authorId="0" shapeId="0">
      <text>
        <r>
          <rPr>
            <sz val="10"/>
            <color rgb="FF000000"/>
            <rFont val="Arial"/>
            <family val="2"/>
            <charset val="1"/>
          </rPr>
          <t>Alexander Ave to Lighthouse Ave, Cape May Point, NJ</t>
        </r>
      </text>
    </comment>
    <comment ref="A419" authorId="0" shapeId="0">
      <text>
        <r>
          <rPr>
            <sz val="10"/>
            <color rgb="FF000000"/>
            <rFont val="Arial"/>
            <family val="2"/>
            <charset val="1"/>
          </rPr>
          <t xml:space="preserve">Fronting Cape May State Park </t>
        </r>
      </text>
    </comment>
    <comment ref="A420" authorId="0" shapeId="0">
      <text>
        <r>
          <rPr>
            <sz val="10"/>
            <color rgb="FF000000"/>
            <rFont val="Arial"/>
            <family val="2"/>
            <charset val="1"/>
          </rPr>
          <t xml:space="preserve">10th to 15th Street </t>
        </r>
      </text>
    </comment>
    <comment ref="A422" authorId="0" shapeId="0">
      <text>
        <r>
          <rPr>
            <sz val="10"/>
            <color rgb="FF000000"/>
            <rFont val="Arial"/>
            <family val="2"/>
            <charset val="1"/>
          </rPr>
          <t xml:space="preserve">10th to 15th Street </t>
        </r>
      </text>
    </comment>
    <comment ref="A423" authorId="0" shapeId="0">
      <text>
        <r>
          <rPr>
            <sz val="10"/>
            <color rgb="FF000000"/>
            <rFont val="Arial"/>
            <family val="2"/>
            <charset val="1"/>
          </rPr>
          <t xml:space="preserve">10th to 15th Street </t>
        </r>
      </text>
    </comment>
    <comment ref="A424" authorId="0" shapeId="0">
      <text>
        <r>
          <rPr>
            <sz val="10"/>
            <color rgb="FF000000"/>
            <rFont val="Arial"/>
            <family val="2"/>
            <charset val="1"/>
          </rPr>
          <t>Cape May Point State Park and Cape May Point groin cells 1, 4, and 5</t>
        </r>
      </text>
    </comment>
  </commentList>
</comments>
</file>

<file path=xl/sharedStrings.xml><?xml version="1.0" encoding="utf-8"?>
<sst xmlns="http://schemas.openxmlformats.org/spreadsheetml/2006/main" count="3948" uniqueCount="280">
  <si>
    <t>Beach Location</t>
  </si>
  <si>
    <t>State</t>
  </si>
  <si>
    <t>Year Completed</t>
  </si>
  <si>
    <t>Latitude</t>
  </si>
  <si>
    <t>Longitude</t>
  </si>
  <si>
    <t xml:space="preserve">Primary Funding Source </t>
  </si>
  <si>
    <t>Justification</t>
  </si>
  <si>
    <t>Length (ft)</t>
  </si>
  <si>
    <t>Volume (CY)</t>
  </si>
  <si>
    <t>Nominal Cost</t>
  </si>
  <si>
    <t>2016 CF$</t>
  </si>
  <si>
    <t>Cost in 2016</t>
  </si>
  <si>
    <t>Absecon Island: Atlantic City</t>
  </si>
  <si>
    <t>NJ</t>
  </si>
  <si>
    <t>Unknown</t>
  </si>
  <si>
    <t>Federal</t>
  </si>
  <si>
    <t>Shore Protection</t>
  </si>
  <si>
    <t>Emergency</t>
  </si>
  <si>
    <t>Absecon Island: Longport</t>
  </si>
  <si>
    <t>Navigation</t>
  </si>
  <si>
    <t>Absecon Island: Margate</t>
  </si>
  <si>
    <t>Absecon Island: Ventnor</t>
  </si>
  <si>
    <t>Atlantic Highlands</t>
  </si>
  <si>
    <t>Avalon</t>
  </si>
  <si>
    <t>Local</t>
  </si>
  <si>
    <t>Avon by the Sea</t>
  </si>
  <si>
    <t>Barnegat Light</t>
  </si>
  <si>
    <t>Bay Head</t>
  </si>
  <si>
    <t>Beesleys Point</t>
  </si>
  <si>
    <t>Belford</t>
  </si>
  <si>
    <t>Belmar</t>
  </si>
  <si>
    <t>Belmar/Avon</t>
  </si>
  <si>
    <t>Belmar/Spring Lake</t>
  </si>
  <si>
    <t>Bradley Beach</t>
  </si>
  <si>
    <t>Brigantine</t>
  </si>
  <si>
    <t>Emergency Dune</t>
  </si>
  <si>
    <t>Cape May</t>
  </si>
  <si>
    <t>Ecosystem Restoration</t>
  </si>
  <si>
    <t>Cape May Inlet to Lower Township</t>
  </si>
  <si>
    <t>Cliffwood Beach</t>
  </si>
  <si>
    <t>County</t>
  </si>
  <si>
    <t>East Keansburg</t>
  </si>
  <si>
    <t>Highlands</t>
  </si>
  <si>
    <t xml:space="preserve">Highlands </t>
  </si>
  <si>
    <t>Island Beach State Park</t>
  </si>
  <si>
    <t>Island Heights</t>
  </si>
  <si>
    <t>Keansburg</t>
  </si>
  <si>
    <t>Laurence Harbor</t>
  </si>
  <si>
    <t>Lavallette</t>
  </si>
  <si>
    <t>Leonardo</t>
  </si>
  <si>
    <t>Long Beach Island</t>
  </si>
  <si>
    <t>Long Beach Island: Barnegat Light</t>
  </si>
  <si>
    <t>Long Beach Island: Beach Haven</t>
  </si>
  <si>
    <t>Long Beach Island: Brant Beach</t>
  </si>
  <si>
    <t>Long Beach Island: Harvey Cedars</t>
  </si>
  <si>
    <t>Long Beach Island: Holgate</t>
  </si>
  <si>
    <t>Long Beach Island: Long Beach</t>
  </si>
  <si>
    <t>Long Beach Island: Long Beach to Barnegat Light</t>
  </si>
  <si>
    <t>Long Beach Island: Loveladies</t>
  </si>
  <si>
    <t>Long Beach Island: Loveladies &amp; Harvey Cedars</t>
  </si>
  <si>
    <t>Long Beach Island: Ship Bottom</t>
  </si>
  <si>
    <t>Long Beach Island: Surf City</t>
  </si>
  <si>
    <t>Long Branch</t>
  </si>
  <si>
    <t>Lower Cape May Meadows – Cape May Point</t>
  </si>
  <si>
    <t>Lower Township</t>
  </si>
  <si>
    <t>Ludlum Beach Island</t>
  </si>
  <si>
    <t>Ludlum Beach Island: Sea Isle City</t>
  </si>
  <si>
    <t>Ludlum Beach Island: Strathmere</t>
  </si>
  <si>
    <t>Monmouth Beach</t>
  </si>
  <si>
    <t>North Wildwood</t>
  </si>
  <si>
    <t>FEMA</t>
  </si>
  <si>
    <t>Oakwood Beach</t>
  </si>
  <si>
    <t>Ocean City</t>
  </si>
  <si>
    <t xml:space="preserve">Ocean City   </t>
  </si>
  <si>
    <t>Ocean Gate</t>
  </si>
  <si>
    <t>Pine Beach</t>
  </si>
  <si>
    <t>Port Monmouth</t>
  </si>
  <si>
    <t>Port Monmouth: Middletown Township</t>
  </si>
  <si>
    <t>Sandy Hook</t>
  </si>
  <si>
    <t>Sandy Hook to Barnegat Inlet: Asbury Park</t>
  </si>
  <si>
    <t>Sandy Hook to Barnegat Inlet: Asbury Park to Avon</t>
  </si>
  <si>
    <t>Sandy Hook to Barnegat Inlet: Belmar - Manasquan</t>
  </si>
  <si>
    <t>Sandy Hook to Barnegat Inlet: Long Branch</t>
  </si>
  <si>
    <t>Sandy Hook to Barnegat Inlet: Monmouth Beach</t>
  </si>
  <si>
    <t>Sandy Hook to Barnegat Inlet: Sea Bright</t>
  </si>
  <si>
    <t>Sandy Hook to Barnegat Inlet: Sea Bright to Monmouth</t>
  </si>
  <si>
    <t>Sea Bright</t>
  </si>
  <si>
    <t>Sea Bright to Monmouth</t>
  </si>
  <si>
    <t>Sea Girt</t>
  </si>
  <si>
    <t>Seaside Heights</t>
  </si>
  <si>
    <t>Seaside Park</t>
  </si>
  <si>
    <t>Shark River Inlet</t>
  </si>
  <si>
    <t>South Amboy</t>
  </si>
  <si>
    <t>South Seaside Park</t>
  </si>
  <si>
    <t>Spring Lake</t>
  </si>
  <si>
    <t>Stone Harbor</t>
  </si>
  <si>
    <t>Union Beach</t>
  </si>
  <si>
    <t>Wildwood</t>
  </si>
  <si>
    <t>Length (m)</t>
  </si>
  <si>
    <t>Volume (m^3)</t>
  </si>
  <si>
    <t>Flux (m^3/m/yr)</t>
  </si>
  <si>
    <t>SANDY HOOK AVERAGE</t>
  </si>
  <si>
    <t>HARVEY CEDARS</t>
  </si>
  <si>
    <t>BEACH HAVEN</t>
  </si>
  <si>
    <t>SURF CITY</t>
  </si>
  <si>
    <t>SHIP BOTTOM</t>
  </si>
  <si>
    <t>BRIGANTINE</t>
  </si>
  <si>
    <t>BARNEGAT LIGHT</t>
  </si>
  <si>
    <t>ATLANTIC CITY</t>
  </si>
  <si>
    <t>VENTNOR</t>
  </si>
  <si>
    <t>OCEAN CITY</t>
  </si>
  <si>
    <t>STRATHMERE</t>
  </si>
  <si>
    <t>SEA ISLE CITY</t>
  </si>
  <si>
    <t>AVALON</t>
  </si>
  <si>
    <t>STONE HARBOR</t>
  </si>
  <si>
    <t>CAPE MAY</t>
  </si>
  <si>
    <t>NORTH WILDWOOD</t>
  </si>
  <si>
    <t>CAPE MAY POINT</t>
  </si>
  <si>
    <t>SOUTH CAPE MAY</t>
  </si>
  <si>
    <t>WILDWOOD</t>
  </si>
  <si>
    <t>LONG BRANCH</t>
  </si>
  <si>
    <t>Manasquan</t>
  </si>
  <si>
    <t>LOVELADIES</t>
  </si>
  <si>
    <t>Longport</t>
  </si>
  <si>
    <t>BRANT BEACH</t>
  </si>
  <si>
    <t>MARGATE</t>
  </si>
  <si>
    <t>(m^3/m)</t>
  </si>
  <si>
    <t>($/m^3)</t>
  </si>
  <si>
    <t>LAURENCE HARBOR</t>
  </si>
  <si>
    <t>KEANSBURG</t>
  </si>
  <si>
    <t>MIDDLETOWN (E. KEANSBURG/BELFORD/PORT MONMOUTH/LEONARDO)</t>
  </si>
  <si>
    <t>ATLANTIC HIGHLANDS</t>
  </si>
  <si>
    <t>CAPE MAY COAST GUARD</t>
  </si>
  <si>
    <t>First Nourishment</t>
  </si>
  <si>
    <t>Last Nourishment</t>
  </si>
  <si>
    <t>#events</t>
  </si>
  <si>
    <t>SOUTH AMBOY</t>
  </si>
  <si>
    <t>CLIFFWOOD BEACH</t>
  </si>
  <si>
    <t>ISLAND BEACH STATE PARK</t>
  </si>
  <si>
    <t>NORTH CAPE MAY</t>
  </si>
  <si>
    <t>SOUTH AMBOY TO CLIFFWOOD BEACH</t>
  </si>
  <si>
    <t>HIGHLANDS</t>
  </si>
  <si>
    <t>BRADLEY BEACH</t>
  </si>
  <si>
    <t>ASBURY PARK</t>
  </si>
  <si>
    <t>AVON-BY-THE-SEA</t>
  </si>
  <si>
    <t>BELMAR</t>
  </si>
  <si>
    <t>SPRING LAKE</t>
  </si>
  <si>
    <t>SEA GIRT</t>
  </si>
  <si>
    <t>LAVALLETTE</t>
  </si>
  <si>
    <t>SEASIDE PARK</t>
  </si>
  <si>
    <t>MANASQUAN</t>
  </si>
  <si>
    <t>ELINSBORO TWP/SALEM</t>
  </si>
  <si>
    <t>HOLGATE</t>
  </si>
  <si>
    <t>LONGPORT</t>
  </si>
  <si>
    <t>LEONARDO</t>
  </si>
  <si>
    <t>PORT MONMOUTH</t>
  </si>
  <si>
    <t>BELFORD</t>
  </si>
  <si>
    <t>EAST KEANSBURG</t>
  </si>
  <si>
    <t>MONMOUTH BEACH</t>
  </si>
  <si>
    <t>SEA BRIGHT</t>
  </si>
  <si>
    <t>min</t>
  </si>
  <si>
    <t>max</t>
  </si>
  <si>
    <t>range</t>
  </si>
  <si>
    <t>median</t>
  </si>
  <si>
    <t>mean</t>
  </si>
  <si>
    <t>Manasquan to Barnegat Inlet</t>
  </si>
  <si>
    <t>Long Beach Island: ALL</t>
  </si>
  <si>
    <t>Seaside</t>
  </si>
  <si>
    <t>POINT PLEASANT</t>
  </si>
  <si>
    <t>BAY HEAD</t>
  </si>
  <si>
    <t>SEASIDE HEIGHTS</t>
  </si>
  <si>
    <t>Point Pleasant/Seaside</t>
  </si>
  <si>
    <t># events</t>
  </si>
  <si>
    <t>Alongshore Length (km)</t>
  </si>
  <si>
    <t>Alongshore Length (m)</t>
  </si>
  <si>
    <t>DEAL</t>
  </si>
  <si>
    <t>total beachfront wealth (from field lot size)</t>
  </si>
  <si>
    <t>wealth ratio</t>
  </si>
  <si>
    <t>sum</t>
  </si>
  <si>
    <t>$/CY</t>
  </si>
  <si>
    <t>$/m^3</t>
  </si>
  <si>
    <t>Community</t>
  </si>
  <si>
    <t>Deal</t>
  </si>
  <si>
    <t>Asbury Park</t>
  </si>
  <si>
    <t>Avon-by-the-Sea</t>
  </si>
  <si>
    <t>Point Pleasant Beach</t>
  </si>
  <si>
    <t>Loveladies</t>
  </si>
  <si>
    <t>Harvey Cedars</t>
  </si>
  <si>
    <t>Surf City</t>
  </si>
  <si>
    <t>Ship Bottom</t>
  </si>
  <si>
    <t>Brant Beach</t>
  </si>
  <si>
    <t>Beach Haven</t>
  </si>
  <si>
    <t>Holgate</t>
  </si>
  <si>
    <t>Atlantic City</t>
  </si>
  <si>
    <t>Ventnor City</t>
  </si>
  <si>
    <t>Margate City</t>
  </si>
  <si>
    <t>Strathmere</t>
  </si>
  <si>
    <t>Sea Isle City</t>
  </si>
  <si>
    <t>AVERAGES</t>
  </si>
  <si>
    <t>LEGEND</t>
  </si>
  <si>
    <t>Beachfront PV (psi=0.8)</t>
  </si>
  <si>
    <t>MB/SEB</t>
  </si>
  <si>
    <t>LB/MB</t>
  </si>
  <si>
    <t>LB/D</t>
  </si>
  <si>
    <t>D/AP</t>
  </si>
  <si>
    <t>BRD/AP</t>
  </si>
  <si>
    <t>BRD/AS</t>
  </si>
  <si>
    <t>B/AS</t>
  </si>
  <si>
    <t>SL/B</t>
  </si>
  <si>
    <t>SL/SG</t>
  </si>
  <si>
    <t>SG/M</t>
  </si>
  <si>
    <t>PPB/M</t>
  </si>
  <si>
    <t>LAV/SH</t>
  </si>
  <si>
    <t>SP/SH</t>
  </si>
  <si>
    <t>LOV/BL</t>
  </si>
  <si>
    <t>HC/LOV</t>
  </si>
  <si>
    <t>HC/SC</t>
  </si>
  <si>
    <t>SC/SHB</t>
  </si>
  <si>
    <t>BRT/SHB</t>
  </si>
  <si>
    <t>BRT/BH</t>
  </si>
  <si>
    <t>BH/H</t>
  </si>
  <si>
    <t>BRG/AC</t>
  </si>
  <si>
    <t>AC/VC</t>
  </si>
  <si>
    <t>MAR/VC</t>
  </si>
  <si>
    <t>MAR/LPT</t>
  </si>
  <si>
    <t>OC/LPT</t>
  </si>
  <si>
    <t>AVL/SIC</t>
  </si>
  <si>
    <t>AVL/STH</t>
  </si>
  <si>
    <t>STH/NW</t>
  </si>
  <si>
    <t>NW/W</t>
  </si>
  <si>
    <t>Nourishment Cross-section (m)</t>
  </si>
  <si>
    <t>Comm spp Vol</t>
  </si>
  <si>
    <t>CAPE MAY CITY</t>
  </si>
  <si>
    <t>Margate</t>
  </si>
  <si>
    <t>SOURCE</t>
  </si>
  <si>
    <t>ASBPA/PSDS</t>
  </si>
  <si>
    <t>Google Earth Pro</t>
  </si>
  <si>
    <t>Municipal Financial Documents</t>
  </si>
  <si>
    <t>CoastSat (S2/L5/L7/L8)</t>
  </si>
  <si>
    <t>Municipal Financial Documents/ASBPA/PSDS/Google Earth Pro/Census.gov</t>
  </si>
  <si>
    <t>Couplet Analysis</t>
  </si>
  <si>
    <t>Rotation Length (yrs)</t>
  </si>
  <si>
    <t>Average Total Bfrnt Wealth ($)</t>
  </si>
  <si>
    <t>Sand Cost ($/m^3)</t>
  </si>
  <si>
    <t>Last Nourishment (yr)</t>
  </si>
  <si>
    <t>First Nourishment (yr)</t>
  </si>
  <si>
    <t>Average Nourishment Volume (m^3)</t>
  </si>
  <si>
    <t>Average Nourishment Rate (m^3/yr)</t>
  </si>
  <si>
    <t>Average Beach Width (m)</t>
  </si>
  <si>
    <t>Average Nourishment Area (m^3/m)</t>
  </si>
  <si>
    <t>Average Cross-shore Nourishment Magnitude (m)</t>
  </si>
  <si>
    <t>Nourishment Flux (m^3/m/yr)</t>
  </si>
  <si>
    <t>Rotation length ratio (beachfront wealth)</t>
  </si>
  <si>
    <t>Beachfront Wealth ratio</t>
  </si>
  <si>
    <t>Couplet Labels</t>
  </si>
  <si>
    <t>Relative W1-W2 (beach width difference)</t>
  </si>
  <si>
    <t>Relative Flux1-Flux2 (Nourishment Flux Difference)</t>
  </si>
  <si>
    <t>Relative TBW1-TBW2 (Beachfront Wealth Difference)</t>
  </si>
  <si>
    <t>Rotation ratio (field lot size)</t>
  </si>
  <si>
    <t>Median Property Value</t>
  </si>
  <si>
    <t># rows (calc)</t>
  </si>
  <si>
    <t>Total Cross-sectional Wealth</t>
  </si>
  <si>
    <t>Beachfront PV (psi=0.2)</t>
  </si>
  <si>
    <t>Beachfront PV (psi=0.4)</t>
  </si>
  <si>
    <t>Beachfront PV (psi=0.5)</t>
  </si>
  <si>
    <t>Beachfront PV (psi=0.55)</t>
  </si>
  <si>
    <t>Beachfront PV (psi=0.6)</t>
  </si>
  <si>
    <t>Beachfront PV (psi=0.65)</t>
  </si>
  <si>
    <t>Total Beachfront Wealth</t>
  </si>
  <si>
    <t>Land Area (km^2)</t>
  </si>
  <si>
    <t>land area (m^2)</t>
  </si>
  <si>
    <t># housing units (2010)</t>
  </si>
  <si>
    <t>Avg Lot size (m^2) (housing units)</t>
  </si>
  <si>
    <t>Avg Lot width (m) (housing units)</t>
  </si>
  <si>
    <t>Cross-shore width (m)</t>
  </si>
  <si>
    <t>Avg # rows (housing units)</t>
  </si>
  <si>
    <t>Maximum</t>
  </si>
  <si>
    <t>Minimum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</si>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</sst>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\$#,##0"/>
    <numFmt numFmtId="165" formatCode="#,##0.###############"/>
    <numFmt numFmtId="168" formatCode="0.0"/>
  </numFmts>
  <fonts count="16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D9EAD3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0" fillId="6" borderId="1" applyNumberFormat="0" applyAlignment="0" applyProtection="0"/>
    <xf numFmtId="0" fontId="9" fillId="5" borderId="0" applyNumberFormat="0" applyBorder="0" applyAlignment="0" applyProtection="0"/>
    <xf numFmtId="0" fontId="11" fillId="7" borderId="0" applyNumberFormat="0" applyBorder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5" fillId="11" borderId="0" applyNumberFormat="0" applyBorder="0" applyAlignment="0" applyProtection="0"/>
  </cellStyleXfs>
  <cellXfs count="23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/>
    <xf numFmtId="0" fontId="3" fillId="3" borderId="0" xfId="0" applyFont="1" applyFill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5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wrapText="1"/>
    </xf>
    <xf numFmtId="0" fontId="6" fillId="0" borderId="0" xfId="0" applyFont="1" applyAlignment="1"/>
    <xf numFmtId="0" fontId="3" fillId="3" borderId="0" xfId="0" applyFont="1" applyFill="1" applyAlignment="1">
      <alignment vertical="center"/>
    </xf>
    <xf numFmtId="164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3" fontId="3" fillId="3" borderId="0" xfId="0" applyNumberFormat="1" applyFont="1" applyFill="1" applyAlignment="1">
      <alignment horizontal="right" vertical="center"/>
    </xf>
    <xf numFmtId="165" fontId="5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right" wrapText="1"/>
    </xf>
    <xf numFmtId="164" fontId="3" fillId="3" borderId="0" xfId="0" applyNumberFormat="1" applyFont="1" applyFill="1" applyAlignment="1">
      <alignment horizontal="right" wrapText="1"/>
    </xf>
    <xf numFmtId="164" fontId="4" fillId="0" borderId="0" xfId="0" applyNumberFormat="1" applyFont="1" applyAlignment="1">
      <alignment wrapText="1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 wrapText="1"/>
    </xf>
    <xf numFmtId="0" fontId="3" fillId="4" borderId="0" xfId="0" applyFont="1" applyFill="1" applyAlignment="1">
      <alignment horizontal="right" vertical="center"/>
    </xf>
    <xf numFmtId="3" fontId="3" fillId="4" borderId="0" xfId="0" applyNumberFormat="1" applyFont="1" applyFill="1" applyAlignment="1">
      <alignment horizontal="right" wrapText="1"/>
    </xf>
    <xf numFmtId="164" fontId="3" fillId="4" borderId="0" xfId="0" applyNumberFormat="1" applyFont="1" applyFill="1" applyAlignment="1">
      <alignment horizontal="right" vertical="center"/>
    </xf>
    <xf numFmtId="165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wrapText="1"/>
    </xf>
    <xf numFmtId="164" fontId="3" fillId="3" borderId="0" xfId="0" applyNumberFormat="1" applyFont="1" applyFill="1" applyAlignment="1">
      <alignment horizontal="right" vertical="center"/>
    </xf>
    <xf numFmtId="0" fontId="3" fillId="4" borderId="0" xfId="0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3" fontId="4" fillId="0" borderId="0" xfId="0" applyNumberFormat="1" applyFont="1" applyAlignment="1">
      <alignment wrapText="1"/>
    </xf>
    <xf numFmtId="0" fontId="3" fillId="3" borderId="0" xfId="0" applyFont="1" applyFill="1" applyAlignment="1">
      <alignment horizontal="right" wrapText="1"/>
    </xf>
    <xf numFmtId="0" fontId="4" fillId="2" borderId="0" xfId="0" applyFont="1" applyFill="1" applyAlignment="1">
      <alignment wrapText="1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right" wrapText="1"/>
    </xf>
    <xf numFmtId="164" fontId="3" fillId="4" borderId="0" xfId="0" applyNumberFormat="1" applyFont="1" applyFill="1" applyAlignment="1">
      <alignment horizontal="right" wrapText="1"/>
    </xf>
    <xf numFmtId="3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4" fillId="4" borderId="0" xfId="0" applyFont="1" applyFill="1" applyAlignment="1">
      <alignment horizontal="center" wrapText="1"/>
    </xf>
    <xf numFmtId="3" fontId="4" fillId="4" borderId="0" xfId="0" applyNumberFormat="1" applyFont="1" applyFill="1" applyAlignment="1">
      <alignment horizontal="right" wrapText="1"/>
    </xf>
    <xf numFmtId="3" fontId="4" fillId="4" borderId="0" xfId="0" applyNumberFormat="1" applyFont="1" applyFill="1" applyAlignment="1">
      <alignment wrapText="1"/>
    </xf>
    <xf numFmtId="164" fontId="4" fillId="4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horizontal="right" wrapText="1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right" wrapText="1"/>
    </xf>
    <xf numFmtId="165" fontId="8" fillId="0" borderId="0" xfId="0" applyNumberFormat="1" applyFont="1" applyAlignment="1">
      <alignment horizontal="center"/>
    </xf>
    <xf numFmtId="0" fontId="3" fillId="3" borderId="0" xfId="0" applyFont="1" applyFill="1" applyAlignment="1">
      <alignment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wrapText="1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/>
    </xf>
    <xf numFmtId="3" fontId="4" fillId="2" borderId="0" xfId="0" applyNumberFormat="1" applyFont="1" applyFill="1" applyAlignment="1">
      <alignment horizontal="right" wrapText="1"/>
    </xf>
    <xf numFmtId="164" fontId="3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3" fontId="3" fillId="2" borderId="0" xfId="0" applyNumberFormat="1" applyFont="1" applyFill="1" applyAlignment="1">
      <alignment horizontal="right" wrapText="1"/>
    </xf>
    <xf numFmtId="3" fontId="3" fillId="2" borderId="0" xfId="0" applyNumberFormat="1" applyFont="1" applyFill="1" applyAlignment="1">
      <alignment horizontal="right"/>
    </xf>
    <xf numFmtId="0" fontId="9" fillId="5" borderId="0" xfId="2" applyAlignment="1">
      <alignment vertical="center"/>
    </xf>
    <xf numFmtId="0" fontId="9" fillId="5" borderId="0" xfId="2" applyAlignment="1">
      <alignment horizontal="center"/>
    </xf>
    <xf numFmtId="0" fontId="9" fillId="5" borderId="0" xfId="2" applyAlignment="1">
      <alignment horizontal="right" wrapText="1"/>
    </xf>
    <xf numFmtId="0" fontId="9" fillId="5" borderId="0" xfId="2" applyAlignment="1">
      <alignment horizontal="right"/>
    </xf>
    <xf numFmtId="0" fontId="9" fillId="5" borderId="0" xfId="2" applyAlignment="1">
      <alignment horizontal="right" vertical="center"/>
    </xf>
    <xf numFmtId="3" fontId="9" fillId="5" borderId="0" xfId="2" applyNumberFormat="1" applyAlignment="1">
      <alignment horizontal="right" wrapText="1"/>
    </xf>
    <xf numFmtId="3" fontId="9" fillId="5" borderId="0" xfId="2" applyNumberFormat="1" applyAlignment="1">
      <alignment horizontal="right" vertical="center"/>
    </xf>
    <xf numFmtId="3" fontId="9" fillId="5" borderId="0" xfId="2" applyNumberFormat="1" applyAlignment="1">
      <alignment horizontal="right"/>
    </xf>
    <xf numFmtId="164" fontId="9" fillId="5" borderId="0" xfId="2" applyNumberFormat="1" applyAlignment="1">
      <alignment horizontal="right" wrapText="1"/>
    </xf>
    <xf numFmtId="165" fontId="9" fillId="5" borderId="0" xfId="2" applyNumberFormat="1" applyAlignment="1">
      <alignment horizontal="center"/>
    </xf>
    <xf numFmtId="164" fontId="9" fillId="5" borderId="0" xfId="2" applyNumberFormat="1" applyAlignment="1">
      <alignment horizontal="right"/>
    </xf>
    <xf numFmtId="0" fontId="9" fillId="5" borderId="0" xfId="2"/>
    <xf numFmtId="0" fontId="9" fillId="5" borderId="0" xfId="2" applyAlignment="1">
      <alignment wrapText="1"/>
    </xf>
    <xf numFmtId="0" fontId="10" fillId="6" borderId="1" xfId="1" applyAlignment="1">
      <alignment vertical="center"/>
    </xf>
    <xf numFmtId="0" fontId="10" fillId="6" borderId="1" xfId="1" applyAlignment="1">
      <alignment horizontal="center"/>
    </xf>
    <xf numFmtId="0" fontId="10" fillId="6" borderId="1" xfId="1" applyAlignment="1">
      <alignment horizontal="right" wrapText="1"/>
    </xf>
    <xf numFmtId="0" fontId="10" fillId="6" borderId="1" xfId="1" applyAlignment="1">
      <alignment horizontal="right"/>
    </xf>
    <xf numFmtId="3" fontId="10" fillId="6" borderId="1" xfId="1" applyNumberFormat="1" applyAlignment="1">
      <alignment horizontal="right" wrapText="1"/>
    </xf>
    <xf numFmtId="3" fontId="10" fillId="6" borderId="1" xfId="1" applyNumberFormat="1" applyAlignment="1">
      <alignment horizontal="right" vertical="center"/>
    </xf>
    <xf numFmtId="3" fontId="10" fillId="6" borderId="1" xfId="1" applyNumberFormat="1" applyAlignment="1">
      <alignment horizontal="right"/>
    </xf>
    <xf numFmtId="164" fontId="10" fillId="6" borderId="1" xfId="1" applyNumberFormat="1" applyAlignment="1">
      <alignment horizontal="right"/>
    </xf>
    <xf numFmtId="165" fontId="10" fillId="6" borderId="1" xfId="1" applyNumberFormat="1" applyAlignment="1">
      <alignment horizontal="center"/>
    </xf>
    <xf numFmtId="0" fontId="10" fillId="6" borderId="1" xfId="1"/>
    <xf numFmtId="0" fontId="10" fillId="6" borderId="1" xfId="1" applyAlignment="1">
      <alignment wrapText="1"/>
    </xf>
    <xf numFmtId="0" fontId="10" fillId="6" borderId="1" xfId="1" applyAlignment="1">
      <alignment horizontal="center" wrapText="1"/>
    </xf>
    <xf numFmtId="164" fontId="10" fillId="6" borderId="1" xfId="1" applyNumberFormat="1" applyAlignment="1">
      <alignment horizontal="right" vertical="center"/>
    </xf>
    <xf numFmtId="0" fontId="10" fillId="6" borderId="1" xfId="1" applyAlignment="1">
      <alignment horizontal="center" vertical="center"/>
    </xf>
    <xf numFmtId="0" fontId="10" fillId="6" borderId="1" xfId="1" applyAlignment="1">
      <alignment horizontal="right" vertical="center"/>
    </xf>
    <xf numFmtId="164" fontId="10" fillId="6" borderId="1" xfId="1" applyNumberFormat="1" applyAlignment="1">
      <alignment horizontal="right" wrapText="1"/>
    </xf>
    <xf numFmtId="164" fontId="10" fillId="6" borderId="1" xfId="1" applyNumberFormat="1" applyAlignment="1">
      <alignment horizontal="right" vertical="center" wrapText="1"/>
    </xf>
    <xf numFmtId="164" fontId="10" fillId="6" borderId="1" xfId="1" applyNumberFormat="1" applyAlignment="1">
      <alignment wrapText="1"/>
    </xf>
    <xf numFmtId="0" fontId="10" fillId="6" borderId="1" xfId="1" applyAlignment="1">
      <alignment vertical="center" wrapText="1"/>
    </xf>
    <xf numFmtId="3" fontId="10" fillId="6" borderId="1" xfId="1" applyNumberFormat="1"/>
    <xf numFmtId="2" fontId="10" fillId="6" borderId="1" xfId="1" applyNumberFormat="1"/>
    <xf numFmtId="0" fontId="11" fillId="7" borderId="1" xfId="3" applyBorder="1" applyAlignment="1">
      <alignment horizontal="center"/>
    </xf>
    <xf numFmtId="0" fontId="12" fillId="0" borderId="0" xfId="0" applyFont="1"/>
    <xf numFmtId="2" fontId="0" fillId="0" borderId="0" xfId="0" applyNumberFormat="1"/>
    <xf numFmtId="2" fontId="0" fillId="0" borderId="3" xfId="0" applyNumberFormat="1" applyBorder="1"/>
    <xf numFmtId="0" fontId="0" fillId="0" borderId="0" xfId="0"/>
    <xf numFmtId="164" fontId="10" fillId="6" borderId="1" xfId="1" applyNumberFormat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/>
    <xf numFmtId="0" fontId="12" fillId="0" borderId="0" xfId="0" applyFont="1" applyAlignment="1">
      <alignment wrapText="1"/>
    </xf>
    <xf numFmtId="2" fontId="0" fillId="0" borderId="4" xfId="0" applyNumberFormat="1" applyBorder="1"/>
    <xf numFmtId="0" fontId="0" fillId="0" borderId="4" xfId="0" applyBorder="1"/>
    <xf numFmtId="0" fontId="0" fillId="0" borderId="5" xfId="0" applyBorder="1"/>
    <xf numFmtId="44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6" fontId="0" fillId="0" borderId="0" xfId="0" applyNumberFormat="1" applyAlignment="1">
      <alignment vertical="center" wrapText="1"/>
    </xf>
    <xf numFmtId="0" fontId="9" fillId="5" borderId="1" xfId="2" applyBorder="1" applyAlignment="1">
      <alignment vertical="center"/>
    </xf>
    <xf numFmtId="0" fontId="9" fillId="5" borderId="1" xfId="2" applyBorder="1" applyAlignment="1">
      <alignment horizontal="center"/>
    </xf>
    <xf numFmtId="0" fontId="9" fillId="5" borderId="1" xfId="2" applyBorder="1" applyAlignment="1">
      <alignment horizontal="center" vertical="center"/>
    </xf>
    <xf numFmtId="0" fontId="9" fillId="5" borderId="1" xfId="2" applyBorder="1" applyAlignment="1">
      <alignment horizontal="right" wrapText="1"/>
    </xf>
    <xf numFmtId="0" fontId="9" fillId="5" borderId="1" xfId="2" applyBorder="1" applyAlignment="1">
      <alignment horizontal="right" vertical="center"/>
    </xf>
    <xf numFmtId="3" fontId="9" fillId="5" borderId="1" xfId="2" applyNumberFormat="1" applyBorder="1" applyAlignment="1">
      <alignment horizontal="right" wrapText="1"/>
    </xf>
    <xf numFmtId="3" fontId="9" fillId="5" borderId="1" xfId="2" applyNumberFormat="1" applyBorder="1" applyAlignment="1">
      <alignment horizontal="right" vertical="center"/>
    </xf>
    <xf numFmtId="164" fontId="9" fillId="5" borderId="1" xfId="2" applyNumberFormat="1" applyBorder="1" applyAlignment="1">
      <alignment horizontal="right" wrapText="1"/>
    </xf>
    <xf numFmtId="165" fontId="9" fillId="5" borderId="1" xfId="2" applyNumberFormat="1" applyBorder="1" applyAlignment="1">
      <alignment horizontal="center"/>
    </xf>
    <xf numFmtId="164" fontId="9" fillId="5" borderId="1" xfId="2" applyNumberFormat="1" applyBorder="1" applyAlignment="1">
      <alignment horizontal="right"/>
    </xf>
    <xf numFmtId="0" fontId="9" fillId="5" borderId="1" xfId="2" applyBorder="1"/>
    <xf numFmtId="0" fontId="9" fillId="5" borderId="1" xfId="2" applyBorder="1" applyAlignment="1">
      <alignment wrapText="1"/>
    </xf>
    <xf numFmtId="0" fontId="9" fillId="5" borderId="1" xfId="2" applyBorder="1" applyAlignment="1">
      <alignment horizontal="right"/>
    </xf>
    <xf numFmtId="3" fontId="9" fillId="5" borderId="1" xfId="2" applyNumberFormat="1" applyBorder="1" applyAlignment="1">
      <alignment horizontal="right"/>
    </xf>
    <xf numFmtId="0" fontId="9" fillId="5" borderId="1" xfId="2" applyBorder="1" applyAlignment="1"/>
    <xf numFmtId="0" fontId="9" fillId="5" borderId="0" xfId="2" applyAlignment="1">
      <alignment horizontal="center" vertical="center"/>
    </xf>
    <xf numFmtId="0" fontId="9" fillId="5" borderId="0" xfId="2" applyAlignment="1"/>
    <xf numFmtId="44" fontId="9" fillId="5" borderId="1" xfId="2" applyNumberFormat="1" applyBorder="1"/>
    <xf numFmtId="3" fontId="10" fillId="6" borderId="1" xfId="1" applyNumberFormat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2" fontId="0" fillId="0" borderId="6" xfId="0" applyNumberFormat="1" applyBorder="1"/>
    <xf numFmtId="164" fontId="0" fillId="0" borderId="0" xfId="0" applyNumberFormat="1"/>
    <xf numFmtId="3" fontId="0" fillId="0" borderId="0" xfId="0" applyNumberFormat="1"/>
    <xf numFmtId="165" fontId="3" fillId="0" borderId="0" xfId="0" applyNumberFormat="1" applyFont="1" applyFill="1" applyBorder="1" applyAlignment="1">
      <alignment horizontal="center"/>
    </xf>
    <xf numFmtId="0" fontId="14" fillId="0" borderId="0" xfId="0" applyFont="1"/>
    <xf numFmtId="1" fontId="0" fillId="0" borderId="0" xfId="0" applyNumberFormat="1"/>
    <xf numFmtId="4" fontId="3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/>
    </xf>
    <xf numFmtId="0" fontId="10" fillId="6" borderId="0" xfId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4" fontId="3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2" fontId="0" fillId="0" borderId="0" xfId="0" applyNumberFormat="1" applyBorder="1"/>
    <xf numFmtId="0" fontId="0" fillId="0" borderId="0" xfId="0" applyAlignment="1">
      <alignment horizontal="center" wrapText="1"/>
    </xf>
    <xf numFmtId="168" fontId="10" fillId="6" borderId="1" xfId="1" applyNumberFormat="1"/>
    <xf numFmtId="4" fontId="3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/>
    </xf>
    <xf numFmtId="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4" fontId="3" fillId="3" borderId="0" xfId="0" applyNumberFormat="1" applyFont="1" applyFill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" fontId="3" fillId="0" borderId="0" xfId="0" applyNumberFormat="1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/>
    <xf numFmtId="0" fontId="0" fillId="12" borderId="4" xfId="0" applyFill="1" applyBorder="1"/>
    <xf numFmtId="0" fontId="0" fillId="12" borderId="0" xfId="0" applyFill="1" applyBorder="1"/>
    <xf numFmtId="0" fontId="0" fillId="8" borderId="0" xfId="0" applyFill="1"/>
    <xf numFmtId="0" fontId="0" fillId="8" borderId="4" xfId="0" applyFill="1" applyBorder="1"/>
    <xf numFmtId="0" fontId="0" fillId="8" borderId="0" xfId="0" applyFill="1" applyBorder="1"/>
    <xf numFmtId="0" fontId="2" fillId="8" borderId="0" xfId="0" applyFont="1" applyFill="1" applyBorder="1" applyAlignment="1">
      <alignment wrapText="1"/>
    </xf>
    <xf numFmtId="0" fontId="0" fillId="8" borderId="3" xfId="0" applyFill="1" applyBorder="1"/>
    <xf numFmtId="0" fontId="0" fillId="8" borderId="0" xfId="0" applyFill="1" applyAlignment="1">
      <alignment wrapText="1"/>
    </xf>
    <xf numFmtId="0" fontId="0" fillId="0" borderId="0" xfId="0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9" xfId="0" applyBorder="1"/>
    <xf numFmtId="2" fontId="0" fillId="0" borderId="10" xfId="0" applyNumberFormat="1" applyBorder="1"/>
    <xf numFmtId="168" fontId="0" fillId="0" borderId="0" xfId="0" applyNumberFormat="1"/>
    <xf numFmtId="0" fontId="0" fillId="0" borderId="7" xfId="0" applyBorder="1"/>
    <xf numFmtId="2" fontId="0" fillId="0" borderId="7" xfId="0" applyNumberFormat="1" applyBorder="1"/>
    <xf numFmtId="0" fontId="13" fillId="0" borderId="11" xfId="0" applyFon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7" xfId="0" applyNumberFormat="1" applyBorder="1"/>
    <xf numFmtId="0" fontId="0" fillId="0" borderId="11" xfId="0" applyBorder="1"/>
    <xf numFmtId="3" fontId="0" fillId="0" borderId="5" xfId="0" applyNumberFormat="1" applyBorder="1"/>
    <xf numFmtId="0" fontId="0" fillId="0" borderId="14" xfId="0" applyBorder="1" applyAlignment="1">
      <alignment horizontal="center"/>
    </xf>
    <xf numFmtId="1" fontId="0" fillId="0" borderId="0" xfId="0" applyNumberFormat="1" applyBorder="1" applyAlignment="1">
      <alignment horizontal="right"/>
    </xf>
    <xf numFmtId="0" fontId="1" fillId="10" borderId="15" xfId="5" applyBorder="1"/>
    <xf numFmtId="0" fontId="15" fillId="11" borderId="15" xfId="6" applyBorder="1"/>
    <xf numFmtId="0" fontId="15" fillId="9" borderId="16" xfId="4" applyBorder="1"/>
  </cellXfs>
  <cellStyles count="7">
    <cellStyle name="20% - Accent6" xfId="5" builtinId="50"/>
    <cellStyle name="60% - Accent6" xfId="6" builtinId="52"/>
    <cellStyle name="Accent6" xfId="4" builtinId="49"/>
    <cellStyle name="Bad" xfId="2" builtinId="27"/>
    <cellStyle name="Calculation" xfId="1" builtinId="22"/>
    <cellStyle name="Neutral" xfId="3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11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10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10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10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10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10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9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9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205740</xdr:colOff>
      <xdr:row>43</xdr:row>
      <xdr:rowOff>60960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30"/>
  <sheetViews>
    <sheetView zoomScaleNormal="100" workbookViewId="0">
      <pane ySplit="1" topLeftCell="A2" activePane="bottomLeft" state="frozen"/>
      <selection pane="bottomLeft" activeCell="A62" sqref="A62"/>
    </sheetView>
  </sheetViews>
  <sheetFormatPr defaultRowHeight="12.5" x14ac:dyDescent="0.25"/>
  <cols>
    <col min="1" max="1" width="35.81640625" customWidth="1"/>
    <col min="6" max="6" width="18.6328125"/>
    <col min="7" max="7" width="18.54296875"/>
    <col min="9" max="9" width="11.08984375" bestFit="1" customWidth="1"/>
    <col min="12" max="12" width="17.81640625" customWidth="1"/>
  </cols>
  <sheetData>
    <row r="1" spans="1:34" ht="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34" x14ac:dyDescent="0.25">
      <c r="A2" s="2" t="s">
        <v>92</v>
      </c>
      <c r="B2" s="3" t="s">
        <v>13</v>
      </c>
      <c r="C2" s="3">
        <v>1956</v>
      </c>
      <c r="D2" s="4">
        <v>40.471224999999997</v>
      </c>
      <c r="E2" s="4">
        <v>-74.266250999999997</v>
      </c>
      <c r="F2" s="14" t="s">
        <v>15</v>
      </c>
      <c r="G2" s="5" t="s">
        <v>14</v>
      </c>
      <c r="H2" s="6">
        <v>0</v>
      </c>
      <c r="I2" s="7">
        <v>195000</v>
      </c>
      <c r="J2" s="13">
        <v>0</v>
      </c>
      <c r="K2" s="9">
        <v>0.114</v>
      </c>
      <c r="L2" s="8">
        <f t="shared" ref="L2:L33" si="0">+J2/K2</f>
        <v>0</v>
      </c>
      <c r="Q2" s="10"/>
      <c r="R2" s="10"/>
      <c r="S2" s="10"/>
      <c r="T2" s="10"/>
      <c r="U2" s="10"/>
      <c r="V2" s="10"/>
      <c r="W2" s="10"/>
      <c r="X2" s="10"/>
      <c r="Y2" s="10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2" t="s">
        <v>47</v>
      </c>
      <c r="B3" s="3" t="s">
        <v>13</v>
      </c>
      <c r="C3" s="3">
        <v>1957</v>
      </c>
      <c r="D3" s="4">
        <v>40.458506999999997</v>
      </c>
      <c r="E3" s="4">
        <v>-74.245519999999999</v>
      </c>
      <c r="F3" s="14" t="s">
        <v>1</v>
      </c>
      <c r="G3" s="5" t="s">
        <v>14</v>
      </c>
      <c r="H3" s="6">
        <v>0</v>
      </c>
      <c r="I3" s="7">
        <v>438000</v>
      </c>
      <c r="J3" s="13">
        <v>0</v>
      </c>
      <c r="K3" s="9">
        <v>0.11799999999999999</v>
      </c>
      <c r="L3" s="8">
        <f t="shared" si="0"/>
        <v>0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x14ac:dyDescent="0.25">
      <c r="A4" s="2" t="s">
        <v>47</v>
      </c>
      <c r="B4" s="3" t="s">
        <v>13</v>
      </c>
      <c r="C4" s="11">
        <v>1972</v>
      </c>
      <c r="D4" s="4">
        <v>40.458506999999997</v>
      </c>
      <c r="E4" s="4">
        <v>-74.245519999999999</v>
      </c>
      <c r="F4" s="5" t="s">
        <v>15</v>
      </c>
      <c r="G4" s="5" t="s">
        <v>14</v>
      </c>
      <c r="H4" s="6">
        <v>0</v>
      </c>
      <c r="I4" s="12">
        <v>2100000</v>
      </c>
      <c r="J4" s="13">
        <v>0</v>
      </c>
      <c r="K4" s="9">
        <v>0.17499999999999999</v>
      </c>
      <c r="L4" s="8">
        <f t="shared" si="0"/>
        <v>0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x14ac:dyDescent="0.25">
      <c r="A5" s="2" t="s">
        <v>47</v>
      </c>
      <c r="B5" s="3" t="s">
        <v>13</v>
      </c>
      <c r="C5" s="3">
        <v>1982</v>
      </c>
      <c r="D5" s="4">
        <v>40.458506999999997</v>
      </c>
      <c r="E5" s="4">
        <v>-74.245519999999999</v>
      </c>
      <c r="F5" s="14" t="s">
        <v>1</v>
      </c>
      <c r="G5" s="5" t="s">
        <v>14</v>
      </c>
      <c r="H5" s="6">
        <v>0</v>
      </c>
      <c r="I5" s="7">
        <v>67000</v>
      </c>
      <c r="J5" s="13">
        <v>0</v>
      </c>
      <c r="K5" s="9">
        <v>0.40100000000000002</v>
      </c>
      <c r="L5" s="8">
        <f t="shared" si="0"/>
        <v>0</v>
      </c>
      <c r="Q5" s="10"/>
      <c r="R5" s="10"/>
      <c r="S5" s="10"/>
      <c r="T5" s="10"/>
      <c r="U5" s="10"/>
      <c r="V5" s="10"/>
      <c r="W5" s="10"/>
      <c r="X5" s="10"/>
      <c r="Y5" s="10"/>
      <c r="Z5" s="16"/>
      <c r="AA5" s="16"/>
      <c r="AB5" s="16"/>
      <c r="AC5" s="16"/>
      <c r="AD5" s="16"/>
      <c r="AE5" s="16"/>
      <c r="AF5" s="16"/>
      <c r="AG5" s="16"/>
      <c r="AH5" s="16"/>
    </row>
    <row r="6" spans="1:34" x14ac:dyDescent="0.25">
      <c r="A6" s="2" t="s">
        <v>47</v>
      </c>
      <c r="B6" s="3" t="s">
        <v>13</v>
      </c>
      <c r="C6" s="3">
        <v>1993</v>
      </c>
      <c r="D6" s="4">
        <v>40.458506999999997</v>
      </c>
      <c r="E6" s="4">
        <v>-74.245519999999999</v>
      </c>
      <c r="F6" s="14" t="s">
        <v>1</v>
      </c>
      <c r="G6" s="5" t="s">
        <v>14</v>
      </c>
      <c r="H6" s="6">
        <v>0</v>
      </c>
      <c r="I6" s="7">
        <v>39000</v>
      </c>
      <c r="J6" s="13">
        <v>0</v>
      </c>
      <c r="K6" s="9">
        <v>0.60599999999999998</v>
      </c>
      <c r="L6" s="8">
        <f t="shared" si="0"/>
        <v>0</v>
      </c>
      <c r="Q6" s="10"/>
      <c r="R6" s="10"/>
      <c r="S6" s="10"/>
      <c r="T6" s="10"/>
      <c r="U6" s="10"/>
      <c r="V6" s="10"/>
      <c r="W6" s="10"/>
      <c r="X6" s="10"/>
      <c r="Y6" s="10"/>
      <c r="Z6" s="16"/>
      <c r="AA6" s="16"/>
      <c r="AB6" s="16"/>
      <c r="AC6" s="16"/>
      <c r="AD6" s="16"/>
      <c r="AE6" s="16"/>
      <c r="AF6" s="16"/>
      <c r="AG6" s="16"/>
      <c r="AH6" s="16"/>
    </row>
    <row r="7" spans="1:34" x14ac:dyDescent="0.25">
      <c r="A7" s="2" t="s">
        <v>78</v>
      </c>
      <c r="B7" s="3" t="s">
        <v>13</v>
      </c>
      <c r="C7" s="3">
        <v>1945</v>
      </c>
      <c r="D7" s="4">
        <v>40.455046000000003</v>
      </c>
      <c r="E7" s="4">
        <v>-73.989171999999996</v>
      </c>
      <c r="F7" s="5" t="s">
        <v>14</v>
      </c>
      <c r="G7" s="5" t="s">
        <v>14</v>
      </c>
      <c r="H7" s="6">
        <v>0</v>
      </c>
      <c r="I7" s="7">
        <v>400000</v>
      </c>
      <c r="J7" s="13">
        <v>0</v>
      </c>
      <c r="K7" s="9">
        <v>7.5999999999999998E-2</v>
      </c>
      <c r="L7" s="8">
        <f t="shared" si="0"/>
        <v>0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25">
      <c r="A8" s="2" t="s">
        <v>78</v>
      </c>
      <c r="B8" s="3" t="s">
        <v>13</v>
      </c>
      <c r="C8" s="3">
        <v>1975</v>
      </c>
      <c r="D8" s="4">
        <v>40.455046000000003</v>
      </c>
      <c r="E8" s="4">
        <v>-73.989171999999996</v>
      </c>
      <c r="F8" s="14" t="s">
        <v>15</v>
      </c>
      <c r="G8" s="14" t="s">
        <v>16</v>
      </c>
      <c r="H8" s="6">
        <v>0</v>
      </c>
      <c r="I8" s="7">
        <v>191447</v>
      </c>
      <c r="J8" s="8">
        <v>412601</v>
      </c>
      <c r="K8" s="9">
        <v>0.22600000000000001</v>
      </c>
      <c r="L8" s="8">
        <f t="shared" si="0"/>
        <v>1825668.1415929203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25">
      <c r="A9" s="2" t="s">
        <v>78</v>
      </c>
      <c r="B9" s="3" t="s">
        <v>13</v>
      </c>
      <c r="C9" s="3">
        <v>1976</v>
      </c>
      <c r="D9" s="4">
        <v>40.455046000000003</v>
      </c>
      <c r="E9" s="4">
        <v>-73.989171999999996</v>
      </c>
      <c r="F9" s="14" t="s">
        <v>15</v>
      </c>
      <c r="G9" s="14" t="s">
        <v>16</v>
      </c>
      <c r="H9" s="7">
        <v>3168</v>
      </c>
      <c r="I9" s="7">
        <v>198276</v>
      </c>
      <c r="J9" s="8">
        <v>480150</v>
      </c>
      <c r="K9" s="9">
        <v>0.23899999999999999</v>
      </c>
      <c r="L9" s="8">
        <f t="shared" si="0"/>
        <v>2008995.8158995816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25">
      <c r="A10" s="2" t="s">
        <v>78</v>
      </c>
      <c r="B10" s="3" t="s">
        <v>13</v>
      </c>
      <c r="C10" s="3">
        <v>1977</v>
      </c>
      <c r="D10" s="4">
        <v>40.455046000000003</v>
      </c>
      <c r="E10" s="4">
        <v>-73.989171999999996</v>
      </c>
      <c r="F10" s="14" t="s">
        <v>1</v>
      </c>
      <c r="G10" s="5" t="s">
        <v>14</v>
      </c>
      <c r="H10" s="7">
        <v>1056</v>
      </c>
      <c r="I10" s="7">
        <v>196193</v>
      </c>
      <c r="J10" s="8">
        <v>770500</v>
      </c>
      <c r="K10" s="9">
        <v>0.254</v>
      </c>
      <c r="L10" s="8">
        <f t="shared" si="0"/>
        <v>3033464.5669291336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25">
      <c r="A11" s="2" t="s">
        <v>78</v>
      </c>
      <c r="B11" s="3" t="s">
        <v>13</v>
      </c>
      <c r="C11" s="3">
        <v>1978</v>
      </c>
      <c r="D11" s="4">
        <v>40.455046000000003</v>
      </c>
      <c r="E11" s="4">
        <v>-73.989171999999996</v>
      </c>
      <c r="F11" s="5" t="s">
        <v>14</v>
      </c>
      <c r="G11" s="5" t="s">
        <v>14</v>
      </c>
      <c r="H11" s="6">
        <v>0</v>
      </c>
      <c r="I11" s="7">
        <v>98096</v>
      </c>
      <c r="J11" s="13">
        <v>0</v>
      </c>
      <c r="K11" s="9">
        <v>0.27400000000000002</v>
      </c>
      <c r="L11" s="8">
        <f t="shared" si="0"/>
        <v>0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25">
      <c r="A12" s="2" t="s">
        <v>78</v>
      </c>
      <c r="B12" s="3" t="s">
        <v>13</v>
      </c>
      <c r="C12" s="3">
        <v>1983</v>
      </c>
      <c r="D12" s="4">
        <v>40.455046000000003</v>
      </c>
      <c r="E12" s="4">
        <v>-73.989171999999996</v>
      </c>
      <c r="F12" s="14" t="s">
        <v>15</v>
      </c>
      <c r="G12" s="14" t="s">
        <v>16</v>
      </c>
      <c r="H12" s="6">
        <v>0</v>
      </c>
      <c r="I12" s="7">
        <v>2370766</v>
      </c>
      <c r="J12" s="8">
        <v>10236161</v>
      </c>
      <c r="K12" s="9">
        <v>0.41799999999999998</v>
      </c>
      <c r="L12" s="8">
        <f t="shared" si="0"/>
        <v>24488423.444976076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25">
      <c r="A13" s="2" t="s">
        <v>78</v>
      </c>
      <c r="B13" s="3" t="s">
        <v>13</v>
      </c>
      <c r="C13" s="3">
        <v>1984</v>
      </c>
      <c r="D13" s="4">
        <v>40.455046000000003</v>
      </c>
      <c r="E13" s="4">
        <v>-73.989171999999996</v>
      </c>
      <c r="F13" s="14" t="s">
        <v>15</v>
      </c>
      <c r="G13" s="14" t="s">
        <v>16</v>
      </c>
      <c r="H13" s="6">
        <v>0</v>
      </c>
      <c r="I13" s="7">
        <v>800000</v>
      </c>
      <c r="J13" s="8">
        <v>3968965</v>
      </c>
      <c r="K13" s="9">
        <v>0.437</v>
      </c>
      <c r="L13" s="8">
        <f t="shared" si="0"/>
        <v>9082299.7711670473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25">
      <c r="A14" s="2" t="s">
        <v>78</v>
      </c>
      <c r="B14" s="3" t="s">
        <v>13</v>
      </c>
      <c r="C14" s="3">
        <v>1990</v>
      </c>
      <c r="D14" s="4">
        <v>40.455046000000003</v>
      </c>
      <c r="E14" s="4">
        <v>-73.989171999999996</v>
      </c>
      <c r="F14" s="14" t="s">
        <v>15</v>
      </c>
      <c r="G14" s="14" t="s">
        <v>16</v>
      </c>
      <c r="H14" s="6">
        <v>0</v>
      </c>
      <c r="I14" s="7">
        <v>3302273</v>
      </c>
      <c r="J14" s="8">
        <v>1350000</v>
      </c>
      <c r="K14" s="9">
        <v>0.57099999999999995</v>
      </c>
      <c r="L14" s="8">
        <f t="shared" si="0"/>
        <v>2364273.204903678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25">
      <c r="A15" s="2" t="s">
        <v>78</v>
      </c>
      <c r="B15" s="3" t="s">
        <v>13</v>
      </c>
      <c r="C15" s="3">
        <v>1998</v>
      </c>
      <c r="D15" s="4">
        <v>40.455046000000003</v>
      </c>
      <c r="E15" s="4">
        <v>-73.989171999999996</v>
      </c>
      <c r="F15" s="5" t="s">
        <v>14</v>
      </c>
      <c r="G15" s="5" t="s">
        <v>14</v>
      </c>
      <c r="H15" s="7">
        <v>4400</v>
      </c>
      <c r="I15" s="7">
        <v>287749</v>
      </c>
      <c r="J15" s="13">
        <v>0</v>
      </c>
      <c r="K15" s="9">
        <v>0.68500000000000005</v>
      </c>
      <c r="L15" s="8">
        <f t="shared" si="0"/>
        <v>0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x14ac:dyDescent="0.25">
      <c r="A16" s="2" t="s">
        <v>78</v>
      </c>
      <c r="B16" s="3" t="s">
        <v>13</v>
      </c>
      <c r="C16" s="11">
        <v>2002</v>
      </c>
      <c r="D16" s="4">
        <v>40.455046000000003</v>
      </c>
      <c r="E16" s="4">
        <v>-73.989171999999996</v>
      </c>
      <c r="F16" s="23" t="s">
        <v>15</v>
      </c>
      <c r="G16" s="18" t="s">
        <v>16</v>
      </c>
      <c r="H16" s="6">
        <v>0</v>
      </c>
      <c r="I16" s="12">
        <v>252434</v>
      </c>
      <c r="J16" s="13">
        <v>0</v>
      </c>
      <c r="K16" s="9">
        <v>0.75800000000000001</v>
      </c>
      <c r="L16" s="8">
        <f t="shared" si="0"/>
        <v>0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x14ac:dyDescent="0.25">
      <c r="A17" s="2" t="s">
        <v>39</v>
      </c>
      <c r="B17" s="3" t="s">
        <v>13</v>
      </c>
      <c r="C17" s="3">
        <v>1953</v>
      </c>
      <c r="D17" s="53">
        <v>40.452824999999997</v>
      </c>
      <c r="E17" s="53">
        <v>-74.223819000000006</v>
      </c>
      <c r="F17" s="14" t="s">
        <v>15</v>
      </c>
      <c r="G17" s="5" t="s">
        <v>14</v>
      </c>
      <c r="H17" s="6">
        <v>0</v>
      </c>
      <c r="I17" s="7">
        <v>6153000</v>
      </c>
      <c r="J17" s="13">
        <v>0</v>
      </c>
      <c r="K17" s="20">
        <v>0.112</v>
      </c>
      <c r="L17" s="8">
        <f t="shared" si="0"/>
        <v>0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25">
      <c r="A18" s="2" t="s">
        <v>39</v>
      </c>
      <c r="B18" s="3" t="s">
        <v>13</v>
      </c>
      <c r="C18" s="3">
        <v>1956</v>
      </c>
      <c r="D18" s="53">
        <v>40.452824999999997</v>
      </c>
      <c r="E18" s="53">
        <v>-74.223819000000006</v>
      </c>
      <c r="F18" s="14" t="s">
        <v>40</v>
      </c>
      <c r="G18" s="5" t="s">
        <v>14</v>
      </c>
      <c r="H18" s="6">
        <v>0</v>
      </c>
      <c r="I18" s="7">
        <v>583000</v>
      </c>
      <c r="J18" s="13">
        <v>0</v>
      </c>
      <c r="K18" s="9">
        <v>0.114</v>
      </c>
      <c r="L18" s="8">
        <f t="shared" si="0"/>
        <v>0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25">
      <c r="A19" s="2" t="s">
        <v>46</v>
      </c>
      <c r="B19" s="3" t="s">
        <v>13</v>
      </c>
      <c r="C19" s="3">
        <v>1940</v>
      </c>
      <c r="D19" s="4">
        <v>40.449103000000001</v>
      </c>
      <c r="E19" s="4">
        <v>-74.121922999999995</v>
      </c>
      <c r="F19" s="14" t="s">
        <v>24</v>
      </c>
      <c r="G19" s="5" t="s">
        <v>14</v>
      </c>
      <c r="H19" s="6">
        <v>0</v>
      </c>
      <c r="I19" s="7">
        <v>11000</v>
      </c>
      <c r="J19" s="13">
        <v>0</v>
      </c>
      <c r="K19" s="20">
        <v>5.8999999999999997E-2</v>
      </c>
      <c r="L19" s="8">
        <f t="shared" si="0"/>
        <v>0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x14ac:dyDescent="0.25">
      <c r="A20" s="2" t="s">
        <v>46</v>
      </c>
      <c r="B20" s="3" t="s">
        <v>13</v>
      </c>
      <c r="C20" s="3">
        <v>1954</v>
      </c>
      <c r="D20" s="4">
        <v>40.449103000000001</v>
      </c>
      <c r="E20" s="4">
        <v>-74.121922999999995</v>
      </c>
      <c r="F20" s="14" t="s">
        <v>1</v>
      </c>
      <c r="G20" s="5" t="s">
        <v>14</v>
      </c>
      <c r="H20" s="6">
        <v>0</v>
      </c>
      <c r="I20" s="7">
        <v>307000</v>
      </c>
      <c r="J20" s="13">
        <v>0</v>
      </c>
      <c r="K20" s="9">
        <v>0.113</v>
      </c>
      <c r="L20" s="8">
        <f t="shared" si="0"/>
        <v>0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25">
      <c r="A21" s="2" t="s">
        <v>46</v>
      </c>
      <c r="B21" s="3" t="s">
        <v>13</v>
      </c>
      <c r="C21" s="3">
        <v>1954</v>
      </c>
      <c r="D21" s="4">
        <v>40.449103000000001</v>
      </c>
      <c r="E21" s="4">
        <v>-74.121922999999995</v>
      </c>
      <c r="F21" s="5" t="s">
        <v>14</v>
      </c>
      <c r="G21" s="5" t="s">
        <v>14</v>
      </c>
      <c r="H21" s="6">
        <v>0</v>
      </c>
      <c r="I21" s="7">
        <v>58502</v>
      </c>
      <c r="J21" s="13">
        <v>0</v>
      </c>
      <c r="K21" s="9">
        <v>0.113</v>
      </c>
      <c r="L21" s="8">
        <f t="shared" si="0"/>
        <v>0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25">
      <c r="A22" s="10" t="s">
        <v>46</v>
      </c>
      <c r="B22" s="54" t="s">
        <v>13</v>
      </c>
      <c r="C22" s="54">
        <v>1962</v>
      </c>
      <c r="D22" s="4">
        <v>40.449103000000001</v>
      </c>
      <c r="E22" s="4">
        <v>-74.121922999999995</v>
      </c>
      <c r="F22" s="23" t="s">
        <v>15</v>
      </c>
      <c r="G22" s="18" t="s">
        <v>17</v>
      </c>
      <c r="H22" s="31">
        <v>3100</v>
      </c>
      <c r="I22" s="55">
        <v>75000</v>
      </c>
      <c r="J22" s="30">
        <v>58000</v>
      </c>
      <c r="K22" s="9">
        <v>0.127</v>
      </c>
      <c r="L22" s="8">
        <f t="shared" si="0"/>
        <v>456692.91338582675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x14ac:dyDescent="0.25">
      <c r="A23" s="2" t="s">
        <v>46</v>
      </c>
      <c r="B23" s="3" t="s">
        <v>13</v>
      </c>
      <c r="C23" s="3">
        <v>1966</v>
      </c>
      <c r="D23" s="4">
        <v>40.449103000000001</v>
      </c>
      <c r="E23" s="4">
        <v>-74.121922999999995</v>
      </c>
      <c r="F23" s="14" t="s">
        <v>1</v>
      </c>
      <c r="G23" s="5" t="s">
        <v>14</v>
      </c>
      <c r="H23" s="6">
        <v>0</v>
      </c>
      <c r="I23" s="7">
        <v>10000</v>
      </c>
      <c r="J23" s="13">
        <v>0</v>
      </c>
      <c r="K23" s="9">
        <v>0.13600000000000001</v>
      </c>
      <c r="L23" s="8">
        <f t="shared" si="0"/>
        <v>0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x14ac:dyDescent="0.25">
      <c r="A24" s="2" t="s">
        <v>46</v>
      </c>
      <c r="B24" s="3" t="s">
        <v>13</v>
      </c>
      <c r="C24" s="3">
        <v>1983</v>
      </c>
      <c r="D24" s="4">
        <v>40.449103000000001</v>
      </c>
      <c r="E24" s="4">
        <v>-74.121922999999995</v>
      </c>
      <c r="F24" s="5" t="s">
        <v>14</v>
      </c>
      <c r="G24" s="5" t="s">
        <v>14</v>
      </c>
      <c r="H24" s="6">
        <v>0</v>
      </c>
      <c r="I24" s="7">
        <v>181564</v>
      </c>
      <c r="J24" s="13">
        <v>0</v>
      </c>
      <c r="K24" s="9">
        <v>0.41799999999999998</v>
      </c>
      <c r="L24" s="8">
        <f t="shared" si="0"/>
        <v>0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x14ac:dyDescent="0.25">
      <c r="A25" s="2" t="s">
        <v>46</v>
      </c>
      <c r="B25" s="3" t="s">
        <v>13</v>
      </c>
      <c r="C25" s="3">
        <v>1985</v>
      </c>
      <c r="D25" s="4">
        <v>40.449103000000001</v>
      </c>
      <c r="E25" s="4">
        <v>-74.121922999999995</v>
      </c>
      <c r="F25" s="5" t="s">
        <v>14</v>
      </c>
      <c r="G25" s="5" t="s">
        <v>14</v>
      </c>
      <c r="H25" s="6">
        <v>0</v>
      </c>
      <c r="I25" s="7">
        <v>103000</v>
      </c>
      <c r="J25" s="13">
        <v>0</v>
      </c>
      <c r="K25" s="9">
        <v>0.45200000000000001</v>
      </c>
      <c r="L25" s="8">
        <f t="shared" si="0"/>
        <v>0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25">
      <c r="A26" s="2" t="s">
        <v>46</v>
      </c>
      <c r="B26" s="3" t="s">
        <v>13</v>
      </c>
      <c r="C26" s="3">
        <v>1988</v>
      </c>
      <c r="D26" s="4">
        <v>40.449103000000001</v>
      </c>
      <c r="E26" s="4">
        <v>-74.121922999999995</v>
      </c>
      <c r="F26" s="14" t="s">
        <v>1</v>
      </c>
      <c r="G26" s="5" t="s">
        <v>14</v>
      </c>
      <c r="H26" s="6">
        <v>0</v>
      </c>
      <c r="I26" s="7">
        <v>36000</v>
      </c>
      <c r="J26" s="13">
        <v>0</v>
      </c>
      <c r="K26" s="9">
        <v>0.498</v>
      </c>
      <c r="L26" s="8">
        <f t="shared" si="0"/>
        <v>0</v>
      </c>
      <c r="Q26" s="10"/>
      <c r="R26" s="10"/>
      <c r="S26" s="10"/>
      <c r="T26" s="10"/>
      <c r="U26" s="10"/>
      <c r="V26" s="10"/>
      <c r="W26" s="10"/>
      <c r="X26" s="10"/>
      <c r="Y26" s="10"/>
      <c r="Z26" s="16"/>
      <c r="AA26" s="16"/>
      <c r="AB26" s="16"/>
      <c r="AC26" s="16"/>
      <c r="AD26" s="16"/>
      <c r="AE26" s="16"/>
      <c r="AF26" s="16"/>
      <c r="AG26" s="16"/>
      <c r="AH26" s="16"/>
    </row>
    <row r="27" spans="1:34" x14ac:dyDescent="0.25">
      <c r="A27" s="2" t="s">
        <v>46</v>
      </c>
      <c r="B27" s="3" t="s">
        <v>13</v>
      </c>
      <c r="C27" s="3">
        <v>1995</v>
      </c>
      <c r="D27" s="4">
        <v>40.449103000000001</v>
      </c>
      <c r="E27" s="4">
        <v>-74.121922999999995</v>
      </c>
      <c r="F27" s="14" t="s">
        <v>1</v>
      </c>
      <c r="G27" s="5" t="s">
        <v>14</v>
      </c>
      <c r="H27" s="6">
        <v>0</v>
      </c>
      <c r="I27" s="7">
        <v>18000</v>
      </c>
      <c r="J27" s="13">
        <v>0</v>
      </c>
      <c r="K27" s="20">
        <v>0.64100000000000001</v>
      </c>
      <c r="L27" s="8">
        <f t="shared" si="0"/>
        <v>0</v>
      </c>
      <c r="Q27" s="10"/>
      <c r="R27" s="10"/>
      <c r="S27" s="10"/>
      <c r="T27" s="10"/>
      <c r="U27" s="10"/>
      <c r="V27" s="10"/>
      <c r="W27" s="10"/>
      <c r="X27" s="10"/>
      <c r="Y27" s="10"/>
      <c r="Z27" s="16"/>
      <c r="AA27" s="16"/>
      <c r="AB27" s="16"/>
      <c r="AC27" s="16"/>
      <c r="AD27" s="16"/>
      <c r="AE27" s="16"/>
      <c r="AF27" s="16"/>
      <c r="AG27" s="16"/>
      <c r="AH27" s="16"/>
    </row>
    <row r="28" spans="1:34" x14ac:dyDescent="0.25">
      <c r="A28" s="2" t="s">
        <v>46</v>
      </c>
      <c r="B28" s="3" t="s">
        <v>13</v>
      </c>
      <c r="C28" s="3">
        <v>1997</v>
      </c>
      <c r="D28" s="4">
        <v>40.449103000000001</v>
      </c>
      <c r="E28" s="4">
        <v>-74.121922999999995</v>
      </c>
      <c r="F28" s="14" t="s">
        <v>1</v>
      </c>
      <c r="G28" s="5" t="s">
        <v>14</v>
      </c>
      <c r="H28" s="6">
        <v>0</v>
      </c>
      <c r="I28" s="7">
        <v>75000</v>
      </c>
      <c r="J28" s="13">
        <v>0</v>
      </c>
      <c r="K28" s="9">
        <v>0.67600000000000005</v>
      </c>
      <c r="L28" s="8">
        <f t="shared" si="0"/>
        <v>0</v>
      </c>
      <c r="Q28" s="10"/>
      <c r="R28" s="10"/>
      <c r="S28" s="10"/>
      <c r="T28" s="10"/>
      <c r="U28" s="10"/>
      <c r="V28" s="10"/>
      <c r="W28" s="10"/>
      <c r="X28" s="10"/>
      <c r="Y28" s="10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x14ac:dyDescent="0.25">
      <c r="A29" s="29" t="s">
        <v>46</v>
      </c>
      <c r="B29" s="3" t="s">
        <v>13</v>
      </c>
      <c r="C29" s="21">
        <v>2003</v>
      </c>
      <c r="D29" s="4">
        <v>40.449103000000001</v>
      </c>
      <c r="E29" s="4">
        <v>-74.121922999999995</v>
      </c>
      <c r="F29" s="5" t="s">
        <v>1</v>
      </c>
      <c r="G29" s="18" t="s">
        <v>19</v>
      </c>
      <c r="H29" s="24">
        <v>0</v>
      </c>
      <c r="I29" s="25">
        <v>30000</v>
      </c>
      <c r="J29" s="26">
        <v>0</v>
      </c>
      <c r="K29" s="20">
        <v>0.77500000000000002</v>
      </c>
      <c r="L29" s="8">
        <f t="shared" si="0"/>
        <v>0</v>
      </c>
      <c r="Q29" s="10"/>
      <c r="R29" s="10"/>
      <c r="S29" s="10"/>
      <c r="T29" s="10"/>
      <c r="U29" s="10"/>
      <c r="V29" s="10"/>
      <c r="W29" s="10"/>
      <c r="X29" s="10"/>
      <c r="Y29" s="10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ht="14.4" customHeight="1" x14ac:dyDescent="0.25">
      <c r="A30" s="51" t="s">
        <v>46</v>
      </c>
      <c r="B30" s="54" t="s">
        <v>13</v>
      </c>
      <c r="C30" s="54">
        <v>2014</v>
      </c>
      <c r="D30" s="4">
        <v>40.449103000000001</v>
      </c>
      <c r="E30" s="4">
        <v>-74.121922999999995</v>
      </c>
      <c r="F30" s="14" t="s">
        <v>15</v>
      </c>
      <c r="G30" s="14" t="s">
        <v>17</v>
      </c>
      <c r="H30" s="31"/>
      <c r="I30" s="31">
        <v>875000</v>
      </c>
      <c r="J30" s="13">
        <v>36900000</v>
      </c>
      <c r="K30" s="9">
        <v>0.99399999999999999</v>
      </c>
      <c r="L30" s="8">
        <f t="shared" si="0"/>
        <v>37122736.41851107</v>
      </c>
      <c r="Q30" s="10"/>
      <c r="R30" s="10"/>
      <c r="S30" s="10"/>
      <c r="T30" s="10"/>
      <c r="U30" s="10"/>
      <c r="V30" s="10"/>
      <c r="W30" s="10"/>
      <c r="X30" s="10"/>
      <c r="Y30" s="10"/>
      <c r="Z30" s="16"/>
      <c r="AA30" s="16"/>
      <c r="AB30" s="16"/>
      <c r="AC30" s="16"/>
      <c r="AD30" s="16"/>
      <c r="AE30" s="16"/>
      <c r="AF30" s="16"/>
      <c r="AG30" s="16"/>
      <c r="AH30" s="16"/>
    </row>
    <row r="31" spans="1:34" x14ac:dyDescent="0.25">
      <c r="A31" s="10" t="s">
        <v>41</v>
      </c>
      <c r="B31" s="54" t="s">
        <v>13</v>
      </c>
      <c r="C31" s="54">
        <v>1962</v>
      </c>
      <c r="D31" s="4">
        <v>40.445379000000003</v>
      </c>
      <c r="E31" s="4">
        <v>-74.113133000000005</v>
      </c>
      <c r="F31" s="23" t="s">
        <v>15</v>
      </c>
      <c r="G31" s="18" t="s">
        <v>17</v>
      </c>
      <c r="H31" s="31">
        <v>1400</v>
      </c>
      <c r="I31" s="55">
        <v>35000</v>
      </c>
      <c r="J31" s="30">
        <v>46400</v>
      </c>
      <c r="K31" s="9">
        <v>0.127</v>
      </c>
      <c r="L31" s="8">
        <f t="shared" si="0"/>
        <v>365354.33070866141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25">
      <c r="A32" s="2" t="s">
        <v>41</v>
      </c>
      <c r="B32" s="3" t="s">
        <v>13</v>
      </c>
      <c r="C32" s="3">
        <v>1967</v>
      </c>
      <c r="D32" s="4">
        <v>40.445379000000003</v>
      </c>
      <c r="E32" s="4">
        <v>-74.113133000000005</v>
      </c>
      <c r="F32" s="5" t="s">
        <v>14</v>
      </c>
      <c r="G32" s="5" t="s">
        <v>14</v>
      </c>
      <c r="H32" s="6">
        <v>0</v>
      </c>
      <c r="I32" s="7">
        <v>450000</v>
      </c>
      <c r="J32" s="13">
        <v>0</v>
      </c>
      <c r="K32" s="9">
        <v>0.14000000000000001</v>
      </c>
      <c r="L32" s="8">
        <f t="shared" si="0"/>
        <v>0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25">
      <c r="A33" s="2" t="s">
        <v>41</v>
      </c>
      <c r="B33" s="3" t="s">
        <v>13</v>
      </c>
      <c r="C33" s="3">
        <v>1967</v>
      </c>
      <c r="D33" s="4">
        <v>40.445379000000003</v>
      </c>
      <c r="E33" s="4">
        <v>-74.113133000000005</v>
      </c>
      <c r="F33" s="5" t="s">
        <v>14</v>
      </c>
      <c r="G33" s="5" t="s">
        <v>14</v>
      </c>
      <c r="H33" s="6">
        <v>0</v>
      </c>
      <c r="I33" s="7">
        <v>70000</v>
      </c>
      <c r="J33" s="13">
        <v>0</v>
      </c>
      <c r="K33" s="9">
        <v>0.14000000000000001</v>
      </c>
      <c r="L33" s="8">
        <f t="shared" si="0"/>
        <v>0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13.25" customHeight="1" x14ac:dyDescent="0.35">
      <c r="A34" s="2" t="s">
        <v>22</v>
      </c>
      <c r="B34" s="3" t="s">
        <v>13</v>
      </c>
      <c r="C34" s="3">
        <v>1994</v>
      </c>
      <c r="D34" s="4">
        <v>40.441558000000001</v>
      </c>
      <c r="E34" s="4">
        <v>-74.098799</v>
      </c>
      <c r="F34" s="14" t="s">
        <v>1</v>
      </c>
      <c r="G34" s="5" t="s">
        <v>14</v>
      </c>
      <c r="H34" s="6">
        <v>0</v>
      </c>
      <c r="I34" s="7">
        <v>24000</v>
      </c>
      <c r="J34" s="13">
        <v>0</v>
      </c>
      <c r="K34" s="9">
        <v>0.621</v>
      </c>
      <c r="L34" s="8">
        <f t="shared" ref="L34:L65" si="1">+J34/K34</f>
        <v>0</v>
      </c>
      <c r="Q34" s="10"/>
      <c r="R34" s="10"/>
      <c r="S34" s="10"/>
      <c r="T34" s="10"/>
      <c r="U34" s="10"/>
      <c r="V34" s="10"/>
      <c r="W34" s="10"/>
      <c r="X34" s="10"/>
      <c r="Y34" s="10"/>
      <c r="Z34" s="28"/>
      <c r="AA34" s="28"/>
      <c r="AB34" s="28"/>
      <c r="AC34" s="28"/>
      <c r="AD34" s="28"/>
      <c r="AE34" s="28"/>
      <c r="AF34" s="28"/>
      <c r="AG34" s="28"/>
      <c r="AH34" s="16"/>
    </row>
    <row r="35" spans="1:34" x14ac:dyDescent="0.25">
      <c r="A35" s="2" t="s">
        <v>22</v>
      </c>
      <c r="B35" s="3" t="s">
        <v>13</v>
      </c>
      <c r="C35" s="3">
        <v>1999</v>
      </c>
      <c r="D35" s="4">
        <v>40.441558000000001</v>
      </c>
      <c r="E35" s="4">
        <v>-74.098799</v>
      </c>
      <c r="F35" s="14" t="s">
        <v>1</v>
      </c>
      <c r="G35" s="5" t="s">
        <v>14</v>
      </c>
      <c r="H35" s="6">
        <v>0</v>
      </c>
      <c r="I35" s="7">
        <v>40000</v>
      </c>
      <c r="J35" s="13">
        <v>0</v>
      </c>
      <c r="K35" s="9">
        <v>0.69899999999999995</v>
      </c>
      <c r="L35" s="8">
        <f t="shared" si="1"/>
        <v>0</v>
      </c>
      <c r="Q35" s="10"/>
      <c r="R35" s="10"/>
      <c r="S35" s="10"/>
      <c r="T35" s="10"/>
      <c r="U35" s="10"/>
      <c r="V35" s="10"/>
      <c r="W35" s="10"/>
      <c r="X35" s="10"/>
      <c r="Y35" s="10"/>
      <c r="Z35" s="17"/>
      <c r="AA35" s="17"/>
      <c r="AB35" s="17"/>
      <c r="AC35" s="16"/>
      <c r="AD35" s="16"/>
      <c r="AE35" s="16"/>
      <c r="AF35" s="16"/>
      <c r="AG35" s="16"/>
      <c r="AH35" s="16"/>
    </row>
    <row r="36" spans="1:34" x14ac:dyDescent="0.25">
      <c r="A36" s="2" t="s">
        <v>22</v>
      </c>
      <c r="B36" s="3" t="s">
        <v>13</v>
      </c>
      <c r="C36" s="3">
        <v>2002</v>
      </c>
      <c r="D36" s="4">
        <v>40.441558000000001</v>
      </c>
      <c r="E36" s="4">
        <v>-74.098799</v>
      </c>
      <c r="F36" s="5" t="s">
        <v>1</v>
      </c>
      <c r="G36" s="5" t="s">
        <v>14</v>
      </c>
      <c r="H36" s="6">
        <v>0</v>
      </c>
      <c r="I36" s="7">
        <v>22000</v>
      </c>
      <c r="J36" s="13">
        <v>0</v>
      </c>
      <c r="K36" s="9">
        <v>0.75800000000000001</v>
      </c>
      <c r="L36" s="8">
        <f t="shared" si="1"/>
        <v>0</v>
      </c>
      <c r="Q36" s="10"/>
      <c r="R36" s="10"/>
      <c r="S36" s="10"/>
      <c r="T36" s="10"/>
      <c r="U36" s="10"/>
      <c r="V36" s="10"/>
      <c r="W36" s="10"/>
      <c r="X36" s="10"/>
      <c r="Y36" s="10"/>
      <c r="Z36" s="17"/>
      <c r="AA36" s="17"/>
      <c r="AB36" s="17"/>
      <c r="AC36" s="16"/>
      <c r="AD36" s="16"/>
      <c r="AE36" s="16"/>
      <c r="AF36" s="16"/>
      <c r="AG36" s="16"/>
      <c r="AH36" s="16"/>
    </row>
    <row r="37" spans="1:34" ht="14" x14ac:dyDescent="0.3">
      <c r="A37" s="69" t="s">
        <v>77</v>
      </c>
      <c r="B37" s="21" t="s">
        <v>13</v>
      </c>
      <c r="C37" s="70">
        <v>2015</v>
      </c>
      <c r="D37" s="71">
        <v>40.440385999999997</v>
      </c>
      <c r="E37" s="69">
        <v>-74.095040999999995</v>
      </c>
      <c r="F37" s="56" t="s">
        <v>15</v>
      </c>
      <c r="G37" s="56" t="s">
        <v>17</v>
      </c>
      <c r="H37" s="24">
        <v>3500</v>
      </c>
      <c r="I37" s="24">
        <v>391000</v>
      </c>
      <c r="J37" s="36">
        <v>17731250</v>
      </c>
      <c r="K37" s="72">
        <v>0.995</v>
      </c>
      <c r="L37" s="8">
        <f t="shared" si="1"/>
        <v>17820351.758793969</v>
      </c>
      <c r="Q37" s="73"/>
      <c r="R37" s="73"/>
      <c r="S37" s="73"/>
      <c r="T37" s="27"/>
      <c r="U37" s="27"/>
      <c r="V37" s="27"/>
      <c r="W37" s="27"/>
      <c r="X37" s="27"/>
      <c r="Y37" s="27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25">
      <c r="A38" s="2" t="s">
        <v>76</v>
      </c>
      <c r="B38" s="3" t="s">
        <v>13</v>
      </c>
      <c r="C38" s="3">
        <v>1945</v>
      </c>
      <c r="D38" s="4">
        <v>40.439500000000002</v>
      </c>
      <c r="E38" s="4">
        <v>-74.093714000000006</v>
      </c>
      <c r="F38" s="14" t="s">
        <v>1</v>
      </c>
      <c r="G38" s="5" t="s">
        <v>14</v>
      </c>
      <c r="H38" s="6">
        <v>0</v>
      </c>
      <c r="I38" s="7">
        <v>54000</v>
      </c>
      <c r="J38" s="13">
        <v>0</v>
      </c>
      <c r="K38" s="9">
        <v>7.5999999999999998E-2</v>
      </c>
      <c r="L38" s="8">
        <f t="shared" si="1"/>
        <v>0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25">
      <c r="A39" s="2" t="s">
        <v>76</v>
      </c>
      <c r="B39" s="3" t="s">
        <v>13</v>
      </c>
      <c r="C39" s="3">
        <v>1967</v>
      </c>
      <c r="D39" s="4">
        <v>40.439500000000002</v>
      </c>
      <c r="E39" s="4">
        <v>-74.093714000000006</v>
      </c>
      <c r="F39" s="5" t="s">
        <v>14</v>
      </c>
      <c r="G39" s="5" t="s">
        <v>14</v>
      </c>
      <c r="H39" s="6">
        <v>0</v>
      </c>
      <c r="I39" s="7">
        <v>50000</v>
      </c>
      <c r="J39" s="13">
        <v>0</v>
      </c>
      <c r="K39" s="9">
        <v>0.14000000000000001</v>
      </c>
      <c r="L39" s="8">
        <f t="shared" si="1"/>
        <v>0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25">
      <c r="A40" s="2" t="s">
        <v>76</v>
      </c>
      <c r="B40" s="3" t="s">
        <v>13</v>
      </c>
      <c r="C40" s="3">
        <v>2012</v>
      </c>
      <c r="D40" s="4">
        <v>40.439500000000002</v>
      </c>
      <c r="E40" s="4">
        <v>-74.093714000000006</v>
      </c>
      <c r="F40" s="5" t="s">
        <v>15</v>
      </c>
      <c r="G40" s="5" t="s">
        <v>16</v>
      </c>
      <c r="H40" s="6">
        <v>0</v>
      </c>
      <c r="I40" s="7">
        <v>800000</v>
      </c>
      <c r="J40" s="8">
        <v>12900000</v>
      </c>
      <c r="K40" s="20">
        <v>0.96399999999999997</v>
      </c>
      <c r="L40" s="8">
        <f t="shared" si="1"/>
        <v>13381742.738589212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25">
      <c r="A41" s="2" t="s">
        <v>29</v>
      </c>
      <c r="B41" s="3" t="s">
        <v>13</v>
      </c>
      <c r="C41" s="3">
        <v>1954</v>
      </c>
      <c r="D41" s="4">
        <v>40.436886999999999</v>
      </c>
      <c r="E41" s="4">
        <v>-74.083668000000003</v>
      </c>
      <c r="F41" s="14" t="s">
        <v>1</v>
      </c>
      <c r="G41" s="5" t="s">
        <v>14</v>
      </c>
      <c r="H41" s="6">
        <v>0</v>
      </c>
      <c r="I41" s="7">
        <v>195000</v>
      </c>
      <c r="J41" s="13">
        <v>0</v>
      </c>
      <c r="K41" s="9">
        <v>0.113</v>
      </c>
      <c r="L41" s="8">
        <f t="shared" si="1"/>
        <v>0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25">
      <c r="A42" s="2" t="s">
        <v>29</v>
      </c>
      <c r="B42" s="3" t="s">
        <v>13</v>
      </c>
      <c r="C42" s="3">
        <v>1972</v>
      </c>
      <c r="D42" s="4">
        <v>40.436886999999999</v>
      </c>
      <c r="E42" s="4">
        <v>-74.083668000000003</v>
      </c>
      <c r="F42" s="14" t="s">
        <v>15</v>
      </c>
      <c r="G42" s="5" t="s">
        <v>14</v>
      </c>
      <c r="H42" s="6">
        <v>0</v>
      </c>
      <c r="I42" s="7">
        <v>700000</v>
      </c>
      <c r="J42" s="13">
        <v>0</v>
      </c>
      <c r="K42" s="9">
        <v>0.17499999999999999</v>
      </c>
      <c r="L42" s="8">
        <f t="shared" si="1"/>
        <v>0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25">
      <c r="A43" s="2" t="s">
        <v>49</v>
      </c>
      <c r="B43" s="3" t="s">
        <v>13</v>
      </c>
      <c r="C43" s="3">
        <v>1957</v>
      </c>
      <c r="D43" s="4">
        <v>40.422693000000002</v>
      </c>
      <c r="E43" s="4">
        <v>-74.058154999999999</v>
      </c>
      <c r="F43" s="14" t="s">
        <v>15</v>
      </c>
      <c r="G43" s="5" t="s">
        <v>14</v>
      </c>
      <c r="H43" s="6">
        <v>0</v>
      </c>
      <c r="I43" s="7">
        <v>100000</v>
      </c>
      <c r="J43" s="13">
        <v>0</v>
      </c>
      <c r="K43" s="9">
        <v>0.11799999999999999</v>
      </c>
      <c r="L43" s="8">
        <f t="shared" si="1"/>
        <v>0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25">
      <c r="A44" s="2" t="s">
        <v>42</v>
      </c>
      <c r="B44" s="3" t="s">
        <v>13</v>
      </c>
      <c r="C44" s="3">
        <v>1968</v>
      </c>
      <c r="D44" s="4">
        <v>40.408856</v>
      </c>
      <c r="E44" s="4">
        <v>-73.997046999999995</v>
      </c>
      <c r="F44" s="5" t="s">
        <v>14</v>
      </c>
      <c r="G44" s="5" t="s">
        <v>14</v>
      </c>
      <c r="H44" s="6">
        <v>0</v>
      </c>
      <c r="I44" s="7">
        <v>900000</v>
      </c>
      <c r="J44" s="13">
        <v>0</v>
      </c>
      <c r="K44" s="9">
        <v>0.14599999999999999</v>
      </c>
      <c r="L44" s="8">
        <f t="shared" si="1"/>
        <v>0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25">
      <c r="A45" s="2" t="s">
        <v>43</v>
      </c>
      <c r="B45" s="3" t="s">
        <v>13</v>
      </c>
      <c r="C45" s="3">
        <v>1966</v>
      </c>
      <c r="D45" s="4">
        <v>40.408856</v>
      </c>
      <c r="E45" s="4">
        <v>-73.997046999999995</v>
      </c>
      <c r="F45" s="14" t="s">
        <v>15</v>
      </c>
      <c r="G45" s="5" t="s">
        <v>14</v>
      </c>
      <c r="H45" s="6">
        <v>0</v>
      </c>
      <c r="I45" s="7">
        <v>620000</v>
      </c>
      <c r="J45" s="13">
        <v>0</v>
      </c>
      <c r="K45" s="9">
        <v>0.13600000000000001</v>
      </c>
      <c r="L45" s="8">
        <f t="shared" si="1"/>
        <v>0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25">
      <c r="A46" s="74" t="s">
        <v>84</v>
      </c>
      <c r="B46" s="75" t="s">
        <v>13</v>
      </c>
      <c r="C46" s="75">
        <v>1996</v>
      </c>
      <c r="D46" s="77">
        <v>40.390847999999998</v>
      </c>
      <c r="E46" s="77">
        <v>-73.975289000000004</v>
      </c>
      <c r="F46" s="84" t="s">
        <v>15</v>
      </c>
      <c r="G46" s="84" t="s">
        <v>16</v>
      </c>
      <c r="H46" s="89">
        <v>12672</v>
      </c>
      <c r="I46" s="89">
        <v>3800000</v>
      </c>
      <c r="J46" s="82">
        <v>24307692</v>
      </c>
      <c r="K46" s="81">
        <v>0.65800000000000003</v>
      </c>
      <c r="L46" s="82">
        <f t="shared" si="1"/>
        <v>36941781.155015193</v>
      </c>
      <c r="Q46" s="57"/>
      <c r="R46" s="57"/>
      <c r="S46" s="57"/>
      <c r="T46" s="57"/>
      <c r="U46" s="57"/>
      <c r="V46" s="57"/>
      <c r="W46" s="57"/>
      <c r="X46" s="57"/>
      <c r="Y46" s="57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x14ac:dyDescent="0.25">
      <c r="A47" s="2" t="s">
        <v>86</v>
      </c>
      <c r="B47" s="3" t="s">
        <v>13</v>
      </c>
      <c r="C47" s="3">
        <v>1966</v>
      </c>
      <c r="D47" s="4">
        <v>40.349684000000003</v>
      </c>
      <c r="E47" s="4">
        <v>-73.973408000000006</v>
      </c>
      <c r="F47" s="5" t="s">
        <v>14</v>
      </c>
      <c r="G47" s="5" t="s">
        <v>14</v>
      </c>
      <c r="H47" s="6">
        <v>0</v>
      </c>
      <c r="I47" s="7">
        <v>425000</v>
      </c>
      <c r="J47" s="13">
        <v>0</v>
      </c>
      <c r="K47" s="9">
        <v>0.13600000000000001</v>
      </c>
      <c r="L47" s="8">
        <f t="shared" si="1"/>
        <v>0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25">
      <c r="A48" s="2" t="s">
        <v>86</v>
      </c>
      <c r="B48" s="3" t="s">
        <v>13</v>
      </c>
      <c r="C48" s="11">
        <v>1983</v>
      </c>
      <c r="D48" s="4">
        <v>40.349684000000003</v>
      </c>
      <c r="E48" s="4">
        <v>-73.973408000000006</v>
      </c>
      <c r="F48" s="5" t="s">
        <v>14</v>
      </c>
      <c r="G48" s="5" t="s">
        <v>14</v>
      </c>
      <c r="H48" s="6">
        <v>0</v>
      </c>
      <c r="I48" s="12">
        <v>1433000</v>
      </c>
      <c r="J48" s="13">
        <v>0</v>
      </c>
      <c r="K48" s="9">
        <v>0.41799999999999998</v>
      </c>
      <c r="L48" s="8">
        <f t="shared" si="1"/>
        <v>0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x14ac:dyDescent="0.25">
      <c r="A49" s="2" t="s">
        <v>87</v>
      </c>
      <c r="B49" s="3" t="s">
        <v>13</v>
      </c>
      <c r="C49" s="3">
        <v>1963</v>
      </c>
      <c r="D49" s="4">
        <v>40.349684000000003</v>
      </c>
      <c r="E49" s="4">
        <v>-73.973408000000006</v>
      </c>
      <c r="F49" s="14" t="s">
        <v>15</v>
      </c>
      <c r="G49" s="18" t="s">
        <v>17</v>
      </c>
      <c r="H49" s="7">
        <v>26928</v>
      </c>
      <c r="I49" s="7">
        <v>1433000</v>
      </c>
      <c r="J49" s="8">
        <v>1418400</v>
      </c>
      <c r="K49" s="9">
        <v>0.129</v>
      </c>
      <c r="L49" s="8">
        <f t="shared" si="1"/>
        <v>10995348.837209303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x14ac:dyDescent="0.25">
      <c r="A50" s="74" t="s">
        <v>85</v>
      </c>
      <c r="B50" s="75" t="s">
        <v>13</v>
      </c>
      <c r="C50" s="76">
        <v>2002</v>
      </c>
      <c r="D50" s="77">
        <v>40.346151999999996</v>
      </c>
      <c r="E50" s="77">
        <v>-73.973207000000002</v>
      </c>
      <c r="F50" s="78" t="s">
        <v>15</v>
      </c>
      <c r="G50" s="78" t="s">
        <v>16</v>
      </c>
      <c r="H50" s="88">
        <v>0</v>
      </c>
      <c r="I50" s="79">
        <v>2100000</v>
      </c>
      <c r="J50" s="80">
        <v>0</v>
      </c>
      <c r="K50" s="81">
        <v>0.75800000000000001</v>
      </c>
      <c r="L50" s="82">
        <f t="shared" si="1"/>
        <v>0</v>
      </c>
      <c r="Q50" s="57"/>
      <c r="R50" s="57"/>
      <c r="S50" s="57"/>
      <c r="T50" s="57"/>
      <c r="U50" s="57"/>
      <c r="V50" s="57"/>
      <c r="W50" s="57"/>
      <c r="X50" s="57"/>
      <c r="Y50" s="57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25" x14ac:dyDescent="0.25">
      <c r="A51" s="57" t="s">
        <v>85</v>
      </c>
      <c r="B51" s="75" t="s">
        <v>13</v>
      </c>
      <c r="C51" s="83">
        <v>2013</v>
      </c>
      <c r="D51" s="77">
        <v>40.346151999999996</v>
      </c>
      <c r="E51" s="77">
        <v>-73.973207000000002</v>
      </c>
      <c r="F51" s="84" t="s">
        <v>15</v>
      </c>
      <c r="G51" s="77" t="s">
        <v>17</v>
      </c>
      <c r="H51" s="85"/>
      <c r="I51" s="88">
        <v>2460000</v>
      </c>
      <c r="J51" s="86">
        <v>25590800</v>
      </c>
      <c r="K51" s="81">
        <v>0.97799999999999998</v>
      </c>
      <c r="L51" s="82">
        <f t="shared" si="1"/>
        <v>26166462.167689163</v>
      </c>
      <c r="Q51" s="57"/>
      <c r="R51" s="57"/>
      <c r="S51" s="57"/>
      <c r="T51" s="57"/>
      <c r="U51" s="57"/>
      <c r="V51" s="57"/>
      <c r="W51" s="57"/>
      <c r="X51" s="57"/>
      <c r="Y51" s="57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x14ac:dyDescent="0.25">
      <c r="A52" s="29" t="s">
        <v>68</v>
      </c>
      <c r="B52" s="34" t="s">
        <v>13</v>
      </c>
      <c r="C52" s="34">
        <v>2009</v>
      </c>
      <c r="D52" s="22">
        <v>40.335357000000002</v>
      </c>
      <c r="E52" s="22">
        <v>-73.973708000000002</v>
      </c>
      <c r="F52" s="23" t="s">
        <v>15</v>
      </c>
      <c r="G52" s="18" t="s">
        <v>19</v>
      </c>
      <c r="H52" s="24">
        <v>1200</v>
      </c>
      <c r="I52" s="25">
        <v>60000</v>
      </c>
      <c r="J52" s="26">
        <v>2550000</v>
      </c>
      <c r="K52" s="20">
        <v>0.90100000000000002</v>
      </c>
      <c r="L52" s="8">
        <f t="shared" si="1"/>
        <v>2830188.6792452829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x14ac:dyDescent="0.25">
      <c r="A53" s="74" t="s">
        <v>83</v>
      </c>
      <c r="B53" s="75" t="s">
        <v>13</v>
      </c>
      <c r="C53" s="75">
        <v>1995</v>
      </c>
      <c r="D53" s="77">
        <v>40.335357000000002</v>
      </c>
      <c r="E53" s="77">
        <v>-73.973708000000002</v>
      </c>
      <c r="F53" s="84" t="s">
        <v>15</v>
      </c>
      <c r="G53" s="84" t="s">
        <v>16</v>
      </c>
      <c r="H53" s="89">
        <v>16368</v>
      </c>
      <c r="I53" s="89">
        <v>4600000</v>
      </c>
      <c r="J53" s="82">
        <v>32307692</v>
      </c>
      <c r="K53" s="81">
        <v>0.64100000000000001</v>
      </c>
      <c r="L53" s="82">
        <f t="shared" si="1"/>
        <v>50402015.600624025</v>
      </c>
      <c r="Q53" s="57"/>
      <c r="R53" s="57"/>
      <c r="S53" s="57"/>
      <c r="T53" s="57"/>
      <c r="U53" s="57"/>
      <c r="V53" s="57"/>
      <c r="W53" s="57"/>
      <c r="X53" s="57"/>
      <c r="Y53" s="57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x14ac:dyDescent="0.25">
      <c r="A54" s="74" t="s">
        <v>83</v>
      </c>
      <c r="B54" s="75" t="s">
        <v>13</v>
      </c>
      <c r="C54" s="75">
        <v>2012</v>
      </c>
      <c r="D54" s="77">
        <v>40.335357000000002</v>
      </c>
      <c r="E54" s="77">
        <v>-73.973708000000002</v>
      </c>
      <c r="F54" s="84" t="s">
        <v>15</v>
      </c>
      <c r="G54" s="84" t="s">
        <v>16</v>
      </c>
      <c r="H54" s="89">
        <v>5000</v>
      </c>
      <c r="I54" s="89">
        <v>800000</v>
      </c>
      <c r="J54" s="82">
        <v>18461538</v>
      </c>
      <c r="K54" s="81">
        <v>0.96399999999999997</v>
      </c>
      <c r="L54" s="82">
        <f t="shared" si="1"/>
        <v>19150973.029045645</v>
      </c>
      <c r="Q54" s="57"/>
      <c r="R54" s="57"/>
      <c r="S54" s="57"/>
      <c r="T54" s="57"/>
      <c r="U54" s="57"/>
      <c r="V54" s="57"/>
      <c r="W54" s="57"/>
      <c r="X54" s="57"/>
      <c r="Y54" s="57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x14ac:dyDescent="0.25">
      <c r="A55" s="2" t="s">
        <v>62</v>
      </c>
      <c r="B55" s="3" t="s">
        <v>13</v>
      </c>
      <c r="C55" s="3">
        <v>1943</v>
      </c>
      <c r="D55" s="22">
        <v>40.303224999999998</v>
      </c>
      <c r="E55" s="22">
        <v>-73.978014000000002</v>
      </c>
      <c r="F55" s="5" t="s">
        <v>14</v>
      </c>
      <c r="G55" s="5" t="s">
        <v>14</v>
      </c>
      <c r="H55" s="6">
        <v>1800</v>
      </c>
      <c r="I55" s="7">
        <v>15000</v>
      </c>
      <c r="J55" s="13">
        <v>0</v>
      </c>
      <c r="K55" s="9">
        <v>7.2999999999999995E-2</v>
      </c>
      <c r="L55" s="8">
        <f t="shared" si="1"/>
        <v>0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x14ac:dyDescent="0.25">
      <c r="A56" s="2" t="s">
        <v>62</v>
      </c>
      <c r="B56" s="3" t="s">
        <v>13</v>
      </c>
      <c r="C56" s="3">
        <v>1945</v>
      </c>
      <c r="D56" s="22">
        <v>40.303224999999998</v>
      </c>
      <c r="E56" s="22">
        <v>-73.978014000000002</v>
      </c>
      <c r="F56" s="5" t="s">
        <v>14</v>
      </c>
      <c r="G56" s="5" t="s">
        <v>14</v>
      </c>
      <c r="H56" s="6">
        <v>0</v>
      </c>
      <c r="I56" s="7">
        <v>18732</v>
      </c>
      <c r="J56" s="13">
        <v>0</v>
      </c>
      <c r="K56" s="9">
        <v>7.5999999999999998E-2</v>
      </c>
      <c r="L56" s="8">
        <f t="shared" si="1"/>
        <v>0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x14ac:dyDescent="0.25">
      <c r="A57" s="2" t="s">
        <v>62</v>
      </c>
      <c r="B57" s="3" t="s">
        <v>13</v>
      </c>
      <c r="C57" s="3">
        <v>1948</v>
      </c>
      <c r="D57" s="22">
        <v>40.303224999999998</v>
      </c>
      <c r="E57" s="22">
        <v>-73.978014000000002</v>
      </c>
      <c r="F57" s="14" t="s">
        <v>15</v>
      </c>
      <c r="G57" s="5" t="s">
        <v>14</v>
      </c>
      <c r="H57" s="6">
        <v>0</v>
      </c>
      <c r="I57" s="7">
        <v>600000</v>
      </c>
      <c r="J57" s="13">
        <v>0</v>
      </c>
      <c r="K57" s="9">
        <v>0.10100000000000001</v>
      </c>
      <c r="L57" s="8">
        <f t="shared" si="1"/>
        <v>0</v>
      </c>
      <c r="Q57" s="27"/>
      <c r="R57" s="27"/>
      <c r="S57" s="27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x14ac:dyDescent="0.25">
      <c r="A58" s="2" t="s">
        <v>62</v>
      </c>
      <c r="B58" s="3" t="s">
        <v>13</v>
      </c>
      <c r="C58" s="3">
        <v>1962</v>
      </c>
      <c r="D58" s="22">
        <v>40.303224999999998</v>
      </c>
      <c r="E58" s="22">
        <v>-73.978014000000002</v>
      </c>
      <c r="F58" s="5" t="s">
        <v>14</v>
      </c>
      <c r="G58" s="5" t="s">
        <v>14</v>
      </c>
      <c r="H58" s="6">
        <v>0</v>
      </c>
      <c r="I58" s="7">
        <v>25000</v>
      </c>
      <c r="J58" s="13">
        <v>0</v>
      </c>
      <c r="K58" s="9">
        <v>0.127</v>
      </c>
      <c r="L58" s="8">
        <f t="shared" si="1"/>
        <v>0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x14ac:dyDescent="0.25">
      <c r="A59" s="2" t="s">
        <v>62</v>
      </c>
      <c r="B59" s="3" t="s">
        <v>13</v>
      </c>
      <c r="C59" s="3">
        <v>1963</v>
      </c>
      <c r="D59" s="22">
        <v>40.303224999999998</v>
      </c>
      <c r="E59" s="22">
        <v>-73.978014000000002</v>
      </c>
      <c r="F59" s="5" t="s">
        <v>14</v>
      </c>
      <c r="G59" s="5" t="s">
        <v>14</v>
      </c>
      <c r="H59" s="6">
        <v>0</v>
      </c>
      <c r="I59" s="7">
        <v>27100</v>
      </c>
      <c r="J59" s="13">
        <v>0</v>
      </c>
      <c r="K59" s="9">
        <v>0.129</v>
      </c>
      <c r="L59" s="8">
        <f t="shared" si="1"/>
        <v>0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x14ac:dyDescent="0.25">
      <c r="A60" s="74" t="s">
        <v>82</v>
      </c>
      <c r="B60" s="75" t="s">
        <v>13</v>
      </c>
      <c r="C60" s="76">
        <v>1999</v>
      </c>
      <c r="D60" s="77">
        <v>40.303224999999998</v>
      </c>
      <c r="E60" s="77">
        <v>-73.978014000000002</v>
      </c>
      <c r="F60" s="78" t="s">
        <v>15</v>
      </c>
      <c r="G60" s="78" t="s">
        <v>16</v>
      </c>
      <c r="H60" s="79">
        <v>17423</v>
      </c>
      <c r="I60" s="79">
        <v>4300000</v>
      </c>
      <c r="J60" s="86">
        <v>45454545</v>
      </c>
      <c r="K60" s="81">
        <v>0.69899999999999995</v>
      </c>
      <c r="L60" s="82">
        <f t="shared" si="1"/>
        <v>65027961.373390563</v>
      </c>
      <c r="Q60" s="57"/>
      <c r="R60" s="57"/>
      <c r="S60" s="57"/>
      <c r="T60" s="57"/>
      <c r="U60" s="57"/>
      <c r="V60" s="57"/>
      <c r="W60" s="57"/>
      <c r="X60" s="57"/>
      <c r="Y60" s="57"/>
      <c r="Z60" s="16"/>
      <c r="AA60" s="16"/>
      <c r="AB60" s="16"/>
      <c r="AC60" s="16"/>
      <c r="AD60" s="16"/>
      <c r="AE60" s="16"/>
      <c r="AF60" s="16"/>
      <c r="AG60" s="16"/>
      <c r="AH60" s="16"/>
    </row>
    <row r="61" spans="1:34" x14ac:dyDescent="0.25">
      <c r="A61" s="74" t="s">
        <v>82</v>
      </c>
      <c r="B61" s="75" t="s">
        <v>13</v>
      </c>
      <c r="C61" s="83">
        <v>2009</v>
      </c>
      <c r="D61" s="77">
        <v>40.303224999999998</v>
      </c>
      <c r="E61" s="77">
        <v>-73.978014000000002</v>
      </c>
      <c r="F61" s="78" t="s">
        <v>15</v>
      </c>
      <c r="G61" s="78" t="s">
        <v>16</v>
      </c>
      <c r="H61" s="88">
        <v>3000</v>
      </c>
      <c r="I61" s="89">
        <v>700000</v>
      </c>
      <c r="J61" s="80">
        <v>18539000</v>
      </c>
      <c r="K61" s="81">
        <v>0.90100000000000002</v>
      </c>
      <c r="L61" s="82">
        <f t="shared" si="1"/>
        <v>20576026.637069922</v>
      </c>
      <c r="Q61" s="57"/>
      <c r="R61" s="57"/>
      <c r="S61" s="57"/>
      <c r="T61" s="57"/>
      <c r="U61" s="57"/>
      <c r="V61" s="57"/>
      <c r="W61" s="57"/>
      <c r="X61" s="57"/>
      <c r="Y61" s="57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 x14ac:dyDescent="0.25">
      <c r="A62" s="57" t="s">
        <v>82</v>
      </c>
      <c r="B62" s="75" t="s">
        <v>13</v>
      </c>
      <c r="C62" s="83">
        <v>2014</v>
      </c>
      <c r="D62" s="77">
        <v>40.303224999999998</v>
      </c>
      <c r="E62" s="77">
        <v>-73.978014000000002</v>
      </c>
      <c r="F62" s="84" t="s">
        <v>15</v>
      </c>
      <c r="G62" s="77" t="s">
        <v>17</v>
      </c>
      <c r="H62" s="85"/>
      <c r="I62" s="79">
        <v>3303000</v>
      </c>
      <c r="J62" s="86">
        <v>40067500</v>
      </c>
      <c r="K62" s="81">
        <v>0.99399999999999999</v>
      </c>
      <c r="L62" s="82">
        <f t="shared" si="1"/>
        <v>40309356.136820927</v>
      </c>
      <c r="Q62" s="57"/>
      <c r="R62" s="57"/>
      <c r="S62" s="57"/>
      <c r="T62" s="57"/>
      <c r="U62" s="57"/>
      <c r="V62" s="57"/>
      <c r="W62" s="57"/>
      <c r="X62" s="57"/>
      <c r="Y62" s="57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x14ac:dyDescent="0.25">
      <c r="A63" s="74" t="s">
        <v>79</v>
      </c>
      <c r="B63" s="75" t="s">
        <v>13</v>
      </c>
      <c r="C63" s="76">
        <v>2001</v>
      </c>
      <c r="D63" s="77">
        <v>40.210737000000002</v>
      </c>
      <c r="E63" s="77">
        <v>-74.002733000000006</v>
      </c>
      <c r="F63" s="78" t="s">
        <v>15</v>
      </c>
      <c r="G63" s="78" t="s">
        <v>16</v>
      </c>
      <c r="H63" s="79">
        <v>16368</v>
      </c>
      <c r="I63" s="79">
        <v>3100000</v>
      </c>
      <c r="J63" s="80">
        <v>36923076</v>
      </c>
      <c r="K63" s="81">
        <v>0.746</v>
      </c>
      <c r="L63" s="82">
        <f t="shared" si="1"/>
        <v>49494739.946380697</v>
      </c>
      <c r="Q63" s="57"/>
      <c r="R63" s="57"/>
      <c r="S63" s="57"/>
      <c r="T63" s="57"/>
      <c r="U63" s="57"/>
      <c r="V63" s="57"/>
      <c r="W63" s="57"/>
      <c r="X63" s="57"/>
      <c r="Y63" s="57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 ht="25" x14ac:dyDescent="0.25">
      <c r="A64" s="57" t="s">
        <v>80</v>
      </c>
      <c r="B64" s="75" t="s">
        <v>13</v>
      </c>
      <c r="C64" s="83">
        <v>2014</v>
      </c>
      <c r="D64" s="77">
        <v>40.210737000000002</v>
      </c>
      <c r="E64" s="77">
        <v>-74.002733000000006</v>
      </c>
      <c r="F64" s="84" t="s">
        <v>15</v>
      </c>
      <c r="G64" s="77" t="s">
        <v>17</v>
      </c>
      <c r="H64" s="85">
        <v>16157</v>
      </c>
      <c r="I64" s="79">
        <v>1200000</v>
      </c>
      <c r="J64" s="86">
        <v>18300000</v>
      </c>
      <c r="K64" s="81">
        <v>0.99399999999999999</v>
      </c>
      <c r="L64" s="82">
        <f t="shared" si="1"/>
        <v>18410462.776659958</v>
      </c>
      <c r="Q64" s="57"/>
      <c r="R64" s="57"/>
      <c r="S64" s="57"/>
      <c r="T64" s="57"/>
      <c r="U64" s="57"/>
      <c r="V64" s="57"/>
      <c r="W64" s="57"/>
      <c r="X64" s="57"/>
      <c r="Y64" s="57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:34" x14ac:dyDescent="0.25">
      <c r="A65" s="2" t="s">
        <v>33</v>
      </c>
      <c r="B65" s="3" t="s">
        <v>13</v>
      </c>
      <c r="C65" s="3">
        <v>1958</v>
      </c>
      <c r="D65" s="4">
        <v>40.201870999999997</v>
      </c>
      <c r="E65" s="4">
        <v>-74.006224000000003</v>
      </c>
      <c r="F65" s="5" t="s">
        <v>14</v>
      </c>
      <c r="G65" s="5" t="s">
        <v>14</v>
      </c>
      <c r="H65" s="6">
        <v>0</v>
      </c>
      <c r="I65" s="7">
        <v>250000</v>
      </c>
      <c r="J65" s="13">
        <v>0</v>
      </c>
      <c r="K65" s="9">
        <v>0.121</v>
      </c>
      <c r="L65" s="8">
        <f t="shared" si="1"/>
        <v>0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1:34" x14ac:dyDescent="0.25">
      <c r="A66" s="2" t="s">
        <v>33</v>
      </c>
      <c r="B66" s="3" t="s">
        <v>13</v>
      </c>
      <c r="C66" s="3">
        <v>1960</v>
      </c>
      <c r="D66" s="4">
        <v>40.201870999999997</v>
      </c>
      <c r="E66" s="4">
        <v>-74.006224000000003</v>
      </c>
      <c r="F66" s="5" t="s">
        <v>14</v>
      </c>
      <c r="G66" s="5" t="s">
        <v>14</v>
      </c>
      <c r="H66" s="6">
        <v>0</v>
      </c>
      <c r="I66" s="7">
        <v>250000</v>
      </c>
      <c r="J66" s="13">
        <v>0</v>
      </c>
      <c r="K66" s="9">
        <v>0.124</v>
      </c>
      <c r="L66" s="8">
        <f t="shared" ref="L66:L97" si="2">+J66/K66</f>
        <v>0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1:34" x14ac:dyDescent="0.25">
      <c r="A67" s="2" t="s">
        <v>25</v>
      </c>
      <c r="B67" s="3" t="s">
        <v>13</v>
      </c>
      <c r="C67" s="3">
        <v>1947</v>
      </c>
      <c r="D67" s="4">
        <v>40.191791000000002</v>
      </c>
      <c r="E67" s="4">
        <v>-74.008713</v>
      </c>
      <c r="F67" s="5" t="s">
        <v>14</v>
      </c>
      <c r="G67" s="5" t="s">
        <v>14</v>
      </c>
      <c r="H67" s="6">
        <v>0</v>
      </c>
      <c r="I67" s="7">
        <v>150000</v>
      </c>
      <c r="J67" s="13">
        <v>0</v>
      </c>
      <c r="K67" s="9">
        <v>9.4E-2</v>
      </c>
      <c r="L67" s="8">
        <f t="shared" si="2"/>
        <v>0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:34" x14ac:dyDescent="0.25">
      <c r="A68" s="2" t="s">
        <v>25</v>
      </c>
      <c r="B68" s="3" t="s">
        <v>13</v>
      </c>
      <c r="C68" s="3">
        <v>1949</v>
      </c>
      <c r="D68" s="4">
        <v>40.191791000000002</v>
      </c>
      <c r="E68" s="4">
        <v>-74.008713</v>
      </c>
      <c r="F68" s="14" t="s">
        <v>15</v>
      </c>
      <c r="G68" s="5" t="s">
        <v>19</v>
      </c>
      <c r="H68" s="6">
        <v>0</v>
      </c>
      <c r="I68" s="7">
        <v>16000</v>
      </c>
      <c r="J68" s="13">
        <v>0</v>
      </c>
      <c r="K68" s="9">
        <v>0.1</v>
      </c>
      <c r="L68" s="8">
        <f t="shared" si="2"/>
        <v>0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spans="1:34" x14ac:dyDescent="0.25">
      <c r="A69" s="2" t="s">
        <v>25</v>
      </c>
      <c r="B69" s="3" t="s">
        <v>13</v>
      </c>
      <c r="C69" s="3">
        <v>1950</v>
      </c>
      <c r="D69" s="4">
        <v>40.191791000000002</v>
      </c>
      <c r="E69" s="4">
        <v>-74.008713</v>
      </c>
      <c r="F69" s="14" t="s">
        <v>15</v>
      </c>
      <c r="G69" s="5" t="s">
        <v>19</v>
      </c>
      <c r="H69" s="6">
        <v>0</v>
      </c>
      <c r="I69" s="7">
        <v>22000</v>
      </c>
      <c r="J69" s="8">
        <v>10795</v>
      </c>
      <c r="K69" s="9">
        <v>0.10100000000000001</v>
      </c>
      <c r="L69" s="8">
        <f t="shared" si="2"/>
        <v>106881.18811881187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34" x14ac:dyDescent="0.25">
      <c r="A70" s="2" t="s">
        <v>25</v>
      </c>
      <c r="B70" s="3" t="s">
        <v>13</v>
      </c>
      <c r="C70" s="3">
        <v>1958</v>
      </c>
      <c r="D70" s="4">
        <v>40.191791000000002</v>
      </c>
      <c r="E70" s="4">
        <v>-74.008713</v>
      </c>
      <c r="F70" s="5" t="s">
        <v>14</v>
      </c>
      <c r="G70" s="5" t="s">
        <v>14</v>
      </c>
      <c r="H70" s="6">
        <v>0</v>
      </c>
      <c r="I70" s="7">
        <v>250000</v>
      </c>
      <c r="J70" s="13">
        <v>0</v>
      </c>
      <c r="K70" s="9">
        <v>0.121</v>
      </c>
      <c r="L70" s="8">
        <f t="shared" si="2"/>
        <v>0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:34" x14ac:dyDescent="0.25">
      <c r="A71" s="2" t="s">
        <v>25</v>
      </c>
      <c r="B71" s="3" t="s">
        <v>13</v>
      </c>
      <c r="C71" s="3">
        <v>1960</v>
      </c>
      <c r="D71" s="4">
        <v>40.191791000000002</v>
      </c>
      <c r="E71" s="4">
        <v>-74.008713</v>
      </c>
      <c r="F71" s="5" t="s">
        <v>14</v>
      </c>
      <c r="G71" s="5" t="s">
        <v>14</v>
      </c>
      <c r="H71" s="6">
        <v>0</v>
      </c>
      <c r="I71" s="7">
        <v>250000</v>
      </c>
      <c r="J71" s="8">
        <v>197472</v>
      </c>
      <c r="K71" s="9">
        <v>0.124</v>
      </c>
      <c r="L71" s="8">
        <f t="shared" si="2"/>
        <v>1592516.1290322582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:34" x14ac:dyDescent="0.25">
      <c r="A72" s="2" t="s">
        <v>25</v>
      </c>
      <c r="B72" s="3" t="s">
        <v>13</v>
      </c>
      <c r="C72" s="3">
        <v>1971</v>
      </c>
      <c r="D72" s="4">
        <v>40.191791000000002</v>
      </c>
      <c r="E72" s="4">
        <v>-74.008713</v>
      </c>
      <c r="F72" s="14" t="s">
        <v>15</v>
      </c>
      <c r="G72" s="5" t="s">
        <v>19</v>
      </c>
      <c r="H72" s="6">
        <v>0</v>
      </c>
      <c r="I72" s="7">
        <v>120000</v>
      </c>
      <c r="J72" s="8">
        <v>179641</v>
      </c>
      <c r="K72" s="9">
        <v>0.17</v>
      </c>
      <c r="L72" s="8">
        <f t="shared" si="2"/>
        <v>1056711.7647058822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:34" x14ac:dyDescent="0.25">
      <c r="A73" s="2" t="s">
        <v>25</v>
      </c>
      <c r="B73" s="3" t="s">
        <v>13</v>
      </c>
      <c r="C73" s="3">
        <v>1982</v>
      </c>
      <c r="D73" s="4">
        <v>40.191791000000002</v>
      </c>
      <c r="E73" s="4">
        <v>-74.008713</v>
      </c>
      <c r="F73" s="14" t="s">
        <v>15</v>
      </c>
      <c r="G73" s="5" t="s">
        <v>19</v>
      </c>
      <c r="H73" s="6">
        <v>0</v>
      </c>
      <c r="I73" s="7">
        <v>136000</v>
      </c>
      <c r="J73" s="8">
        <v>352240</v>
      </c>
      <c r="K73" s="9">
        <v>0.40100000000000002</v>
      </c>
      <c r="L73" s="8">
        <f t="shared" si="2"/>
        <v>878403.99002493755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spans="1:34" x14ac:dyDescent="0.25">
      <c r="A74" s="2" t="s">
        <v>25</v>
      </c>
      <c r="B74" s="3" t="s">
        <v>13</v>
      </c>
      <c r="C74" s="3">
        <v>2009</v>
      </c>
      <c r="D74" s="4">
        <v>40.191791000000002</v>
      </c>
      <c r="E74" s="4">
        <v>-74.008713</v>
      </c>
      <c r="F74" s="5" t="s">
        <v>14</v>
      </c>
      <c r="G74" s="5" t="s">
        <v>14</v>
      </c>
      <c r="H74" s="6">
        <v>0</v>
      </c>
      <c r="I74" s="6">
        <v>0</v>
      </c>
      <c r="J74" s="13">
        <v>0</v>
      </c>
      <c r="K74" s="20">
        <v>0.90100000000000002</v>
      </c>
      <c r="L74" s="8">
        <f t="shared" si="2"/>
        <v>0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:34" x14ac:dyDescent="0.25">
      <c r="A75" s="29" t="s">
        <v>91</v>
      </c>
      <c r="B75" s="3" t="s">
        <v>13</v>
      </c>
      <c r="C75" s="21">
        <v>2006</v>
      </c>
      <c r="D75" s="4">
        <v>40.189070000000001</v>
      </c>
      <c r="E75" s="4">
        <v>-74.009148999999994</v>
      </c>
      <c r="F75" s="23" t="s">
        <v>15</v>
      </c>
      <c r="G75" s="18" t="s">
        <v>19</v>
      </c>
      <c r="H75" s="24">
        <v>0</v>
      </c>
      <c r="I75" s="25">
        <v>15000</v>
      </c>
      <c r="J75" s="26">
        <v>0</v>
      </c>
      <c r="K75" s="9">
        <v>0.84699999999999998</v>
      </c>
      <c r="L75" s="8">
        <f t="shared" si="2"/>
        <v>0</v>
      </c>
      <c r="Q75" s="10"/>
      <c r="R75" s="10"/>
      <c r="S75" s="10"/>
      <c r="T75" s="10"/>
      <c r="U75" s="10"/>
      <c r="V75" s="10"/>
      <c r="W75" s="10"/>
      <c r="X75" s="10"/>
      <c r="Y75" s="10"/>
      <c r="Z75" s="16"/>
      <c r="AA75" s="16"/>
      <c r="AB75" s="16"/>
      <c r="AC75" s="16"/>
      <c r="AD75" s="16"/>
      <c r="AE75" s="16"/>
      <c r="AF75" s="16"/>
      <c r="AG75" s="16"/>
      <c r="AH75" s="16"/>
    </row>
    <row r="76" spans="1:34" x14ac:dyDescent="0.25">
      <c r="A76" s="2" t="s">
        <v>31</v>
      </c>
      <c r="B76" s="3" t="s">
        <v>13</v>
      </c>
      <c r="C76" s="3">
        <v>1958</v>
      </c>
      <c r="D76" s="4">
        <v>40.183464000000001</v>
      </c>
      <c r="E76" s="4">
        <v>-74.009913999999995</v>
      </c>
      <c r="F76" s="14" t="s">
        <v>1</v>
      </c>
      <c r="G76" s="5" t="s">
        <v>14</v>
      </c>
      <c r="H76" s="6">
        <v>0</v>
      </c>
      <c r="I76" s="6">
        <v>0</v>
      </c>
      <c r="J76" s="8">
        <v>226544</v>
      </c>
      <c r="K76" s="9">
        <v>0.121</v>
      </c>
      <c r="L76" s="8">
        <f t="shared" si="2"/>
        <v>1872264.4628099175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x14ac:dyDescent="0.25">
      <c r="A77" s="2" t="s">
        <v>30</v>
      </c>
      <c r="B77" s="3" t="s">
        <v>13</v>
      </c>
      <c r="C77" s="3">
        <v>1967</v>
      </c>
      <c r="D77" s="4">
        <v>40.177692999999998</v>
      </c>
      <c r="E77" s="4">
        <v>-74.012660999999994</v>
      </c>
      <c r="F77" s="5" t="s">
        <v>14</v>
      </c>
      <c r="G77" s="5" t="s">
        <v>14</v>
      </c>
      <c r="H77" s="6">
        <v>0</v>
      </c>
      <c r="I77" s="7">
        <v>45000</v>
      </c>
      <c r="J77" s="13">
        <v>0</v>
      </c>
      <c r="K77" s="9">
        <v>0.14000000000000001</v>
      </c>
      <c r="L77" s="8">
        <f t="shared" si="2"/>
        <v>0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 x14ac:dyDescent="0.25">
      <c r="A78" s="2" t="s">
        <v>30</v>
      </c>
      <c r="B78" s="3" t="s">
        <v>13</v>
      </c>
      <c r="C78" s="3">
        <v>1970</v>
      </c>
      <c r="D78" s="4">
        <v>40.177692999999998</v>
      </c>
      <c r="E78" s="4">
        <v>-74.012660999999994</v>
      </c>
      <c r="F78" s="5" t="s">
        <v>14</v>
      </c>
      <c r="G78" s="5" t="s">
        <v>14</v>
      </c>
      <c r="H78" s="6">
        <v>0</v>
      </c>
      <c r="I78" s="7">
        <v>26026</v>
      </c>
      <c r="J78" s="13">
        <v>0</v>
      </c>
      <c r="K78" s="9">
        <v>0.16300000000000001</v>
      </c>
      <c r="L78" s="8">
        <f t="shared" si="2"/>
        <v>0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4" x14ac:dyDescent="0.25">
      <c r="A79" s="2" t="s">
        <v>30</v>
      </c>
      <c r="B79" s="3" t="s">
        <v>13</v>
      </c>
      <c r="C79" s="3">
        <v>1975</v>
      </c>
      <c r="D79" s="4">
        <v>40.177692999999998</v>
      </c>
      <c r="E79" s="4">
        <v>-74.012660999999994</v>
      </c>
      <c r="F79" s="5" t="s">
        <v>14</v>
      </c>
      <c r="G79" s="5" t="s">
        <v>14</v>
      </c>
      <c r="H79" s="6">
        <v>0</v>
      </c>
      <c r="I79" s="7">
        <v>20000</v>
      </c>
      <c r="J79" s="13">
        <v>0</v>
      </c>
      <c r="K79" s="9">
        <v>0.22600000000000001</v>
      </c>
      <c r="L79" s="8">
        <f t="shared" si="2"/>
        <v>0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 x14ac:dyDescent="0.25">
      <c r="A80" s="2" t="s">
        <v>32</v>
      </c>
      <c r="B80" s="3" t="s">
        <v>13</v>
      </c>
      <c r="C80" s="3">
        <v>1972</v>
      </c>
      <c r="D80" s="4">
        <v>40.164707</v>
      </c>
      <c r="E80" s="4">
        <v>-74.017639000000003</v>
      </c>
      <c r="F80" s="5" t="s">
        <v>14</v>
      </c>
      <c r="G80" s="5" t="s">
        <v>14</v>
      </c>
      <c r="H80" s="6">
        <v>0</v>
      </c>
      <c r="I80" s="7">
        <v>40000</v>
      </c>
      <c r="J80" s="13">
        <v>0</v>
      </c>
      <c r="K80" s="9">
        <v>0.17499999999999999</v>
      </c>
      <c r="L80" s="8">
        <f t="shared" si="2"/>
        <v>0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1:34" x14ac:dyDescent="0.25">
      <c r="A81" s="2" t="s">
        <v>32</v>
      </c>
      <c r="B81" s="3" t="s">
        <v>13</v>
      </c>
      <c r="C81" s="3">
        <v>1994</v>
      </c>
      <c r="D81" s="4">
        <v>40.164707</v>
      </c>
      <c r="E81" s="4">
        <v>-74.017639000000003</v>
      </c>
      <c r="F81" s="14" t="s">
        <v>1</v>
      </c>
      <c r="G81" s="5" t="s">
        <v>14</v>
      </c>
      <c r="H81" s="6">
        <v>0</v>
      </c>
      <c r="I81" s="7">
        <v>70000</v>
      </c>
      <c r="J81" s="13">
        <v>0</v>
      </c>
      <c r="K81" s="9">
        <v>0.621</v>
      </c>
      <c r="L81" s="8">
        <f t="shared" si="2"/>
        <v>0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1:34" x14ac:dyDescent="0.25">
      <c r="A82" s="29" t="s">
        <v>32</v>
      </c>
      <c r="B82" s="34" t="s">
        <v>13</v>
      </c>
      <c r="C82" s="34">
        <v>1994</v>
      </c>
      <c r="D82" s="22">
        <v>40.150143999999997</v>
      </c>
      <c r="E82" s="22">
        <v>-74.022302999999994</v>
      </c>
      <c r="F82" s="14" t="s">
        <v>1</v>
      </c>
      <c r="G82" s="18" t="s">
        <v>14</v>
      </c>
      <c r="H82" s="25">
        <v>1180</v>
      </c>
      <c r="I82" s="25">
        <v>70000</v>
      </c>
      <c r="J82" s="26">
        <v>347199</v>
      </c>
      <c r="K82" s="9">
        <v>0.621</v>
      </c>
      <c r="L82" s="26">
        <f t="shared" si="2"/>
        <v>559096.61835748795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:34" ht="25" x14ac:dyDescent="0.25">
      <c r="A83" s="87" t="s">
        <v>81</v>
      </c>
      <c r="B83" s="75" t="s">
        <v>13</v>
      </c>
      <c r="C83" s="76">
        <v>1999</v>
      </c>
      <c r="D83" s="77">
        <v>40.150143999999997</v>
      </c>
      <c r="E83" s="77">
        <v>-74.022302999999994</v>
      </c>
      <c r="F83" s="78" t="s">
        <v>15</v>
      </c>
      <c r="G83" s="78" t="s">
        <v>16</v>
      </c>
      <c r="H83" s="79">
        <v>31152</v>
      </c>
      <c r="I83" s="79">
        <v>4100000</v>
      </c>
      <c r="J83" s="86">
        <v>44615384</v>
      </c>
      <c r="K83" s="81">
        <v>0.69899999999999995</v>
      </c>
      <c r="L83" s="82">
        <f t="shared" si="2"/>
        <v>63827444.921316169</v>
      </c>
      <c r="Q83" s="57"/>
      <c r="R83" s="57"/>
      <c r="S83" s="57"/>
      <c r="T83" s="57"/>
      <c r="U83" s="57"/>
      <c r="V83" s="57"/>
      <c r="W83" s="57"/>
      <c r="X83" s="57"/>
      <c r="Y83" s="57"/>
      <c r="Z83" s="10"/>
      <c r="AA83" s="10"/>
      <c r="AB83" s="10"/>
      <c r="AC83" s="10"/>
      <c r="AD83" s="10"/>
      <c r="AE83" s="10"/>
      <c r="AF83" s="10"/>
      <c r="AG83" s="10"/>
      <c r="AH83" s="10"/>
    </row>
    <row r="84" spans="1:34" ht="25" x14ac:dyDescent="0.25">
      <c r="A84" s="57" t="s">
        <v>81</v>
      </c>
      <c r="B84" s="75" t="s">
        <v>13</v>
      </c>
      <c r="C84" s="83">
        <v>2014</v>
      </c>
      <c r="D84" s="77">
        <v>40.150143999999997</v>
      </c>
      <c r="E84" s="77">
        <v>-74.022302999999994</v>
      </c>
      <c r="F84" s="84" t="s">
        <v>15</v>
      </c>
      <c r="G84" s="77" t="s">
        <v>17</v>
      </c>
      <c r="H84" s="85"/>
      <c r="I84" s="79">
        <v>1500000</v>
      </c>
      <c r="J84" s="86">
        <v>25300000</v>
      </c>
      <c r="K84" s="81">
        <v>0.99399999999999999</v>
      </c>
      <c r="L84" s="82">
        <f t="shared" si="2"/>
        <v>25452716.29778672</v>
      </c>
      <c r="Q84" s="57"/>
      <c r="R84" s="57"/>
      <c r="S84" s="57"/>
      <c r="T84" s="57"/>
      <c r="U84" s="57"/>
      <c r="V84" s="57"/>
      <c r="W84" s="57"/>
      <c r="X84" s="57"/>
      <c r="Y84" s="57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 x14ac:dyDescent="0.25">
      <c r="A85" s="2" t="s">
        <v>94</v>
      </c>
      <c r="B85" s="3" t="s">
        <v>13</v>
      </c>
      <c r="C85" s="3">
        <v>1959</v>
      </c>
      <c r="D85" s="22">
        <v>40.150143999999997</v>
      </c>
      <c r="E85" s="22">
        <v>-74.022302999999994</v>
      </c>
      <c r="F85" s="14" t="s">
        <v>15</v>
      </c>
      <c r="G85" s="14" t="s">
        <v>17</v>
      </c>
      <c r="H85" s="6">
        <v>0</v>
      </c>
      <c r="I85" s="7">
        <v>2000</v>
      </c>
      <c r="J85" s="13">
        <v>0</v>
      </c>
      <c r="K85" s="9">
        <v>0.122</v>
      </c>
      <c r="L85" s="8">
        <f t="shared" si="2"/>
        <v>0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spans="1:34" x14ac:dyDescent="0.25">
      <c r="A86" s="2" t="s">
        <v>94</v>
      </c>
      <c r="B86" s="3" t="s">
        <v>13</v>
      </c>
      <c r="C86" s="3">
        <v>1969</v>
      </c>
      <c r="D86" s="22">
        <v>40.150143999999997</v>
      </c>
      <c r="E86" s="22">
        <v>-74.022302999999994</v>
      </c>
      <c r="F86" s="14" t="s">
        <v>1</v>
      </c>
      <c r="G86" s="5" t="s">
        <v>14</v>
      </c>
      <c r="H86" s="6">
        <v>0</v>
      </c>
      <c r="I86" s="7">
        <v>93600</v>
      </c>
      <c r="J86" s="8">
        <v>112728</v>
      </c>
      <c r="K86" s="9">
        <v>0.154</v>
      </c>
      <c r="L86" s="8">
        <f t="shared" si="2"/>
        <v>732000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spans="1:34" x14ac:dyDescent="0.25">
      <c r="A87" s="2" t="s">
        <v>94</v>
      </c>
      <c r="B87" s="3" t="s">
        <v>13</v>
      </c>
      <c r="C87" s="11">
        <v>1969</v>
      </c>
      <c r="D87" s="22">
        <v>40.150143999999997</v>
      </c>
      <c r="E87" s="22">
        <v>-74.022302999999994</v>
      </c>
      <c r="F87" s="14" t="s">
        <v>1</v>
      </c>
      <c r="G87" s="5" t="s">
        <v>14</v>
      </c>
      <c r="H87" s="6">
        <v>0</v>
      </c>
      <c r="I87" s="6">
        <v>0</v>
      </c>
      <c r="J87" s="19">
        <v>112728</v>
      </c>
      <c r="K87" s="9">
        <v>0.154</v>
      </c>
      <c r="L87" s="8">
        <f t="shared" si="2"/>
        <v>732000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34" x14ac:dyDescent="0.25">
      <c r="A88" s="2" t="s">
        <v>94</v>
      </c>
      <c r="B88" s="3" t="s">
        <v>13</v>
      </c>
      <c r="C88" s="3">
        <v>1970</v>
      </c>
      <c r="D88" s="22">
        <v>40.150143999999997</v>
      </c>
      <c r="E88" s="22">
        <v>-74.022302999999994</v>
      </c>
      <c r="F88" s="5" t="s">
        <v>14</v>
      </c>
      <c r="G88" s="5" t="s">
        <v>14</v>
      </c>
      <c r="H88" s="6">
        <v>0</v>
      </c>
      <c r="I88" s="7">
        <v>55000</v>
      </c>
      <c r="J88" s="13">
        <v>0</v>
      </c>
      <c r="K88" s="9">
        <v>0.16300000000000001</v>
      </c>
      <c r="L88" s="8">
        <f t="shared" si="2"/>
        <v>0</v>
      </c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 x14ac:dyDescent="0.25">
      <c r="A89" s="2" t="s">
        <v>88</v>
      </c>
      <c r="B89" s="3" t="s">
        <v>13</v>
      </c>
      <c r="C89" s="3">
        <v>1962</v>
      </c>
      <c r="D89" s="4">
        <v>40.128819</v>
      </c>
      <c r="E89" s="4">
        <v>-74.029498000000004</v>
      </c>
      <c r="F89" s="5" t="s">
        <v>14</v>
      </c>
      <c r="G89" s="5" t="s">
        <v>14</v>
      </c>
      <c r="H89" s="6">
        <v>0</v>
      </c>
      <c r="I89" s="7">
        <v>46300</v>
      </c>
      <c r="J89" s="13">
        <v>0</v>
      </c>
      <c r="K89" s="9">
        <v>0.127</v>
      </c>
      <c r="L89" s="8">
        <f t="shared" si="2"/>
        <v>0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spans="1:34" x14ac:dyDescent="0.25">
      <c r="A90" s="2" t="s">
        <v>88</v>
      </c>
      <c r="B90" s="3" t="s">
        <v>13</v>
      </c>
      <c r="C90" s="3">
        <v>1966</v>
      </c>
      <c r="D90" s="4">
        <v>40.128819</v>
      </c>
      <c r="E90" s="4">
        <v>-74.029498000000004</v>
      </c>
      <c r="F90" s="14" t="s">
        <v>15</v>
      </c>
      <c r="G90" s="14" t="s">
        <v>16</v>
      </c>
      <c r="H90" s="6">
        <v>0</v>
      </c>
      <c r="I90" s="7">
        <v>425211</v>
      </c>
      <c r="J90" s="8">
        <v>552774</v>
      </c>
      <c r="K90" s="9">
        <v>0.13600000000000001</v>
      </c>
      <c r="L90" s="8">
        <f t="shared" si="2"/>
        <v>4064514.7058823528</v>
      </c>
      <c r="Q90" s="10"/>
      <c r="R90" s="10"/>
      <c r="S90" s="10"/>
      <c r="T90" s="10"/>
      <c r="U90" s="10"/>
      <c r="V90" s="10"/>
      <c r="W90" s="10"/>
      <c r="X90" s="10"/>
      <c r="Y90" s="10"/>
      <c r="Z90" s="16"/>
      <c r="AA90" s="16"/>
      <c r="AB90" s="16"/>
      <c r="AC90" s="16"/>
      <c r="AD90" s="16"/>
      <c r="AE90" s="16"/>
      <c r="AF90" s="16"/>
      <c r="AG90" s="16"/>
      <c r="AH90" s="16"/>
    </row>
    <row r="91" spans="1:34" x14ac:dyDescent="0.25">
      <c r="A91" s="2" t="s">
        <v>88</v>
      </c>
      <c r="B91" s="3" t="s">
        <v>13</v>
      </c>
      <c r="C91" s="3">
        <v>1966</v>
      </c>
      <c r="D91" s="4">
        <v>40.128819</v>
      </c>
      <c r="E91" s="4">
        <v>-74.029498000000004</v>
      </c>
      <c r="F91" s="14" t="s">
        <v>15</v>
      </c>
      <c r="G91" s="5" t="s">
        <v>14</v>
      </c>
      <c r="H91" s="6">
        <v>0</v>
      </c>
      <c r="I91" s="7">
        <v>250000</v>
      </c>
      <c r="J91" s="13">
        <v>0</v>
      </c>
      <c r="K91" s="9">
        <v>0.13600000000000001</v>
      </c>
      <c r="L91" s="8">
        <f t="shared" si="2"/>
        <v>0</v>
      </c>
      <c r="Q91" s="10"/>
      <c r="R91" s="10"/>
      <c r="S91" s="10"/>
      <c r="T91" s="10"/>
      <c r="U91" s="10"/>
      <c r="V91" s="10"/>
      <c r="W91" s="10"/>
      <c r="X91" s="10"/>
      <c r="Y91" s="10"/>
      <c r="Z91" s="16"/>
      <c r="AA91" s="16"/>
      <c r="AB91" s="16"/>
      <c r="AC91" s="16"/>
      <c r="AD91" s="16"/>
      <c r="AE91" s="16"/>
      <c r="AF91" s="16"/>
      <c r="AG91" s="16"/>
      <c r="AH91" s="16"/>
    </row>
    <row r="92" spans="1:34" x14ac:dyDescent="0.25">
      <c r="A92" s="2" t="s">
        <v>88</v>
      </c>
      <c r="B92" s="3" t="s">
        <v>13</v>
      </c>
      <c r="C92" s="3">
        <v>1978</v>
      </c>
      <c r="D92" s="4">
        <v>40.128819</v>
      </c>
      <c r="E92" s="4">
        <v>-74.029498000000004</v>
      </c>
      <c r="F92" s="14" t="s">
        <v>15</v>
      </c>
      <c r="G92" s="14" t="s">
        <v>17</v>
      </c>
      <c r="H92" s="6">
        <v>0</v>
      </c>
      <c r="I92" s="7">
        <v>60744</v>
      </c>
      <c r="J92" s="13">
        <v>0</v>
      </c>
      <c r="K92" s="9">
        <v>0.27400000000000002</v>
      </c>
      <c r="L92" s="8">
        <f t="shared" si="2"/>
        <v>0</v>
      </c>
      <c r="Q92" s="10"/>
      <c r="R92" s="10"/>
      <c r="S92" s="10"/>
      <c r="T92" s="10"/>
      <c r="U92" s="10"/>
      <c r="V92" s="10"/>
      <c r="W92" s="10"/>
      <c r="X92" s="10"/>
      <c r="Y92" s="10"/>
      <c r="Z92" s="16"/>
      <c r="AA92" s="16"/>
      <c r="AB92" s="16"/>
      <c r="AC92" s="16"/>
      <c r="AD92" s="16"/>
      <c r="AE92" s="16"/>
      <c r="AF92" s="16"/>
      <c r="AG92" s="16"/>
      <c r="AH92" s="16"/>
    </row>
    <row r="93" spans="1:34" x14ac:dyDescent="0.25">
      <c r="A93" s="2" t="s">
        <v>27</v>
      </c>
      <c r="B93" s="3" t="s">
        <v>13</v>
      </c>
      <c r="C93" s="3">
        <v>1963</v>
      </c>
      <c r="D93" s="4">
        <v>40.06326</v>
      </c>
      <c r="E93" s="4">
        <v>-74.054804000000004</v>
      </c>
      <c r="F93" s="5" t="s">
        <v>15</v>
      </c>
      <c r="G93" s="18" t="s">
        <v>17</v>
      </c>
      <c r="H93" s="6">
        <v>0</v>
      </c>
      <c r="I93" s="7">
        <v>538000</v>
      </c>
      <c r="J93" s="8">
        <v>217551</v>
      </c>
      <c r="K93" s="9">
        <v>0.129</v>
      </c>
      <c r="L93" s="8">
        <f t="shared" si="2"/>
        <v>1686441.8604651163</v>
      </c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spans="1:34" x14ac:dyDescent="0.25">
      <c r="A94" s="2" t="s">
        <v>48</v>
      </c>
      <c r="B94" s="3" t="s">
        <v>13</v>
      </c>
      <c r="C94" s="3">
        <v>1953</v>
      </c>
      <c r="D94" s="4">
        <v>39.970492999999998</v>
      </c>
      <c r="E94" s="4">
        <v>-74.065467999999996</v>
      </c>
      <c r="F94" s="5" t="s">
        <v>14</v>
      </c>
      <c r="G94" s="5" t="s">
        <v>14</v>
      </c>
      <c r="H94" s="6">
        <v>0</v>
      </c>
      <c r="I94" s="7">
        <v>200000</v>
      </c>
      <c r="J94" s="13">
        <v>0</v>
      </c>
      <c r="K94" s="20">
        <v>0.112</v>
      </c>
      <c r="L94" s="8">
        <f t="shared" si="2"/>
        <v>0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spans="1:34" x14ac:dyDescent="0.25">
      <c r="A95" s="2" t="s">
        <v>48</v>
      </c>
      <c r="B95" s="3" t="s">
        <v>13</v>
      </c>
      <c r="C95" s="3">
        <v>1962</v>
      </c>
      <c r="D95" s="4">
        <v>39.970492999999998</v>
      </c>
      <c r="E95" s="4">
        <v>-74.065467999999996</v>
      </c>
      <c r="F95" s="5" t="s">
        <v>14</v>
      </c>
      <c r="G95" s="5" t="s">
        <v>14</v>
      </c>
      <c r="H95" s="6">
        <v>0</v>
      </c>
      <c r="I95" s="7">
        <v>320631</v>
      </c>
      <c r="J95" s="13">
        <v>0</v>
      </c>
      <c r="K95" s="9">
        <v>0.127</v>
      </c>
      <c r="L95" s="8">
        <f t="shared" si="2"/>
        <v>0</v>
      </c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spans="1:34" x14ac:dyDescent="0.25">
      <c r="A96" s="2" t="s">
        <v>48</v>
      </c>
      <c r="B96" s="3" t="s">
        <v>13</v>
      </c>
      <c r="C96" s="3">
        <v>1963</v>
      </c>
      <c r="D96" s="4">
        <v>39.970492999999998</v>
      </c>
      <c r="E96" s="4">
        <v>-74.065467999999996</v>
      </c>
      <c r="F96" s="14" t="s">
        <v>15</v>
      </c>
      <c r="G96" s="14" t="s">
        <v>17</v>
      </c>
      <c r="H96" s="6">
        <v>0</v>
      </c>
      <c r="I96" s="7">
        <v>190000</v>
      </c>
      <c r="J96" s="8">
        <v>186225</v>
      </c>
      <c r="K96" s="9">
        <v>0.129</v>
      </c>
      <c r="L96" s="8">
        <f t="shared" si="2"/>
        <v>1443604.6511627906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spans="1:34" x14ac:dyDescent="0.25">
      <c r="A97" s="2" t="s">
        <v>45</v>
      </c>
      <c r="B97" s="3" t="s">
        <v>13</v>
      </c>
      <c r="C97" s="3">
        <v>1962</v>
      </c>
      <c r="D97" s="4">
        <v>39.940845000000003</v>
      </c>
      <c r="E97" s="4">
        <v>-74.150944999999993</v>
      </c>
      <c r="F97" s="14" t="s">
        <v>15</v>
      </c>
      <c r="G97" s="14" t="s">
        <v>17</v>
      </c>
      <c r="H97" s="6">
        <v>0</v>
      </c>
      <c r="I97" s="7">
        <v>15000</v>
      </c>
      <c r="J97" s="8">
        <v>18300</v>
      </c>
      <c r="K97" s="9">
        <v>0.127</v>
      </c>
      <c r="L97" s="8">
        <f t="shared" si="2"/>
        <v>144094.48818897636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spans="1:34" x14ac:dyDescent="0.25">
      <c r="A98" s="2" t="s">
        <v>89</v>
      </c>
      <c r="B98" s="3" t="s">
        <v>13</v>
      </c>
      <c r="C98" s="3">
        <v>1963</v>
      </c>
      <c r="D98" s="4">
        <v>39.940556999999998</v>
      </c>
      <c r="E98" s="4">
        <v>-74.070429000000004</v>
      </c>
      <c r="F98" s="5" t="s">
        <v>14</v>
      </c>
      <c r="G98" s="5" t="s">
        <v>14</v>
      </c>
      <c r="H98" s="6">
        <v>0</v>
      </c>
      <c r="I98" s="7">
        <v>218284</v>
      </c>
      <c r="J98" s="8">
        <v>154498</v>
      </c>
      <c r="K98" s="9">
        <v>0.129</v>
      </c>
      <c r="L98" s="8">
        <f t="shared" ref="L98:L110" si="3">+J98/K98</f>
        <v>1197658.914728682</v>
      </c>
      <c r="Q98" s="10"/>
      <c r="R98" s="10"/>
      <c r="S98" s="10"/>
      <c r="T98" s="10"/>
      <c r="U98" s="10"/>
      <c r="V98" s="10"/>
      <c r="W98" s="10"/>
      <c r="X98" s="10"/>
      <c r="Y98" s="10"/>
      <c r="Z98" s="16"/>
      <c r="AA98" s="16"/>
      <c r="AB98" s="16"/>
      <c r="AC98" s="16"/>
      <c r="AD98" s="16"/>
      <c r="AE98" s="16"/>
      <c r="AF98" s="16"/>
      <c r="AG98" s="16"/>
      <c r="AH98" s="16"/>
    </row>
    <row r="99" spans="1:34" x14ac:dyDescent="0.25">
      <c r="A99" s="2" t="s">
        <v>75</v>
      </c>
      <c r="B99" s="3" t="s">
        <v>13</v>
      </c>
      <c r="C99" s="3">
        <v>1961</v>
      </c>
      <c r="D99" s="4">
        <v>39.939866000000002</v>
      </c>
      <c r="E99" s="4">
        <v>-74.165678999999997</v>
      </c>
      <c r="F99" s="5" t="s">
        <v>14</v>
      </c>
      <c r="G99" s="5" t="s">
        <v>14</v>
      </c>
      <c r="H99" s="6">
        <v>0</v>
      </c>
      <c r="I99" s="7">
        <v>50000</v>
      </c>
      <c r="J99" s="13">
        <v>0</v>
      </c>
      <c r="K99" s="9">
        <v>0.126</v>
      </c>
      <c r="L99" s="8">
        <f t="shared" si="3"/>
        <v>0</v>
      </c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spans="1:34" x14ac:dyDescent="0.25">
      <c r="A100" s="2" t="s">
        <v>74</v>
      </c>
      <c r="B100" s="3" t="s">
        <v>13</v>
      </c>
      <c r="C100" s="3">
        <v>1961</v>
      </c>
      <c r="D100" s="4">
        <v>39.928019999999997</v>
      </c>
      <c r="E100" s="4">
        <v>-74.133234999999999</v>
      </c>
      <c r="F100" s="5" t="s">
        <v>14</v>
      </c>
      <c r="G100" s="5" t="s">
        <v>14</v>
      </c>
      <c r="H100" s="6">
        <v>0</v>
      </c>
      <c r="I100" s="7">
        <v>30000</v>
      </c>
      <c r="J100" s="13">
        <v>0</v>
      </c>
      <c r="K100" s="9">
        <v>0.126</v>
      </c>
      <c r="L100" s="8">
        <f t="shared" si="3"/>
        <v>0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spans="1:34" x14ac:dyDescent="0.25">
      <c r="A101" s="2" t="s">
        <v>90</v>
      </c>
      <c r="B101" s="3" t="s">
        <v>13</v>
      </c>
      <c r="C101" s="3">
        <v>1963</v>
      </c>
      <c r="D101" s="4">
        <v>39.924416000000001</v>
      </c>
      <c r="E101" s="4">
        <v>-74.074387999999999</v>
      </c>
      <c r="F101" s="14" t="s">
        <v>15</v>
      </c>
      <c r="G101" s="14" t="s">
        <v>17</v>
      </c>
      <c r="H101" s="6">
        <v>0</v>
      </c>
      <c r="I101" s="7">
        <v>136400</v>
      </c>
      <c r="J101" s="8">
        <v>99443</v>
      </c>
      <c r="K101" s="9">
        <v>0.129</v>
      </c>
      <c r="L101" s="8">
        <f t="shared" si="3"/>
        <v>770875.96899224806</v>
      </c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spans="1:34" x14ac:dyDescent="0.25">
      <c r="A102" s="2" t="s">
        <v>90</v>
      </c>
      <c r="B102" s="3" t="s">
        <v>13</v>
      </c>
      <c r="C102" s="3">
        <v>1964</v>
      </c>
      <c r="D102" s="4">
        <v>39.924416000000001</v>
      </c>
      <c r="E102" s="4">
        <v>-74.074387999999999</v>
      </c>
      <c r="F102" s="5" t="s">
        <v>14</v>
      </c>
      <c r="G102" s="5" t="s">
        <v>14</v>
      </c>
      <c r="H102" s="6">
        <v>0</v>
      </c>
      <c r="I102" s="7">
        <v>190000</v>
      </c>
      <c r="J102" s="13">
        <v>0</v>
      </c>
      <c r="K102" s="9">
        <v>0.13</v>
      </c>
      <c r="L102" s="8">
        <f t="shared" si="3"/>
        <v>0</v>
      </c>
      <c r="Q102" s="10"/>
      <c r="R102" s="10"/>
      <c r="S102" s="10"/>
      <c r="T102" s="10"/>
      <c r="U102" s="10"/>
      <c r="V102" s="10"/>
      <c r="W102" s="10"/>
      <c r="X102" s="10"/>
      <c r="Y102" s="10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spans="1:34" x14ac:dyDescent="0.25">
      <c r="A103" s="2" t="s">
        <v>93</v>
      </c>
      <c r="B103" s="3" t="s">
        <v>13</v>
      </c>
      <c r="C103" s="3">
        <v>1978</v>
      </c>
      <c r="D103" s="4">
        <v>39.909728000000001</v>
      </c>
      <c r="E103" s="4">
        <v>-74.077465000000004</v>
      </c>
      <c r="F103" s="14" t="s">
        <v>1</v>
      </c>
      <c r="G103" s="5" t="s">
        <v>14</v>
      </c>
      <c r="H103" s="6">
        <v>0</v>
      </c>
      <c r="I103" s="6">
        <v>0</v>
      </c>
      <c r="J103" s="13">
        <v>0</v>
      </c>
      <c r="K103" s="9">
        <v>0.27400000000000002</v>
      </c>
      <c r="L103" s="8">
        <f t="shared" si="3"/>
        <v>0</v>
      </c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spans="1:34" x14ac:dyDescent="0.25">
      <c r="A104" s="2" t="s">
        <v>44</v>
      </c>
      <c r="B104" s="3" t="s">
        <v>13</v>
      </c>
      <c r="C104" s="3">
        <v>1955</v>
      </c>
      <c r="D104" s="4">
        <v>39.821672</v>
      </c>
      <c r="E104" s="4">
        <v>-74.089651000000003</v>
      </c>
      <c r="F104" s="5" t="s">
        <v>14</v>
      </c>
      <c r="G104" s="5" t="s">
        <v>14</v>
      </c>
      <c r="H104" s="6">
        <v>0</v>
      </c>
      <c r="I104" s="7">
        <v>200000</v>
      </c>
      <c r="J104" s="13">
        <v>0</v>
      </c>
      <c r="K104" s="9">
        <v>0.112</v>
      </c>
      <c r="L104" s="8">
        <f t="shared" si="3"/>
        <v>0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spans="1:34" x14ac:dyDescent="0.25">
      <c r="A105" s="2" t="s">
        <v>44</v>
      </c>
      <c r="B105" s="3" t="s">
        <v>13</v>
      </c>
      <c r="C105" s="3">
        <v>1962</v>
      </c>
      <c r="D105" s="4">
        <v>39.821672</v>
      </c>
      <c r="E105" s="4">
        <v>-74.089651000000003</v>
      </c>
      <c r="F105" s="14" t="s">
        <v>15</v>
      </c>
      <c r="G105" s="14" t="s">
        <v>17</v>
      </c>
      <c r="H105" s="6">
        <v>0</v>
      </c>
      <c r="I105" s="7">
        <v>60000</v>
      </c>
      <c r="J105" s="13">
        <v>0</v>
      </c>
      <c r="K105" s="9">
        <v>0.127</v>
      </c>
      <c r="L105" s="8">
        <f t="shared" si="3"/>
        <v>0</v>
      </c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spans="1:34" x14ac:dyDescent="0.25">
      <c r="A106" s="2" t="s">
        <v>26</v>
      </c>
      <c r="B106" s="3" t="s">
        <v>13</v>
      </c>
      <c r="C106" s="11">
        <v>1963</v>
      </c>
      <c r="D106" s="4">
        <v>39.764626</v>
      </c>
      <c r="E106" s="4">
        <v>-74.105425999999994</v>
      </c>
      <c r="F106" s="5" t="s">
        <v>15</v>
      </c>
      <c r="G106" s="18" t="s">
        <v>17</v>
      </c>
      <c r="H106" s="6">
        <v>0</v>
      </c>
      <c r="I106" s="12">
        <v>65000</v>
      </c>
      <c r="J106" s="19">
        <v>71566</v>
      </c>
      <c r="K106" s="9">
        <v>0.129</v>
      </c>
      <c r="L106" s="8">
        <f t="shared" si="3"/>
        <v>554775.19379844959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spans="1:34" x14ac:dyDescent="0.25">
      <c r="A107" s="2" t="s">
        <v>26</v>
      </c>
      <c r="B107" s="3" t="s">
        <v>13</v>
      </c>
      <c r="C107" s="3">
        <v>1966</v>
      </c>
      <c r="D107" s="4">
        <v>39.764626</v>
      </c>
      <c r="E107" s="4">
        <v>-74.105425999999994</v>
      </c>
      <c r="F107" s="14" t="s">
        <v>1</v>
      </c>
      <c r="G107" s="5" t="s">
        <v>14</v>
      </c>
      <c r="H107" s="6">
        <v>0</v>
      </c>
      <c r="I107" s="6">
        <v>0</v>
      </c>
      <c r="J107" s="8">
        <v>65481</v>
      </c>
      <c r="K107" s="9">
        <v>0.13600000000000001</v>
      </c>
      <c r="L107" s="8">
        <f t="shared" si="3"/>
        <v>481477.94117647054</v>
      </c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 x14ac:dyDescent="0.25">
      <c r="A108" s="2" t="s">
        <v>26</v>
      </c>
      <c r="B108" s="3" t="s">
        <v>13</v>
      </c>
      <c r="C108" s="3">
        <v>1991</v>
      </c>
      <c r="D108" s="4">
        <v>39.764626</v>
      </c>
      <c r="E108" s="4">
        <v>-74.105425999999994</v>
      </c>
      <c r="F108" s="14" t="s">
        <v>15</v>
      </c>
      <c r="G108" s="5" t="s">
        <v>19</v>
      </c>
      <c r="H108" s="6">
        <v>0</v>
      </c>
      <c r="I108" s="7">
        <v>75000</v>
      </c>
      <c r="J108" s="8">
        <v>326087</v>
      </c>
      <c r="K108" s="9">
        <v>0.57099999999999995</v>
      </c>
      <c r="L108" s="8">
        <f t="shared" si="3"/>
        <v>571080.56042031525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spans="1:34" x14ac:dyDescent="0.25">
      <c r="A109" s="2" t="s">
        <v>51</v>
      </c>
      <c r="B109" s="3" t="s">
        <v>13</v>
      </c>
      <c r="C109" s="3">
        <v>1962</v>
      </c>
      <c r="D109" s="4">
        <v>39.764626</v>
      </c>
      <c r="E109" s="4">
        <v>-74.105425999999994</v>
      </c>
      <c r="F109" s="14" t="s">
        <v>1</v>
      </c>
      <c r="G109" s="5" t="s">
        <v>17</v>
      </c>
      <c r="H109" s="6">
        <v>0</v>
      </c>
      <c r="I109" s="7">
        <v>88503</v>
      </c>
      <c r="J109" s="13">
        <v>0</v>
      </c>
      <c r="K109" s="9">
        <v>0.127</v>
      </c>
      <c r="L109" s="8">
        <f t="shared" si="3"/>
        <v>0</v>
      </c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spans="1:34" x14ac:dyDescent="0.25">
      <c r="A110" s="29" t="s">
        <v>58</v>
      </c>
      <c r="B110" s="34" t="s">
        <v>13</v>
      </c>
      <c r="C110" s="34">
        <v>1962</v>
      </c>
      <c r="D110" s="22">
        <v>39.723635000000002</v>
      </c>
      <c r="E110" s="22">
        <v>-74.134540999999999</v>
      </c>
      <c r="F110" s="14" t="s">
        <v>1</v>
      </c>
      <c r="G110" s="23" t="s">
        <v>17</v>
      </c>
      <c r="H110" s="6">
        <v>0</v>
      </c>
      <c r="I110" s="7">
        <v>79348</v>
      </c>
      <c r="J110" s="36">
        <v>0</v>
      </c>
      <c r="K110" s="9">
        <v>0.127</v>
      </c>
      <c r="L110" s="8">
        <f t="shared" si="3"/>
        <v>0</v>
      </c>
      <c r="Q110" s="46"/>
      <c r="R110" s="46"/>
      <c r="S110" s="46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spans="1:34" x14ac:dyDescent="0.25">
      <c r="A111" s="29" t="s">
        <v>58</v>
      </c>
      <c r="B111" s="34" t="s">
        <v>13</v>
      </c>
      <c r="C111" s="34">
        <v>1992</v>
      </c>
      <c r="D111" s="22">
        <v>39.723635000000002</v>
      </c>
      <c r="E111" s="22">
        <v>-74.134540999999999</v>
      </c>
      <c r="F111" s="5" t="s">
        <v>15</v>
      </c>
      <c r="G111" s="18" t="s">
        <v>14</v>
      </c>
      <c r="H111" s="24">
        <v>0</v>
      </c>
      <c r="I111" s="25">
        <v>183000</v>
      </c>
      <c r="J111" s="36">
        <v>0</v>
      </c>
      <c r="K111" s="9">
        <v>0.58799999999999997</v>
      </c>
      <c r="L111" s="8">
        <f>+J111/K112</f>
        <v>0</v>
      </c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spans="1:34" x14ac:dyDescent="0.25">
      <c r="A112" s="2" t="s">
        <v>59</v>
      </c>
      <c r="B112" s="3" t="s">
        <v>13</v>
      </c>
      <c r="C112" s="3">
        <v>1978</v>
      </c>
      <c r="D112" s="4">
        <v>39.716430000000003</v>
      </c>
      <c r="E112" s="4">
        <v>-74.128017</v>
      </c>
      <c r="F112" s="14" t="s">
        <v>1</v>
      </c>
      <c r="G112" s="18" t="s">
        <v>17</v>
      </c>
      <c r="H112" s="6">
        <v>0</v>
      </c>
      <c r="I112" s="7">
        <v>1000000</v>
      </c>
      <c r="J112" s="13">
        <v>0</v>
      </c>
      <c r="K112" s="9">
        <v>0.27400000000000002</v>
      </c>
      <c r="L112" s="8">
        <f t="shared" ref="L112:L122" si="4">+J112/K112</f>
        <v>0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spans="1:34" x14ac:dyDescent="0.25">
      <c r="A113" s="2" t="s">
        <v>54</v>
      </c>
      <c r="B113" s="3" t="s">
        <v>13</v>
      </c>
      <c r="C113" s="3">
        <v>1954</v>
      </c>
      <c r="D113" s="4">
        <v>39.705998000000001</v>
      </c>
      <c r="E113" s="4">
        <v>-74.132244999999998</v>
      </c>
      <c r="F113" s="5" t="s">
        <v>14</v>
      </c>
      <c r="G113" s="5" t="s">
        <v>14</v>
      </c>
      <c r="H113" s="6">
        <v>3200</v>
      </c>
      <c r="I113" s="7">
        <v>114693</v>
      </c>
      <c r="J113" s="13">
        <v>0</v>
      </c>
      <c r="K113" s="9">
        <v>0.113</v>
      </c>
      <c r="L113" s="8">
        <f t="shared" si="4"/>
        <v>0</v>
      </c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spans="1:34" x14ac:dyDescent="0.25">
      <c r="A114" s="2" t="s">
        <v>54</v>
      </c>
      <c r="B114" s="3" t="s">
        <v>13</v>
      </c>
      <c r="C114" s="3">
        <v>1958</v>
      </c>
      <c r="D114" s="4">
        <v>39.705998000000001</v>
      </c>
      <c r="E114" s="4">
        <v>-74.132244999999998</v>
      </c>
      <c r="F114" s="5" t="s">
        <v>14</v>
      </c>
      <c r="G114" s="5" t="s">
        <v>14</v>
      </c>
      <c r="H114" s="6">
        <v>2700</v>
      </c>
      <c r="I114" s="7">
        <v>149000</v>
      </c>
      <c r="J114" s="13">
        <v>0</v>
      </c>
      <c r="K114" s="9">
        <v>0.121</v>
      </c>
      <c r="L114" s="8">
        <f t="shared" si="4"/>
        <v>0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 x14ac:dyDescent="0.25">
      <c r="A115" s="2" t="s">
        <v>54</v>
      </c>
      <c r="B115" s="3" t="s">
        <v>13</v>
      </c>
      <c r="C115" s="3">
        <v>1961</v>
      </c>
      <c r="D115" s="4">
        <v>39.705998000000001</v>
      </c>
      <c r="E115" s="4">
        <v>-74.132244999999998</v>
      </c>
      <c r="F115" s="5" t="s">
        <v>14</v>
      </c>
      <c r="G115" s="5" t="s">
        <v>14</v>
      </c>
      <c r="H115" s="6">
        <v>1000</v>
      </c>
      <c r="I115" s="7">
        <v>60000</v>
      </c>
      <c r="J115" s="13">
        <v>0</v>
      </c>
      <c r="K115" s="9">
        <v>0.126</v>
      </c>
      <c r="L115" s="8">
        <f t="shared" si="4"/>
        <v>0</v>
      </c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spans="1:34" x14ac:dyDescent="0.25">
      <c r="A116" s="2" t="s">
        <v>54</v>
      </c>
      <c r="B116" s="3" t="s">
        <v>13</v>
      </c>
      <c r="C116" s="3">
        <v>1961</v>
      </c>
      <c r="D116" s="4">
        <v>39.705998000000001</v>
      </c>
      <c r="E116" s="4">
        <v>-74.132244999999998</v>
      </c>
      <c r="F116" s="5" t="s">
        <v>14</v>
      </c>
      <c r="G116" s="5" t="s">
        <v>14</v>
      </c>
      <c r="H116" s="6">
        <v>1000</v>
      </c>
      <c r="I116" s="7">
        <v>58000</v>
      </c>
      <c r="J116" s="13">
        <v>0</v>
      </c>
      <c r="K116" s="9">
        <v>0.126</v>
      </c>
      <c r="L116" s="8">
        <f t="shared" si="4"/>
        <v>0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spans="1:34" x14ac:dyDescent="0.25">
      <c r="A117" s="2" t="s">
        <v>54</v>
      </c>
      <c r="B117" s="3" t="s">
        <v>13</v>
      </c>
      <c r="C117" s="3">
        <v>1962</v>
      </c>
      <c r="D117" s="4">
        <v>39.705998000000001</v>
      </c>
      <c r="E117" s="4">
        <v>-74.132244999999998</v>
      </c>
      <c r="F117" s="14" t="s">
        <v>1</v>
      </c>
      <c r="G117" s="18" t="s">
        <v>17</v>
      </c>
      <c r="H117" s="6">
        <v>5660</v>
      </c>
      <c r="I117" s="7">
        <v>353046</v>
      </c>
      <c r="J117" s="13">
        <v>0</v>
      </c>
      <c r="K117" s="9">
        <v>0.127</v>
      </c>
      <c r="L117" s="8">
        <f t="shared" si="4"/>
        <v>0</v>
      </c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spans="1:34" x14ac:dyDescent="0.25">
      <c r="A118" s="2" t="s">
        <v>54</v>
      </c>
      <c r="B118" s="3" t="s">
        <v>13</v>
      </c>
      <c r="C118" s="3">
        <v>1962</v>
      </c>
      <c r="D118" s="4">
        <v>39.705998000000001</v>
      </c>
      <c r="E118" s="4">
        <v>-74.132244999999998</v>
      </c>
      <c r="F118" s="14" t="s">
        <v>1</v>
      </c>
      <c r="G118" s="18" t="s">
        <v>17</v>
      </c>
      <c r="H118" s="6">
        <v>3000</v>
      </c>
      <c r="I118" s="7">
        <v>235252</v>
      </c>
      <c r="J118" s="13">
        <v>0</v>
      </c>
      <c r="K118" s="9">
        <v>0.127</v>
      </c>
      <c r="L118" s="8">
        <f t="shared" si="4"/>
        <v>0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spans="1:34" x14ac:dyDescent="0.25">
      <c r="A119" s="2" t="s">
        <v>54</v>
      </c>
      <c r="B119" s="3" t="s">
        <v>13</v>
      </c>
      <c r="C119" s="3">
        <v>1963</v>
      </c>
      <c r="D119" s="4">
        <v>39.705998000000001</v>
      </c>
      <c r="E119" s="4">
        <v>-74.132244999999998</v>
      </c>
      <c r="F119" s="14" t="s">
        <v>15</v>
      </c>
      <c r="G119" s="18" t="s">
        <v>17</v>
      </c>
      <c r="H119" s="6">
        <v>0</v>
      </c>
      <c r="I119" s="6">
        <v>0</v>
      </c>
      <c r="J119" s="8">
        <v>282770</v>
      </c>
      <c r="K119" s="9">
        <v>0.129</v>
      </c>
      <c r="L119" s="8">
        <f t="shared" si="4"/>
        <v>2192015.503875969</v>
      </c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spans="1:34" x14ac:dyDescent="0.25">
      <c r="A120" s="2" t="s">
        <v>54</v>
      </c>
      <c r="B120" s="3" t="s">
        <v>13</v>
      </c>
      <c r="C120" s="3">
        <v>1966</v>
      </c>
      <c r="D120" s="4">
        <v>39.705998000000001</v>
      </c>
      <c r="E120" s="4">
        <v>-74.132244999999998</v>
      </c>
      <c r="F120" s="14" t="s">
        <v>1</v>
      </c>
      <c r="G120" s="18" t="s">
        <v>17</v>
      </c>
      <c r="H120" s="6">
        <v>3600</v>
      </c>
      <c r="I120" s="7">
        <v>72870</v>
      </c>
      <c r="J120" s="13">
        <v>0</v>
      </c>
      <c r="K120" s="9">
        <v>0.13600000000000001</v>
      </c>
      <c r="L120" s="8">
        <f t="shared" si="4"/>
        <v>0</v>
      </c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spans="1:34" x14ac:dyDescent="0.25">
      <c r="A121" s="2" t="s">
        <v>54</v>
      </c>
      <c r="B121" s="3" t="s">
        <v>13</v>
      </c>
      <c r="C121" s="3">
        <v>1967</v>
      </c>
      <c r="D121" s="4">
        <v>39.705998000000001</v>
      </c>
      <c r="E121" s="4">
        <v>-74.132244999999998</v>
      </c>
      <c r="F121" s="5" t="s">
        <v>14</v>
      </c>
      <c r="G121" s="5" t="s">
        <v>14</v>
      </c>
      <c r="H121" s="6">
        <v>0</v>
      </c>
      <c r="I121" s="7">
        <v>35000</v>
      </c>
      <c r="J121" s="13">
        <v>0</v>
      </c>
      <c r="K121" s="9">
        <v>0.14000000000000001</v>
      </c>
      <c r="L121" s="8">
        <f t="shared" si="4"/>
        <v>0</v>
      </c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spans="1:34" x14ac:dyDescent="0.25">
      <c r="A122" s="2" t="s">
        <v>54</v>
      </c>
      <c r="B122" s="3" t="s">
        <v>13</v>
      </c>
      <c r="C122" s="3">
        <v>1990</v>
      </c>
      <c r="D122" s="4">
        <v>39.705998000000001</v>
      </c>
      <c r="E122" s="4">
        <v>-74.132244999999998</v>
      </c>
      <c r="F122" s="5" t="s">
        <v>14</v>
      </c>
      <c r="G122" s="5" t="s">
        <v>14</v>
      </c>
      <c r="H122" s="6">
        <v>0</v>
      </c>
      <c r="I122" s="7">
        <v>27300</v>
      </c>
      <c r="J122" s="8">
        <v>34957</v>
      </c>
      <c r="K122" s="9">
        <v>0.57099999999999995</v>
      </c>
      <c r="L122" s="8">
        <f t="shared" si="4"/>
        <v>61220.665499124349</v>
      </c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spans="1:34" x14ac:dyDescent="0.25">
      <c r="A123" s="2" t="s">
        <v>54</v>
      </c>
      <c r="B123" s="3" t="s">
        <v>13</v>
      </c>
      <c r="C123" s="3">
        <v>1992</v>
      </c>
      <c r="D123" s="4">
        <v>39.705998000000001</v>
      </c>
      <c r="E123" s="4">
        <v>-74.132244999999998</v>
      </c>
      <c r="F123" s="5" t="s">
        <v>14</v>
      </c>
      <c r="G123" s="5" t="s">
        <v>14</v>
      </c>
      <c r="H123" s="6">
        <v>0</v>
      </c>
      <c r="I123" s="7">
        <v>110000</v>
      </c>
      <c r="J123" s="8">
        <v>491071</v>
      </c>
      <c r="K123" s="9">
        <v>0.58799999999999997</v>
      </c>
      <c r="L123" s="8">
        <f>+J123/K124</f>
        <v>790774.55716586148</v>
      </c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spans="1:34" x14ac:dyDescent="0.25">
      <c r="A124" s="2" t="s">
        <v>54</v>
      </c>
      <c r="B124" s="3" t="s">
        <v>13</v>
      </c>
      <c r="C124" s="3">
        <v>1994</v>
      </c>
      <c r="D124" s="4">
        <v>39.705998000000001</v>
      </c>
      <c r="E124" s="4">
        <v>-74.132244999999998</v>
      </c>
      <c r="F124" s="14" t="s">
        <v>1</v>
      </c>
      <c r="G124" s="5" t="s">
        <v>14</v>
      </c>
      <c r="H124" s="6">
        <v>0</v>
      </c>
      <c r="I124" s="7">
        <v>660000</v>
      </c>
      <c r="J124" s="8">
        <v>3700000</v>
      </c>
      <c r="K124" s="9">
        <v>0.621</v>
      </c>
      <c r="L124" s="8">
        <f t="shared" ref="L124:L155" si="5">+J124/K124</f>
        <v>5958132.0450885668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57"/>
      <c r="AA124" s="57"/>
      <c r="AB124" s="57"/>
      <c r="AC124" s="57"/>
      <c r="AD124" s="57"/>
      <c r="AE124" s="57"/>
      <c r="AF124" s="57"/>
      <c r="AG124" s="57"/>
      <c r="AH124" s="57"/>
    </row>
    <row r="125" spans="1:34" x14ac:dyDescent="0.25">
      <c r="A125" s="2" t="s">
        <v>54</v>
      </c>
      <c r="B125" s="3" t="s">
        <v>13</v>
      </c>
      <c r="C125" s="3">
        <v>1995</v>
      </c>
      <c r="D125" s="4">
        <v>39.705998000000001</v>
      </c>
      <c r="E125" s="4">
        <v>-74.132244999999998</v>
      </c>
      <c r="F125" s="14" t="s">
        <v>1</v>
      </c>
      <c r="G125" s="18" t="s">
        <v>17</v>
      </c>
      <c r="H125" s="6">
        <v>0</v>
      </c>
      <c r="I125" s="7">
        <v>525000</v>
      </c>
      <c r="J125" s="13">
        <v>0</v>
      </c>
      <c r="K125" s="20">
        <v>0.64100000000000001</v>
      </c>
      <c r="L125" s="8">
        <f t="shared" si="5"/>
        <v>0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spans="1:34" x14ac:dyDescent="0.25">
      <c r="A126" s="2" t="s">
        <v>54</v>
      </c>
      <c r="B126" s="3" t="s">
        <v>13</v>
      </c>
      <c r="C126" s="3">
        <v>2005</v>
      </c>
      <c r="D126" s="4">
        <v>39.705998000000001</v>
      </c>
      <c r="E126" s="4">
        <v>-74.132244999999998</v>
      </c>
      <c r="F126" s="5" t="s">
        <v>1</v>
      </c>
      <c r="G126" s="18" t="s">
        <v>17</v>
      </c>
      <c r="H126" s="6">
        <v>800</v>
      </c>
      <c r="I126" s="7">
        <v>16000</v>
      </c>
      <c r="J126" s="13">
        <v>0</v>
      </c>
      <c r="K126" s="9">
        <v>0.82</v>
      </c>
      <c r="L126" s="8">
        <f t="shared" si="5"/>
        <v>0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spans="1:34" x14ac:dyDescent="0.25">
      <c r="A127" s="2" t="s">
        <v>54</v>
      </c>
      <c r="B127" s="3" t="s">
        <v>13</v>
      </c>
      <c r="C127" s="3">
        <v>2010</v>
      </c>
      <c r="D127" s="4">
        <v>39.705998000000001</v>
      </c>
      <c r="E127" s="4">
        <v>-74.132244999999998</v>
      </c>
      <c r="F127" s="14" t="s">
        <v>15</v>
      </c>
      <c r="G127" s="18" t="s">
        <v>16</v>
      </c>
      <c r="H127" s="6">
        <v>9700</v>
      </c>
      <c r="I127" s="7">
        <v>3000000</v>
      </c>
      <c r="J127" s="13">
        <v>25000000</v>
      </c>
      <c r="K127" s="9">
        <v>0.91600000000000004</v>
      </c>
      <c r="L127" s="8">
        <f t="shared" si="5"/>
        <v>27292576.419213973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spans="1:34" x14ac:dyDescent="0.25">
      <c r="A128" s="2" t="s">
        <v>54</v>
      </c>
      <c r="B128" s="3" t="s">
        <v>13</v>
      </c>
      <c r="C128" s="3">
        <v>2014</v>
      </c>
      <c r="D128" s="4">
        <v>39.705998000000001</v>
      </c>
      <c r="E128" s="4">
        <v>-74.132244999999998</v>
      </c>
      <c r="F128" s="14" t="s">
        <v>15</v>
      </c>
      <c r="G128" s="18" t="s">
        <v>17</v>
      </c>
      <c r="H128" s="6"/>
      <c r="I128" s="6">
        <v>1515000</v>
      </c>
      <c r="J128" s="13">
        <v>14340046</v>
      </c>
      <c r="K128" s="9">
        <v>0.99399999999999999</v>
      </c>
      <c r="L128" s="8">
        <f t="shared" si="5"/>
        <v>14426605.633802816</v>
      </c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spans="1:34" x14ac:dyDescent="0.25">
      <c r="A129" s="38" t="s">
        <v>57</v>
      </c>
      <c r="B129" s="39" t="s">
        <v>13</v>
      </c>
      <c r="C129" s="39">
        <v>1962</v>
      </c>
      <c r="D129" s="59">
        <v>39.704970000000003</v>
      </c>
      <c r="E129" s="59">
        <v>-74.133149000000003</v>
      </c>
      <c r="F129" s="48" t="s">
        <v>15</v>
      </c>
      <c r="G129" s="41" t="s">
        <v>35</v>
      </c>
      <c r="H129" s="42">
        <v>19000</v>
      </c>
      <c r="I129" s="49">
        <v>715000</v>
      </c>
      <c r="J129" s="60">
        <v>765700</v>
      </c>
      <c r="K129" s="44">
        <v>0.127</v>
      </c>
      <c r="L129" s="45">
        <f t="shared" si="5"/>
        <v>6029133.8582677161</v>
      </c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spans="1:34" x14ac:dyDescent="0.25">
      <c r="A130" s="2" t="s">
        <v>61</v>
      </c>
      <c r="B130" s="3" t="s">
        <v>13</v>
      </c>
      <c r="C130" s="3">
        <v>1962</v>
      </c>
      <c r="D130" s="4">
        <v>39.660553</v>
      </c>
      <c r="E130" s="4">
        <v>-74.164073000000002</v>
      </c>
      <c r="F130" s="14" t="s">
        <v>15</v>
      </c>
      <c r="G130" s="14" t="s">
        <v>17</v>
      </c>
      <c r="H130" s="6">
        <v>7500</v>
      </c>
      <c r="I130" s="7">
        <v>500000</v>
      </c>
      <c r="J130" s="13">
        <v>0</v>
      </c>
      <c r="K130" s="9">
        <v>0.127</v>
      </c>
      <c r="L130" s="8">
        <f t="shared" si="5"/>
        <v>0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spans="1:34" x14ac:dyDescent="0.25">
      <c r="A131" s="2" t="s">
        <v>61</v>
      </c>
      <c r="B131" s="3" t="s">
        <v>13</v>
      </c>
      <c r="C131" s="3">
        <v>1963</v>
      </c>
      <c r="D131" s="4">
        <v>39.660553</v>
      </c>
      <c r="E131" s="4">
        <v>-74.164073000000002</v>
      </c>
      <c r="F131" s="14" t="s">
        <v>1</v>
      </c>
      <c r="G131" s="18" t="s">
        <v>17</v>
      </c>
      <c r="H131" s="6">
        <v>0</v>
      </c>
      <c r="I131" s="7">
        <v>542276</v>
      </c>
      <c r="J131" s="13">
        <v>0</v>
      </c>
      <c r="K131" s="9">
        <v>0.129</v>
      </c>
      <c r="L131" s="8">
        <f t="shared" si="5"/>
        <v>0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spans="1:34" x14ac:dyDescent="0.25">
      <c r="A132" s="2" t="s">
        <v>61</v>
      </c>
      <c r="B132" s="3" t="s">
        <v>13</v>
      </c>
      <c r="C132" s="3">
        <v>1963</v>
      </c>
      <c r="D132" s="4">
        <v>39.660553</v>
      </c>
      <c r="E132" s="4">
        <v>-74.164073000000002</v>
      </c>
      <c r="F132" s="14" t="s">
        <v>1</v>
      </c>
      <c r="G132" s="5" t="s">
        <v>14</v>
      </c>
      <c r="H132" s="6">
        <v>0</v>
      </c>
      <c r="I132" s="7">
        <v>200000</v>
      </c>
      <c r="J132" s="13">
        <v>0</v>
      </c>
      <c r="K132" s="9">
        <v>0.129</v>
      </c>
      <c r="L132" s="8">
        <f t="shared" si="5"/>
        <v>0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spans="1:34" x14ac:dyDescent="0.25">
      <c r="A133" s="2" t="s">
        <v>60</v>
      </c>
      <c r="B133" s="3" t="s">
        <v>13</v>
      </c>
      <c r="C133" s="3">
        <v>1956</v>
      </c>
      <c r="D133" s="4">
        <v>39.643751000000002</v>
      </c>
      <c r="E133" s="4">
        <v>-74.177437999999995</v>
      </c>
      <c r="F133" s="14" t="s">
        <v>1</v>
      </c>
      <c r="G133" s="5" t="s">
        <v>14</v>
      </c>
      <c r="H133" s="6">
        <v>3500</v>
      </c>
      <c r="I133" s="7">
        <v>182000</v>
      </c>
      <c r="J133" s="8">
        <v>121011</v>
      </c>
      <c r="K133" s="9">
        <v>0.114</v>
      </c>
      <c r="L133" s="8">
        <f t="shared" si="5"/>
        <v>1061500</v>
      </c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spans="1:34" x14ac:dyDescent="0.25">
      <c r="A134" s="2" t="s">
        <v>60</v>
      </c>
      <c r="B134" s="3" t="s">
        <v>13</v>
      </c>
      <c r="C134" s="3">
        <v>1962</v>
      </c>
      <c r="D134" s="4">
        <v>39.643751000000002</v>
      </c>
      <c r="E134" s="4">
        <v>-74.177437999999995</v>
      </c>
      <c r="F134" s="14" t="s">
        <v>15</v>
      </c>
      <c r="G134" s="14" t="s">
        <v>17</v>
      </c>
      <c r="H134" s="6">
        <v>7350</v>
      </c>
      <c r="I134" s="7">
        <v>539000</v>
      </c>
      <c r="J134" s="36">
        <v>0</v>
      </c>
      <c r="K134" s="9">
        <v>0.127</v>
      </c>
      <c r="L134" s="8">
        <f t="shared" si="5"/>
        <v>0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spans="1:34" x14ac:dyDescent="0.25">
      <c r="A135" s="2" t="s">
        <v>60</v>
      </c>
      <c r="B135" s="3" t="s">
        <v>13</v>
      </c>
      <c r="C135" s="3">
        <v>1963</v>
      </c>
      <c r="D135" s="4">
        <v>39.643751000000002</v>
      </c>
      <c r="E135" s="4">
        <v>-74.177437999999995</v>
      </c>
      <c r="F135" s="14" t="s">
        <v>1</v>
      </c>
      <c r="G135" s="18" t="s">
        <v>17</v>
      </c>
      <c r="H135" s="6">
        <v>0</v>
      </c>
      <c r="I135" s="7">
        <v>363482</v>
      </c>
      <c r="J135" s="8">
        <v>161659</v>
      </c>
      <c r="K135" s="9">
        <v>0.129</v>
      </c>
      <c r="L135" s="8">
        <f t="shared" si="5"/>
        <v>1253170.542635659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spans="1:34" x14ac:dyDescent="0.25">
      <c r="A136" s="29" t="s">
        <v>50</v>
      </c>
      <c r="B136" s="34" t="s">
        <v>13</v>
      </c>
      <c r="C136" s="34">
        <v>1979</v>
      </c>
      <c r="D136" s="56">
        <v>39.625788</v>
      </c>
      <c r="E136" s="56">
        <v>-74.194107000000002</v>
      </c>
      <c r="F136" s="23" t="s">
        <v>15</v>
      </c>
      <c r="G136" s="18" t="s">
        <v>17</v>
      </c>
      <c r="H136" s="25">
        <v>14784</v>
      </c>
      <c r="I136" s="25">
        <v>1000000</v>
      </c>
      <c r="J136" s="26">
        <v>4600000</v>
      </c>
      <c r="K136" s="9">
        <v>0.30499999999999999</v>
      </c>
      <c r="L136" s="8">
        <f t="shared" si="5"/>
        <v>15081967.213114755</v>
      </c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spans="1:34" x14ac:dyDescent="0.25">
      <c r="A137" s="2" t="s">
        <v>61</v>
      </c>
      <c r="B137" s="34" t="s">
        <v>13</v>
      </c>
      <c r="C137" s="58">
        <v>2007</v>
      </c>
      <c r="D137" s="56">
        <v>39.625788</v>
      </c>
      <c r="E137" s="56">
        <v>-74.194107000000002</v>
      </c>
      <c r="F137" s="18" t="s">
        <v>15</v>
      </c>
      <c r="G137" s="18" t="s">
        <v>16</v>
      </c>
      <c r="H137" s="32">
        <v>8100</v>
      </c>
      <c r="I137" s="32">
        <v>880000</v>
      </c>
      <c r="J137" s="47">
        <v>71000000</v>
      </c>
      <c r="K137" s="20">
        <v>0.871</v>
      </c>
      <c r="L137" s="8">
        <f t="shared" si="5"/>
        <v>81515499.425947189</v>
      </c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spans="1:34" x14ac:dyDescent="0.25">
      <c r="A138" s="2" t="s">
        <v>61</v>
      </c>
      <c r="B138" s="34" t="s">
        <v>13</v>
      </c>
      <c r="C138" s="58">
        <v>2011</v>
      </c>
      <c r="D138" s="56">
        <v>39.625788</v>
      </c>
      <c r="E138" s="56">
        <v>-74.194107000000002</v>
      </c>
      <c r="F138" s="18" t="s">
        <v>15</v>
      </c>
      <c r="G138" s="14" t="s">
        <v>17</v>
      </c>
      <c r="H138" s="7">
        <v>3500</v>
      </c>
      <c r="I138" s="7">
        <v>300000</v>
      </c>
      <c r="J138" s="13">
        <v>6048000</v>
      </c>
      <c r="K138" s="20">
        <v>0.96399999999999997</v>
      </c>
      <c r="L138" s="8">
        <f t="shared" si="5"/>
        <v>6273858.9211618258</v>
      </c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spans="1:34" x14ac:dyDescent="0.25">
      <c r="A139" s="2" t="s">
        <v>61</v>
      </c>
      <c r="B139" s="34" t="s">
        <v>13</v>
      </c>
      <c r="C139" s="58">
        <v>2014</v>
      </c>
      <c r="D139" s="56">
        <v>39.625788</v>
      </c>
      <c r="E139" s="56">
        <v>-74.194107000000002</v>
      </c>
      <c r="F139" s="18" t="s">
        <v>15</v>
      </c>
      <c r="G139" s="14" t="s">
        <v>17</v>
      </c>
      <c r="H139" s="6"/>
      <c r="I139" s="61">
        <v>415000</v>
      </c>
      <c r="J139" s="62">
        <v>5350858</v>
      </c>
      <c r="K139" s="9">
        <v>0.99399999999999999</v>
      </c>
      <c r="L139" s="8">
        <f t="shared" si="5"/>
        <v>5383156.9416498998</v>
      </c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spans="1:34" x14ac:dyDescent="0.25">
      <c r="A140" s="29" t="s">
        <v>56</v>
      </c>
      <c r="B140" s="34" t="s">
        <v>13</v>
      </c>
      <c r="C140" s="34">
        <v>1958</v>
      </c>
      <c r="D140" s="56">
        <v>39.624254999999998</v>
      </c>
      <c r="E140" s="56">
        <v>-74.192042999999998</v>
      </c>
      <c r="F140" s="18" t="s">
        <v>14</v>
      </c>
      <c r="G140" s="18" t="s">
        <v>14</v>
      </c>
      <c r="H140" s="24">
        <v>0</v>
      </c>
      <c r="I140" s="25">
        <v>75000</v>
      </c>
      <c r="J140" s="36">
        <v>0</v>
      </c>
      <c r="K140" s="9">
        <v>0.121</v>
      </c>
      <c r="L140" s="8">
        <f t="shared" si="5"/>
        <v>0</v>
      </c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spans="1:34" x14ac:dyDescent="0.25">
      <c r="A141" s="29" t="s">
        <v>56</v>
      </c>
      <c r="B141" s="34" t="s">
        <v>13</v>
      </c>
      <c r="C141" s="34">
        <v>1959</v>
      </c>
      <c r="D141" s="56">
        <v>39.624254999999998</v>
      </c>
      <c r="E141" s="56">
        <v>-74.192042999999998</v>
      </c>
      <c r="F141" s="14" t="s">
        <v>1</v>
      </c>
      <c r="G141" s="18" t="s">
        <v>14</v>
      </c>
      <c r="H141" s="24">
        <v>0</v>
      </c>
      <c r="I141" s="24">
        <v>0</v>
      </c>
      <c r="J141" s="26">
        <v>72025</v>
      </c>
      <c r="K141" s="9">
        <v>0.122</v>
      </c>
      <c r="L141" s="8">
        <f t="shared" si="5"/>
        <v>590368.85245901637</v>
      </c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spans="1:34" x14ac:dyDescent="0.25">
      <c r="A142" s="29" t="s">
        <v>56</v>
      </c>
      <c r="B142" s="34" t="s">
        <v>13</v>
      </c>
      <c r="C142" s="34">
        <v>1962</v>
      </c>
      <c r="D142" s="56">
        <v>39.624254999999998</v>
      </c>
      <c r="E142" s="56">
        <v>-74.192042999999998</v>
      </c>
      <c r="F142" s="14" t="s">
        <v>1</v>
      </c>
      <c r="G142" s="18" t="s">
        <v>17</v>
      </c>
      <c r="H142" s="7">
        <v>0</v>
      </c>
      <c r="I142" s="25">
        <v>224382</v>
      </c>
      <c r="J142" s="36">
        <v>0</v>
      </c>
      <c r="K142" s="9">
        <v>0.127</v>
      </c>
      <c r="L142" s="8">
        <f t="shared" si="5"/>
        <v>0</v>
      </c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spans="1:34" x14ac:dyDescent="0.25">
      <c r="A143" s="29" t="s">
        <v>56</v>
      </c>
      <c r="B143" s="34" t="s">
        <v>13</v>
      </c>
      <c r="C143" s="34">
        <v>1962</v>
      </c>
      <c r="D143" s="56">
        <v>39.624254999999998</v>
      </c>
      <c r="E143" s="56">
        <v>-74.192042999999998</v>
      </c>
      <c r="F143" s="14" t="s">
        <v>1</v>
      </c>
      <c r="G143" s="18" t="s">
        <v>17</v>
      </c>
      <c r="H143" s="7">
        <v>0</v>
      </c>
      <c r="I143" s="25">
        <v>92371</v>
      </c>
      <c r="J143" s="36">
        <v>0</v>
      </c>
      <c r="K143" s="9">
        <v>0.127</v>
      </c>
      <c r="L143" s="8">
        <f t="shared" si="5"/>
        <v>0</v>
      </c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spans="1:34" x14ac:dyDescent="0.25">
      <c r="A144" s="29" t="s">
        <v>56</v>
      </c>
      <c r="B144" s="34" t="s">
        <v>13</v>
      </c>
      <c r="C144" s="34">
        <v>1963</v>
      </c>
      <c r="D144" s="56">
        <v>39.624254999999998</v>
      </c>
      <c r="E144" s="56">
        <v>-74.192042999999998</v>
      </c>
      <c r="F144" s="23" t="s">
        <v>15</v>
      </c>
      <c r="G144" s="18" t="s">
        <v>17</v>
      </c>
      <c r="H144" s="24">
        <v>0</v>
      </c>
      <c r="I144" s="25">
        <v>729664</v>
      </c>
      <c r="J144" s="26">
        <v>1008050</v>
      </c>
      <c r="K144" s="9">
        <v>0.129</v>
      </c>
      <c r="L144" s="8">
        <f t="shared" si="5"/>
        <v>7814341.0852713175</v>
      </c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spans="1:34" x14ac:dyDescent="0.25">
      <c r="A145" s="29" t="s">
        <v>56</v>
      </c>
      <c r="B145" s="34" t="s">
        <v>13</v>
      </c>
      <c r="C145" s="34">
        <v>1963</v>
      </c>
      <c r="D145" s="56">
        <v>39.624254999999998</v>
      </c>
      <c r="E145" s="56">
        <v>-74.192042999999998</v>
      </c>
      <c r="F145" s="14" t="s">
        <v>1</v>
      </c>
      <c r="G145" s="18" t="s">
        <v>17</v>
      </c>
      <c r="H145" s="24">
        <v>0</v>
      </c>
      <c r="I145" s="25">
        <v>397818</v>
      </c>
      <c r="J145" s="36">
        <v>0</v>
      </c>
      <c r="K145" s="9">
        <v>0.129</v>
      </c>
      <c r="L145" s="8">
        <f t="shared" si="5"/>
        <v>0</v>
      </c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spans="1:34" x14ac:dyDescent="0.25">
      <c r="A146" s="29" t="s">
        <v>56</v>
      </c>
      <c r="B146" s="34" t="s">
        <v>13</v>
      </c>
      <c r="C146" s="34">
        <v>1963</v>
      </c>
      <c r="D146" s="56">
        <v>39.624254999999998</v>
      </c>
      <c r="E146" s="56">
        <v>-74.192042999999998</v>
      </c>
      <c r="F146" s="14" t="s">
        <v>1</v>
      </c>
      <c r="G146" s="18" t="s">
        <v>17</v>
      </c>
      <c r="H146" s="24">
        <v>0</v>
      </c>
      <c r="I146" s="25">
        <v>300000</v>
      </c>
      <c r="J146" s="36">
        <v>0</v>
      </c>
      <c r="K146" s="9">
        <v>0.129</v>
      </c>
      <c r="L146" s="8">
        <f t="shared" si="5"/>
        <v>0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spans="1:34" x14ac:dyDescent="0.25">
      <c r="A147" s="29" t="s">
        <v>56</v>
      </c>
      <c r="B147" s="34" t="s">
        <v>13</v>
      </c>
      <c r="C147" s="34">
        <v>1963</v>
      </c>
      <c r="D147" s="56">
        <v>39.624254999999998</v>
      </c>
      <c r="E147" s="56">
        <v>-74.192042999999998</v>
      </c>
      <c r="F147" s="14" t="s">
        <v>1</v>
      </c>
      <c r="G147" s="18" t="s">
        <v>17</v>
      </c>
      <c r="H147" s="24">
        <v>0</v>
      </c>
      <c r="I147" s="25">
        <v>181376</v>
      </c>
      <c r="J147" s="36">
        <v>0</v>
      </c>
      <c r="K147" s="9">
        <v>0.129</v>
      </c>
      <c r="L147" s="8">
        <f t="shared" si="5"/>
        <v>0</v>
      </c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spans="1:34" x14ac:dyDescent="0.25">
      <c r="A148" s="29" t="s">
        <v>56</v>
      </c>
      <c r="B148" s="34" t="s">
        <v>13</v>
      </c>
      <c r="C148" s="34">
        <v>1963</v>
      </c>
      <c r="D148" s="56">
        <v>39.624254999999998</v>
      </c>
      <c r="E148" s="56">
        <v>-74.192042999999998</v>
      </c>
      <c r="F148" s="14" t="s">
        <v>1</v>
      </c>
      <c r="G148" s="18" t="s">
        <v>17</v>
      </c>
      <c r="H148" s="24">
        <v>0</v>
      </c>
      <c r="I148" s="25">
        <v>150470</v>
      </c>
      <c r="J148" s="36">
        <v>0</v>
      </c>
      <c r="K148" s="9">
        <v>0.129</v>
      </c>
      <c r="L148" s="8">
        <f t="shared" si="5"/>
        <v>0</v>
      </c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spans="1:34" x14ac:dyDescent="0.25">
      <c r="A149" s="29" t="s">
        <v>56</v>
      </c>
      <c r="B149" s="34" t="s">
        <v>13</v>
      </c>
      <c r="C149" s="58">
        <v>1963</v>
      </c>
      <c r="D149" s="56">
        <v>39.624254999999998</v>
      </c>
      <c r="E149" s="56">
        <v>-74.192042999999998</v>
      </c>
      <c r="F149" s="18" t="s">
        <v>15</v>
      </c>
      <c r="G149" s="18" t="s">
        <v>19</v>
      </c>
      <c r="H149" s="24">
        <v>0</v>
      </c>
      <c r="I149" s="32">
        <v>75000</v>
      </c>
      <c r="J149" s="36">
        <v>0</v>
      </c>
      <c r="K149" s="9">
        <v>0.129</v>
      </c>
      <c r="L149" s="8">
        <f t="shared" si="5"/>
        <v>0</v>
      </c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spans="1:34" x14ac:dyDescent="0.25">
      <c r="A150" s="2" t="s">
        <v>53</v>
      </c>
      <c r="B150" s="3" t="s">
        <v>13</v>
      </c>
      <c r="C150" s="3">
        <v>1956</v>
      </c>
      <c r="D150" s="4">
        <v>39.620367000000002</v>
      </c>
      <c r="E150" s="4">
        <v>-74.194772</v>
      </c>
      <c r="F150" s="14" t="s">
        <v>1</v>
      </c>
      <c r="G150" s="5" t="s">
        <v>14</v>
      </c>
      <c r="H150" s="6">
        <v>6900</v>
      </c>
      <c r="I150" s="7">
        <v>115000</v>
      </c>
      <c r="J150" s="8">
        <v>76463</v>
      </c>
      <c r="K150" s="9">
        <v>0.114</v>
      </c>
      <c r="L150" s="8">
        <f t="shared" si="5"/>
        <v>670728.07017543854</v>
      </c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spans="1:34" x14ac:dyDescent="0.25">
      <c r="A151" s="2" t="s">
        <v>53</v>
      </c>
      <c r="B151" s="3" t="s">
        <v>13</v>
      </c>
      <c r="C151" s="3">
        <v>1961</v>
      </c>
      <c r="D151" s="4">
        <v>39.620367000000002</v>
      </c>
      <c r="E151" s="4">
        <v>-74.194772</v>
      </c>
      <c r="F151" s="5" t="s">
        <v>14</v>
      </c>
      <c r="G151" s="5" t="s">
        <v>14</v>
      </c>
      <c r="H151" s="6">
        <v>1275</v>
      </c>
      <c r="I151" s="7">
        <v>72498</v>
      </c>
      <c r="J151" s="13">
        <v>0</v>
      </c>
      <c r="K151" s="9">
        <v>0.126</v>
      </c>
      <c r="L151" s="8">
        <f t="shared" si="5"/>
        <v>0</v>
      </c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spans="1:34" x14ac:dyDescent="0.25">
      <c r="A152" s="2" t="s">
        <v>53</v>
      </c>
      <c r="B152" s="3" t="s">
        <v>13</v>
      </c>
      <c r="C152" s="3">
        <v>1962</v>
      </c>
      <c r="D152" s="4">
        <v>39.620367000000002</v>
      </c>
      <c r="E152" s="4">
        <v>-74.194772</v>
      </c>
      <c r="F152" s="5" t="s">
        <v>15</v>
      </c>
      <c r="G152" s="18" t="s">
        <v>17</v>
      </c>
      <c r="H152" s="6">
        <v>27135</v>
      </c>
      <c r="I152" s="7">
        <v>204000</v>
      </c>
      <c r="J152" s="13">
        <v>0</v>
      </c>
      <c r="K152" s="9">
        <v>0.127</v>
      </c>
      <c r="L152" s="8">
        <f t="shared" si="5"/>
        <v>0</v>
      </c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spans="1:34" x14ac:dyDescent="0.25">
      <c r="A153" s="2" t="s">
        <v>53</v>
      </c>
      <c r="B153" s="3" t="s">
        <v>13</v>
      </c>
      <c r="C153" s="3">
        <v>1962</v>
      </c>
      <c r="D153" s="4">
        <v>39.620367000000002</v>
      </c>
      <c r="E153" s="4">
        <v>-74.194772</v>
      </c>
      <c r="F153" s="14" t="s">
        <v>1</v>
      </c>
      <c r="G153" s="18" t="s">
        <v>17</v>
      </c>
      <c r="H153" s="6">
        <v>3250</v>
      </c>
      <c r="I153" s="7">
        <v>216619</v>
      </c>
      <c r="J153" s="13">
        <v>0</v>
      </c>
      <c r="K153" s="9">
        <v>0.127</v>
      </c>
      <c r="L153" s="8">
        <f t="shared" si="5"/>
        <v>0</v>
      </c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spans="1:34" x14ac:dyDescent="0.25">
      <c r="A154" s="2" t="s">
        <v>53</v>
      </c>
      <c r="B154" s="3" t="s">
        <v>13</v>
      </c>
      <c r="C154" s="3">
        <v>2012</v>
      </c>
      <c r="D154" s="4">
        <v>39.620367000000002</v>
      </c>
      <c r="E154" s="4">
        <v>-74.194772</v>
      </c>
      <c r="F154" s="14" t="s">
        <v>15</v>
      </c>
      <c r="G154" s="18" t="s">
        <v>16</v>
      </c>
      <c r="H154" s="6">
        <v>5400</v>
      </c>
      <c r="I154" s="7">
        <v>1250000</v>
      </c>
      <c r="J154" s="26">
        <v>16700000</v>
      </c>
      <c r="K154" s="20">
        <v>0.96399999999999997</v>
      </c>
      <c r="L154" s="8">
        <f t="shared" si="5"/>
        <v>17323651.452282157</v>
      </c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spans="1:34" x14ac:dyDescent="0.25">
      <c r="A155" s="2" t="s">
        <v>53</v>
      </c>
      <c r="B155" s="3" t="s">
        <v>13</v>
      </c>
      <c r="C155" s="3">
        <v>2014</v>
      </c>
      <c r="D155" s="4">
        <v>39.620367000000002</v>
      </c>
      <c r="E155" s="4">
        <v>-74.194772</v>
      </c>
      <c r="F155" s="14" t="s">
        <v>15</v>
      </c>
      <c r="G155" s="18" t="s">
        <v>17</v>
      </c>
      <c r="H155" s="6"/>
      <c r="I155" s="6">
        <v>1060000</v>
      </c>
      <c r="J155" s="37">
        <v>10894006</v>
      </c>
      <c r="K155" s="9">
        <v>0.99399999999999999</v>
      </c>
      <c r="L155" s="8">
        <f t="shared" si="5"/>
        <v>10959764.587525152</v>
      </c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spans="1:34" x14ac:dyDescent="0.25">
      <c r="A156" s="2" t="s">
        <v>52</v>
      </c>
      <c r="B156" s="3" t="s">
        <v>13</v>
      </c>
      <c r="C156" s="3">
        <v>1962</v>
      </c>
      <c r="D156" s="4">
        <v>39.557397999999999</v>
      </c>
      <c r="E156" s="4">
        <v>-74.239254000000003</v>
      </c>
      <c r="F156" s="5" t="s">
        <v>15</v>
      </c>
      <c r="G156" s="18" t="s">
        <v>17</v>
      </c>
      <c r="H156" s="6">
        <v>9670</v>
      </c>
      <c r="I156" s="7">
        <v>405000</v>
      </c>
      <c r="J156" s="13">
        <v>0</v>
      </c>
      <c r="K156" s="9">
        <v>0.127</v>
      </c>
      <c r="L156" s="8">
        <f t="shared" ref="L156:L187" si="6">+J156/K156</f>
        <v>0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spans="1:34" x14ac:dyDescent="0.25">
      <c r="A157" s="2" t="s">
        <v>52</v>
      </c>
      <c r="B157" s="3" t="s">
        <v>13</v>
      </c>
      <c r="C157" s="3">
        <v>1963</v>
      </c>
      <c r="D157" s="4">
        <v>39.557397999999999</v>
      </c>
      <c r="E157" s="4">
        <v>-74.239254000000003</v>
      </c>
      <c r="F157" s="14" t="s">
        <v>1</v>
      </c>
      <c r="G157" s="23" t="s">
        <v>17</v>
      </c>
      <c r="H157" s="6">
        <v>9939</v>
      </c>
      <c r="I157" s="7">
        <v>260000</v>
      </c>
      <c r="J157" s="13">
        <v>0</v>
      </c>
      <c r="K157" s="9">
        <v>0.129</v>
      </c>
      <c r="L157" s="8">
        <f t="shared" si="6"/>
        <v>0</v>
      </c>
      <c r="Q157" s="27"/>
      <c r="R157" s="27"/>
      <c r="S157" s="27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spans="1:34" x14ac:dyDescent="0.25">
      <c r="A158" s="2" t="s">
        <v>52</v>
      </c>
      <c r="B158" s="3" t="s">
        <v>13</v>
      </c>
      <c r="C158" s="3">
        <v>1963</v>
      </c>
      <c r="D158" s="4">
        <v>39.557397999999999</v>
      </c>
      <c r="E158" s="4">
        <v>-74.239254000000003</v>
      </c>
      <c r="F158" s="5" t="s">
        <v>14</v>
      </c>
      <c r="G158" s="5" t="s">
        <v>14</v>
      </c>
      <c r="H158" s="6">
        <v>0</v>
      </c>
      <c r="I158" s="7">
        <v>70000</v>
      </c>
      <c r="J158" s="13">
        <v>0</v>
      </c>
      <c r="K158" s="9">
        <v>0.129</v>
      </c>
      <c r="L158" s="8">
        <f t="shared" si="6"/>
        <v>0</v>
      </c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spans="1:34" x14ac:dyDescent="0.25">
      <c r="A159" s="2" t="s">
        <v>52</v>
      </c>
      <c r="B159" s="3" t="s">
        <v>13</v>
      </c>
      <c r="C159" s="11">
        <v>2010</v>
      </c>
      <c r="D159" s="4">
        <v>39.557397999999999</v>
      </c>
      <c r="E159" s="4">
        <v>-74.239254000000003</v>
      </c>
      <c r="F159" s="14" t="s">
        <v>1</v>
      </c>
      <c r="G159" s="5" t="s">
        <v>14</v>
      </c>
      <c r="H159" s="12">
        <v>390</v>
      </c>
      <c r="I159" s="12">
        <v>2000</v>
      </c>
      <c r="J159" s="19">
        <v>471999.5</v>
      </c>
      <c r="K159" s="9">
        <v>0.91600000000000004</v>
      </c>
      <c r="L159" s="8">
        <f t="shared" si="6"/>
        <v>515283.29694323143</v>
      </c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spans="1:34" ht="14" x14ac:dyDescent="0.3">
      <c r="A160" s="29" t="s">
        <v>71</v>
      </c>
      <c r="B160" s="34" t="s">
        <v>13</v>
      </c>
      <c r="C160" s="67">
        <v>2014</v>
      </c>
      <c r="D160" s="68">
        <v>39.556105000000002</v>
      </c>
      <c r="E160" s="68">
        <v>-75.518576999999993</v>
      </c>
      <c r="F160" s="5" t="s">
        <v>15</v>
      </c>
      <c r="G160" s="14" t="s">
        <v>17</v>
      </c>
      <c r="H160" s="24">
        <v>9500</v>
      </c>
      <c r="I160" s="32">
        <v>354000</v>
      </c>
      <c r="J160" s="47">
        <v>12600000</v>
      </c>
      <c r="K160" s="9">
        <v>0.99399999999999999</v>
      </c>
      <c r="L160" s="8">
        <f t="shared" si="6"/>
        <v>12676056.338028168</v>
      </c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spans="1:34" x14ac:dyDescent="0.25">
      <c r="A161" s="2" t="s">
        <v>55</v>
      </c>
      <c r="B161" s="3" t="s">
        <v>13</v>
      </c>
      <c r="C161" s="3">
        <v>1962</v>
      </c>
      <c r="D161" s="4">
        <v>39.538452999999997</v>
      </c>
      <c r="E161" s="4">
        <v>-74.257492999999997</v>
      </c>
      <c r="F161" s="14" t="s">
        <v>15</v>
      </c>
      <c r="G161" s="14" t="s">
        <v>17</v>
      </c>
      <c r="H161" s="6">
        <v>8000</v>
      </c>
      <c r="I161" s="7">
        <v>308000</v>
      </c>
      <c r="J161" s="13">
        <v>0</v>
      </c>
      <c r="K161" s="9">
        <v>0.127</v>
      </c>
      <c r="L161" s="8">
        <f t="shared" si="6"/>
        <v>0</v>
      </c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spans="1:34" x14ac:dyDescent="0.25">
      <c r="A162" s="38" t="s">
        <v>34</v>
      </c>
      <c r="B162" s="39" t="s">
        <v>13</v>
      </c>
      <c r="C162" s="39">
        <v>1962</v>
      </c>
      <c r="D162" s="40">
        <v>39.405825999999998</v>
      </c>
      <c r="E162" s="40">
        <v>-74.362420999999998</v>
      </c>
      <c r="F162" s="41" t="s">
        <v>15</v>
      </c>
      <c r="G162" s="41" t="s">
        <v>35</v>
      </c>
      <c r="H162" s="42">
        <v>18000</v>
      </c>
      <c r="I162" s="42">
        <v>392500</v>
      </c>
      <c r="J162" s="43">
        <v>503700</v>
      </c>
      <c r="K162" s="44">
        <v>0.127</v>
      </c>
      <c r="L162" s="45">
        <f t="shared" si="6"/>
        <v>3966141.7322834646</v>
      </c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spans="1:34" x14ac:dyDescent="0.25">
      <c r="A163" s="2" t="s">
        <v>34</v>
      </c>
      <c r="B163" s="3" t="s">
        <v>13</v>
      </c>
      <c r="C163" s="11">
        <v>1997</v>
      </c>
      <c r="D163" s="4">
        <v>39.405825999999998</v>
      </c>
      <c r="E163" s="4">
        <v>-74.362420999999998</v>
      </c>
      <c r="F163" s="14" t="s">
        <v>1</v>
      </c>
      <c r="G163" s="18" t="s">
        <v>16</v>
      </c>
      <c r="H163" s="6">
        <v>0</v>
      </c>
      <c r="I163" s="12">
        <v>1200000</v>
      </c>
      <c r="J163" s="8">
        <v>6000000</v>
      </c>
      <c r="K163" s="9">
        <v>0.67600000000000005</v>
      </c>
      <c r="L163" s="8">
        <f t="shared" si="6"/>
        <v>8875739.6449704133</v>
      </c>
      <c r="Q163" s="46"/>
      <c r="R163" s="46"/>
      <c r="S163" s="46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spans="1:34" x14ac:dyDescent="0.25">
      <c r="A164" s="2" t="s">
        <v>34</v>
      </c>
      <c r="B164" s="3" t="s">
        <v>13</v>
      </c>
      <c r="C164" s="11">
        <v>1999</v>
      </c>
      <c r="D164" s="4">
        <v>39.405825999999998</v>
      </c>
      <c r="E164" s="4">
        <v>-74.362420999999998</v>
      </c>
      <c r="F164" s="18" t="s">
        <v>15</v>
      </c>
      <c r="G164" s="18" t="s">
        <v>16</v>
      </c>
      <c r="H164" s="32">
        <v>9504</v>
      </c>
      <c r="I164" s="32">
        <v>999827</v>
      </c>
      <c r="J164" s="47">
        <v>4970000</v>
      </c>
      <c r="K164" s="9">
        <v>0.69899999999999995</v>
      </c>
      <c r="L164" s="26">
        <f t="shared" si="6"/>
        <v>7110157.3676680978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spans="1:34" x14ac:dyDescent="0.25">
      <c r="A165" s="2" t="s">
        <v>34</v>
      </c>
      <c r="B165" s="3" t="s">
        <v>13</v>
      </c>
      <c r="C165" s="11">
        <v>2001</v>
      </c>
      <c r="D165" s="4">
        <v>39.405825999999998</v>
      </c>
      <c r="E165" s="4">
        <v>-74.362420999999998</v>
      </c>
      <c r="F165" s="14" t="s">
        <v>15</v>
      </c>
      <c r="G165" s="18" t="s">
        <v>17</v>
      </c>
      <c r="H165" s="6">
        <v>2700</v>
      </c>
      <c r="I165" s="12">
        <v>615000</v>
      </c>
      <c r="J165" s="13">
        <v>0</v>
      </c>
      <c r="K165" s="9">
        <v>0.746</v>
      </c>
      <c r="L165" s="8">
        <f t="shared" si="6"/>
        <v>0</v>
      </c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spans="1:34" x14ac:dyDescent="0.25">
      <c r="A166" s="2" t="s">
        <v>34</v>
      </c>
      <c r="B166" s="3" t="s">
        <v>13</v>
      </c>
      <c r="C166" s="11">
        <v>2006</v>
      </c>
      <c r="D166" s="4">
        <v>39.405825999999998</v>
      </c>
      <c r="E166" s="4">
        <v>-74.362420999999998</v>
      </c>
      <c r="F166" s="18" t="s">
        <v>15</v>
      </c>
      <c r="G166" s="18" t="s">
        <v>16</v>
      </c>
      <c r="H166" s="32">
        <v>9504</v>
      </c>
      <c r="I166" s="32">
        <v>672000</v>
      </c>
      <c r="J166" s="47">
        <v>15000000</v>
      </c>
      <c r="K166" s="9">
        <v>0.84699999999999998</v>
      </c>
      <c r="L166" s="8">
        <f t="shared" si="6"/>
        <v>17709563.164108619</v>
      </c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spans="1:34" x14ac:dyDescent="0.25">
      <c r="A167" s="2" t="s">
        <v>34</v>
      </c>
      <c r="B167" s="3" t="s">
        <v>13</v>
      </c>
      <c r="C167" s="11">
        <v>2011</v>
      </c>
      <c r="D167" s="4">
        <v>39.405825999999998</v>
      </c>
      <c r="E167" s="4">
        <v>-74.362420999999998</v>
      </c>
      <c r="F167" s="18" t="s">
        <v>15</v>
      </c>
      <c r="G167" s="18" t="s">
        <v>17</v>
      </c>
      <c r="H167" s="32">
        <v>9504</v>
      </c>
      <c r="I167" s="32">
        <v>175000</v>
      </c>
      <c r="J167" s="47">
        <v>3020000</v>
      </c>
      <c r="K167" s="20">
        <v>0.96399999999999997</v>
      </c>
      <c r="L167" s="8">
        <f t="shared" si="6"/>
        <v>3132780.082987552</v>
      </c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spans="1:34" x14ac:dyDescent="0.25">
      <c r="A168" s="2" t="s">
        <v>34</v>
      </c>
      <c r="B168" s="3" t="s">
        <v>13</v>
      </c>
      <c r="C168" s="3">
        <v>2013</v>
      </c>
      <c r="D168" s="4">
        <v>39.405825999999998</v>
      </c>
      <c r="E168" s="4">
        <v>-74.362420999999998</v>
      </c>
      <c r="F168" s="18" t="s">
        <v>15</v>
      </c>
      <c r="G168" s="18" t="s">
        <v>17</v>
      </c>
      <c r="H168" s="6">
        <v>9504</v>
      </c>
      <c r="I168" s="6">
        <v>667000</v>
      </c>
      <c r="J168" s="26">
        <v>4500000</v>
      </c>
      <c r="K168" s="20">
        <v>0.97799999999999998</v>
      </c>
      <c r="L168" s="8">
        <f t="shared" si="6"/>
        <v>4601226.9938650308</v>
      </c>
      <c r="Q168" s="10"/>
      <c r="R168" s="10"/>
      <c r="S168" s="10"/>
      <c r="T168" s="10"/>
      <c r="U168" s="10"/>
      <c r="V168" s="10"/>
      <c r="W168" s="10"/>
      <c r="X168" s="10"/>
      <c r="Y168" s="10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spans="1:34" x14ac:dyDescent="0.25">
      <c r="A169" s="2" t="s">
        <v>34</v>
      </c>
      <c r="B169" s="3" t="s">
        <v>13</v>
      </c>
      <c r="C169" s="3">
        <v>2013</v>
      </c>
      <c r="D169" s="4">
        <v>39.405825999999998</v>
      </c>
      <c r="E169" s="4">
        <v>-74.362420999999998</v>
      </c>
      <c r="F169" s="18" t="s">
        <v>15</v>
      </c>
      <c r="G169" s="18" t="s">
        <v>17</v>
      </c>
      <c r="H169" s="7"/>
      <c r="I169" s="7">
        <v>90000</v>
      </c>
      <c r="J169" s="13">
        <v>1377551</v>
      </c>
      <c r="K169" s="20">
        <v>0.97799999999999998</v>
      </c>
      <c r="L169" s="8">
        <f t="shared" si="6"/>
        <v>1408538.8548057261</v>
      </c>
      <c r="Q169" s="10"/>
      <c r="R169" s="10"/>
      <c r="S169" s="10"/>
      <c r="T169" s="10"/>
      <c r="U169" s="10"/>
      <c r="V169" s="10"/>
      <c r="W169" s="10"/>
      <c r="X169" s="10"/>
      <c r="Y169" s="10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x14ac:dyDescent="0.25">
      <c r="A170" s="2" t="s">
        <v>12</v>
      </c>
      <c r="B170" s="3" t="s">
        <v>13</v>
      </c>
      <c r="C170" s="3">
        <v>1936</v>
      </c>
      <c r="D170" s="4">
        <v>39.357595000000003</v>
      </c>
      <c r="E170" s="4">
        <v>-74.421816000000007</v>
      </c>
      <c r="F170" s="5" t="s">
        <v>14</v>
      </c>
      <c r="G170" s="5" t="s">
        <v>14</v>
      </c>
      <c r="H170" s="6">
        <v>0</v>
      </c>
      <c r="I170" s="7">
        <v>792000</v>
      </c>
      <c r="J170" s="8">
        <v>157832</v>
      </c>
      <c r="K170" s="9">
        <v>5.8000000000000003E-2</v>
      </c>
      <c r="L170" s="8">
        <f t="shared" si="6"/>
        <v>2721241.3793103448</v>
      </c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spans="1:34" x14ac:dyDescent="0.25">
      <c r="A171" s="2" t="s">
        <v>12</v>
      </c>
      <c r="B171" s="3" t="s">
        <v>13</v>
      </c>
      <c r="C171" s="11">
        <v>1936</v>
      </c>
      <c r="D171" s="4">
        <v>39.357595000000003</v>
      </c>
      <c r="E171" s="4">
        <v>-74.421816000000007</v>
      </c>
      <c r="F171" s="5" t="s">
        <v>15</v>
      </c>
      <c r="G171" s="5" t="s">
        <v>16</v>
      </c>
      <c r="H171" s="12">
        <v>0</v>
      </c>
      <c r="I171" s="12">
        <v>191447</v>
      </c>
      <c r="J171" s="13">
        <v>0</v>
      </c>
      <c r="K171" s="9">
        <v>5.8000000000000003E-2</v>
      </c>
      <c r="L171" s="8">
        <f t="shared" si="6"/>
        <v>0</v>
      </c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spans="1:34" x14ac:dyDescent="0.25">
      <c r="A172" s="2" t="s">
        <v>12</v>
      </c>
      <c r="B172" s="3" t="s">
        <v>13</v>
      </c>
      <c r="C172" s="3">
        <v>1937</v>
      </c>
      <c r="D172" s="4">
        <v>39.357595000000003</v>
      </c>
      <c r="E172" s="4">
        <v>-74.421816000000007</v>
      </c>
      <c r="F172" s="5" t="s">
        <v>14</v>
      </c>
      <c r="G172" s="5" t="s">
        <v>14</v>
      </c>
      <c r="H172" s="6">
        <v>0</v>
      </c>
      <c r="I172" s="7">
        <v>900000</v>
      </c>
      <c r="J172" s="8">
        <v>204638</v>
      </c>
      <c r="K172" s="9">
        <v>0.06</v>
      </c>
      <c r="L172" s="8">
        <f t="shared" si="6"/>
        <v>3410633.3333333335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spans="1:34" x14ac:dyDescent="0.25">
      <c r="A173" s="2" t="s">
        <v>12</v>
      </c>
      <c r="B173" s="3" t="s">
        <v>13</v>
      </c>
      <c r="C173" s="3">
        <v>1938</v>
      </c>
      <c r="D173" s="4">
        <v>39.357595000000003</v>
      </c>
      <c r="E173" s="4">
        <v>-74.421816000000007</v>
      </c>
      <c r="F173" s="5" t="s">
        <v>14</v>
      </c>
      <c r="G173" s="5" t="s">
        <v>14</v>
      </c>
      <c r="H173" s="6">
        <v>0</v>
      </c>
      <c r="I173" s="7">
        <v>500000</v>
      </c>
      <c r="J173" s="8">
        <v>114207</v>
      </c>
      <c r="K173" s="9">
        <v>5.8999999999999997E-2</v>
      </c>
      <c r="L173" s="8">
        <f t="shared" si="6"/>
        <v>1935711.8644067799</v>
      </c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spans="1:34" x14ac:dyDescent="0.25">
      <c r="A174" s="2" t="s">
        <v>12</v>
      </c>
      <c r="B174" s="3" t="s">
        <v>13</v>
      </c>
      <c r="C174" s="3">
        <v>1942</v>
      </c>
      <c r="D174" s="4">
        <v>39.357595000000003</v>
      </c>
      <c r="E174" s="4">
        <v>-74.421816000000007</v>
      </c>
      <c r="F174" s="14" t="s">
        <v>15</v>
      </c>
      <c r="G174" s="14" t="s">
        <v>16</v>
      </c>
      <c r="H174" s="6">
        <v>0</v>
      </c>
      <c r="I174" s="7">
        <v>1362000</v>
      </c>
      <c r="J174" s="8">
        <v>364366</v>
      </c>
      <c r="K174" s="9">
        <v>6.8000000000000005E-2</v>
      </c>
      <c r="L174" s="8">
        <f t="shared" si="6"/>
        <v>5358323.5294117639</v>
      </c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spans="1:34" x14ac:dyDescent="0.25">
      <c r="A175" s="2" t="s">
        <v>12</v>
      </c>
      <c r="B175" s="3" t="s">
        <v>13</v>
      </c>
      <c r="C175" s="3">
        <v>1948</v>
      </c>
      <c r="D175" s="4">
        <v>39.357595000000003</v>
      </c>
      <c r="E175" s="4">
        <v>-74.421816000000007</v>
      </c>
      <c r="F175" s="14" t="s">
        <v>15</v>
      </c>
      <c r="G175" s="14" t="s">
        <v>16</v>
      </c>
      <c r="H175" s="7">
        <v>5808</v>
      </c>
      <c r="I175" s="7">
        <v>1073684</v>
      </c>
      <c r="J175" s="8">
        <v>479752</v>
      </c>
      <c r="K175" s="9">
        <v>0.10100000000000001</v>
      </c>
      <c r="L175" s="8">
        <f t="shared" si="6"/>
        <v>4750019.8019801974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5"/>
      <c r="AA175" s="15"/>
      <c r="AB175" s="15"/>
      <c r="AC175" s="15"/>
      <c r="AD175" s="15"/>
      <c r="AE175" s="15"/>
      <c r="AF175" s="15"/>
      <c r="AG175" s="15"/>
      <c r="AH175" s="15"/>
    </row>
    <row r="176" spans="1:34" x14ac:dyDescent="0.25">
      <c r="A176" s="2" t="s">
        <v>12</v>
      </c>
      <c r="B176" s="3" t="s">
        <v>13</v>
      </c>
      <c r="C176" s="3">
        <v>1948</v>
      </c>
      <c r="D176" s="4">
        <v>39.357595000000003</v>
      </c>
      <c r="E176" s="4">
        <v>-74.421816000000007</v>
      </c>
      <c r="F176" s="14" t="s">
        <v>1</v>
      </c>
      <c r="G176" s="5" t="s">
        <v>14</v>
      </c>
      <c r="H176" s="6">
        <v>2700</v>
      </c>
      <c r="I176" s="7">
        <v>483000</v>
      </c>
      <c r="J176" s="13">
        <v>0</v>
      </c>
      <c r="K176" s="9">
        <v>0.10100000000000001</v>
      </c>
      <c r="L176" s="8">
        <f t="shared" si="6"/>
        <v>0</v>
      </c>
      <c r="Q176" s="10"/>
      <c r="R176" s="10"/>
      <c r="S176" s="10"/>
      <c r="T176" s="10"/>
      <c r="U176" s="10"/>
      <c r="V176" s="10"/>
      <c r="W176" s="10"/>
      <c r="X176" s="10"/>
      <c r="Y176" s="10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x14ac:dyDescent="0.25">
      <c r="A177" s="2" t="s">
        <v>12</v>
      </c>
      <c r="B177" s="3" t="s">
        <v>13</v>
      </c>
      <c r="C177" s="3">
        <v>1956</v>
      </c>
      <c r="D177" s="4">
        <v>39.357595000000003</v>
      </c>
      <c r="E177" s="4">
        <v>-74.421816000000007</v>
      </c>
      <c r="F177" s="5" t="s">
        <v>14</v>
      </c>
      <c r="G177" s="5" t="s">
        <v>14</v>
      </c>
      <c r="H177" s="6">
        <v>0</v>
      </c>
      <c r="I177" s="7">
        <v>22000</v>
      </c>
      <c r="J177" s="13">
        <v>0</v>
      </c>
      <c r="K177" s="9">
        <v>0.114</v>
      </c>
      <c r="L177" s="8">
        <f t="shared" si="6"/>
        <v>0</v>
      </c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spans="1:34" x14ac:dyDescent="0.25">
      <c r="A178" s="2" t="s">
        <v>12</v>
      </c>
      <c r="B178" s="3" t="s">
        <v>13</v>
      </c>
      <c r="C178" s="3">
        <v>1963</v>
      </c>
      <c r="D178" s="4">
        <v>39.357595000000003</v>
      </c>
      <c r="E178" s="4">
        <v>-74.421816000000007</v>
      </c>
      <c r="F178" s="14" t="s">
        <v>15</v>
      </c>
      <c r="G178" s="14" t="s">
        <v>16</v>
      </c>
      <c r="H178" s="7">
        <v>3696</v>
      </c>
      <c r="I178" s="7">
        <v>560000</v>
      </c>
      <c r="J178" s="8">
        <v>500864</v>
      </c>
      <c r="K178" s="9">
        <v>0.129</v>
      </c>
      <c r="L178" s="8">
        <f t="shared" si="6"/>
        <v>3882666.6666666665</v>
      </c>
      <c r="Q178" s="10"/>
      <c r="R178" s="10"/>
      <c r="S178" s="10"/>
      <c r="T178" s="10"/>
      <c r="U178" s="10"/>
      <c r="V178" s="10"/>
      <c r="W178" s="10"/>
      <c r="X178" s="10"/>
      <c r="Y178" s="10"/>
      <c r="Z178" s="17"/>
      <c r="AA178" s="17"/>
      <c r="AB178" s="17"/>
      <c r="AC178" s="16"/>
      <c r="AD178" s="16"/>
      <c r="AE178" s="16"/>
      <c r="AF178" s="16"/>
      <c r="AG178" s="16"/>
      <c r="AH178" s="16"/>
    </row>
    <row r="179" spans="1:34" x14ac:dyDescent="0.25">
      <c r="A179" s="2" t="s">
        <v>12</v>
      </c>
      <c r="B179" s="3" t="s">
        <v>13</v>
      </c>
      <c r="C179" s="3">
        <v>1966</v>
      </c>
      <c r="D179" s="4">
        <v>39.357595000000003</v>
      </c>
      <c r="E179" s="4">
        <v>-74.421816000000007</v>
      </c>
      <c r="F179" s="14" t="s">
        <v>15</v>
      </c>
      <c r="G179" s="5" t="s">
        <v>14</v>
      </c>
      <c r="H179" s="6">
        <v>0</v>
      </c>
      <c r="I179" s="7">
        <v>125000</v>
      </c>
      <c r="J179" s="13">
        <v>0</v>
      </c>
      <c r="K179" s="9">
        <v>0.13600000000000001</v>
      </c>
      <c r="L179" s="8">
        <f t="shared" si="6"/>
        <v>0</v>
      </c>
      <c r="Q179" s="10"/>
      <c r="R179" s="10"/>
      <c r="S179" s="10"/>
      <c r="T179" s="10"/>
      <c r="U179" s="10"/>
      <c r="V179" s="10"/>
      <c r="W179" s="10"/>
      <c r="X179" s="10"/>
      <c r="Y179" s="10"/>
      <c r="Z179" s="17"/>
      <c r="AA179" s="17"/>
      <c r="AB179" s="17"/>
      <c r="AC179" s="16"/>
      <c r="AD179" s="16"/>
      <c r="AE179" s="16"/>
      <c r="AF179" s="16"/>
      <c r="AG179" s="16"/>
      <c r="AH179" s="16"/>
    </row>
    <row r="180" spans="1:34" x14ac:dyDescent="0.25">
      <c r="A180" s="2" t="s">
        <v>12</v>
      </c>
      <c r="B180" s="3" t="s">
        <v>13</v>
      </c>
      <c r="C180" s="3">
        <v>1970</v>
      </c>
      <c r="D180" s="4">
        <v>39.357595000000003</v>
      </c>
      <c r="E180" s="4">
        <v>-74.421816000000007</v>
      </c>
      <c r="F180" s="14" t="s">
        <v>15</v>
      </c>
      <c r="G180" s="18" t="s">
        <v>17</v>
      </c>
      <c r="H180" s="7">
        <v>4752</v>
      </c>
      <c r="I180" s="7">
        <v>830000</v>
      </c>
      <c r="J180" s="8">
        <v>1252625</v>
      </c>
      <c r="K180" s="9">
        <v>0.16300000000000001</v>
      </c>
      <c r="L180" s="8">
        <f t="shared" si="6"/>
        <v>7684815.9509202447</v>
      </c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spans="1:34" x14ac:dyDescent="0.25">
      <c r="A181" s="2" t="s">
        <v>12</v>
      </c>
      <c r="B181" s="3" t="s">
        <v>13</v>
      </c>
      <c r="C181" s="3">
        <v>1978</v>
      </c>
      <c r="D181" s="4">
        <v>39.357595000000003</v>
      </c>
      <c r="E181" s="4">
        <v>-74.421816000000007</v>
      </c>
      <c r="F181" s="14" t="s">
        <v>1</v>
      </c>
      <c r="G181" s="5" t="s">
        <v>14</v>
      </c>
      <c r="H181" s="6">
        <v>0</v>
      </c>
      <c r="I181" s="6">
        <v>0</v>
      </c>
      <c r="J181" s="13">
        <v>0</v>
      </c>
      <c r="K181" s="9">
        <v>0.27400000000000002</v>
      </c>
      <c r="L181" s="8">
        <f t="shared" si="6"/>
        <v>0</v>
      </c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spans="1:34" x14ac:dyDescent="0.25">
      <c r="A182" s="2" t="s">
        <v>12</v>
      </c>
      <c r="B182" s="3" t="s">
        <v>13</v>
      </c>
      <c r="C182" s="3">
        <v>1979</v>
      </c>
      <c r="D182" s="4">
        <v>39.357595000000003</v>
      </c>
      <c r="E182" s="4">
        <v>-74.421816000000007</v>
      </c>
      <c r="F182" s="14" t="s">
        <v>15</v>
      </c>
      <c r="G182" s="5" t="s">
        <v>14</v>
      </c>
      <c r="H182" s="6">
        <v>0</v>
      </c>
      <c r="I182" s="7">
        <v>48158</v>
      </c>
      <c r="J182" s="8">
        <v>133772</v>
      </c>
      <c r="K182" s="9">
        <v>0.30499999999999999</v>
      </c>
      <c r="L182" s="8">
        <f t="shared" si="6"/>
        <v>438596.72131147544</v>
      </c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spans="1:34" x14ac:dyDescent="0.25">
      <c r="A183" s="2" t="s">
        <v>12</v>
      </c>
      <c r="B183" s="3" t="s">
        <v>13</v>
      </c>
      <c r="C183" s="3">
        <v>1983</v>
      </c>
      <c r="D183" s="4">
        <v>39.357595000000003</v>
      </c>
      <c r="E183" s="4">
        <v>-74.421816000000007</v>
      </c>
      <c r="F183" s="14" t="s">
        <v>1</v>
      </c>
      <c r="G183" s="5" t="s">
        <v>14</v>
      </c>
      <c r="H183" s="6">
        <v>0</v>
      </c>
      <c r="I183" s="7">
        <v>43000</v>
      </c>
      <c r="J183" s="13">
        <v>0</v>
      </c>
      <c r="K183" s="9">
        <v>0.41799999999999998</v>
      </c>
      <c r="L183" s="8">
        <f t="shared" si="6"/>
        <v>0</v>
      </c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spans="1:34" x14ac:dyDescent="0.25">
      <c r="A184" s="2" t="s">
        <v>12</v>
      </c>
      <c r="B184" s="3" t="s">
        <v>13</v>
      </c>
      <c r="C184" s="3">
        <v>1983</v>
      </c>
      <c r="D184" s="4">
        <v>39.357595000000003</v>
      </c>
      <c r="E184" s="4">
        <v>-74.421816000000007</v>
      </c>
      <c r="F184" s="14" t="s">
        <v>1</v>
      </c>
      <c r="G184" s="5" t="s">
        <v>14</v>
      </c>
      <c r="H184" s="6">
        <v>0</v>
      </c>
      <c r="I184" s="7">
        <v>32000</v>
      </c>
      <c r="J184" s="13">
        <v>0</v>
      </c>
      <c r="K184" s="9">
        <v>0.41799999999999998</v>
      </c>
      <c r="L184" s="8">
        <f t="shared" si="6"/>
        <v>0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spans="1:34" x14ac:dyDescent="0.25">
      <c r="A185" s="2" t="s">
        <v>12</v>
      </c>
      <c r="B185" s="3" t="s">
        <v>13</v>
      </c>
      <c r="C185" s="11">
        <v>1986</v>
      </c>
      <c r="D185" s="4">
        <v>39.357595000000003</v>
      </c>
      <c r="E185" s="4">
        <v>-74.421816000000007</v>
      </c>
      <c r="F185" s="5" t="s">
        <v>15</v>
      </c>
      <c r="G185" s="14" t="s">
        <v>16</v>
      </c>
      <c r="H185" s="12">
        <v>24816</v>
      </c>
      <c r="I185" s="12">
        <v>1000000</v>
      </c>
      <c r="J185" s="19">
        <v>7000000</v>
      </c>
      <c r="K185" s="9">
        <v>0.46100000000000002</v>
      </c>
      <c r="L185" s="8">
        <f t="shared" si="6"/>
        <v>15184381.778741864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spans="1:34" x14ac:dyDescent="0.25">
      <c r="A186" s="2" t="s">
        <v>12</v>
      </c>
      <c r="B186" s="3" t="s">
        <v>13</v>
      </c>
      <c r="C186" s="3">
        <v>1995</v>
      </c>
      <c r="D186" s="4">
        <v>39.357595000000003</v>
      </c>
      <c r="E186" s="4">
        <v>-74.421816000000007</v>
      </c>
      <c r="F186" s="14" t="s">
        <v>1</v>
      </c>
      <c r="G186" s="5" t="s">
        <v>14</v>
      </c>
      <c r="H186" s="7">
        <v>5280</v>
      </c>
      <c r="I186" s="6">
        <v>0</v>
      </c>
      <c r="J186" s="13">
        <v>0</v>
      </c>
      <c r="K186" s="20">
        <v>0.64100000000000001</v>
      </c>
      <c r="L186" s="8">
        <f t="shared" si="6"/>
        <v>0</v>
      </c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spans="1:34" x14ac:dyDescent="0.25">
      <c r="A187" s="2" t="s">
        <v>12</v>
      </c>
      <c r="B187" s="3" t="s">
        <v>13</v>
      </c>
      <c r="C187" s="3">
        <v>1997</v>
      </c>
      <c r="D187" s="4">
        <v>39.357595000000003</v>
      </c>
      <c r="E187" s="4">
        <v>-74.421816000000007</v>
      </c>
      <c r="F187" s="14" t="s">
        <v>1</v>
      </c>
      <c r="G187" s="5" t="s">
        <v>14</v>
      </c>
      <c r="H187" s="6">
        <v>0</v>
      </c>
      <c r="I187" s="7">
        <v>450000</v>
      </c>
      <c r="J187" s="13">
        <v>0</v>
      </c>
      <c r="K187" s="9">
        <v>0.67600000000000005</v>
      </c>
      <c r="L187" s="8">
        <f t="shared" si="6"/>
        <v>0</v>
      </c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spans="1:34" x14ac:dyDescent="0.25">
      <c r="A188" s="2" t="s">
        <v>12</v>
      </c>
      <c r="B188" s="3" t="s">
        <v>13</v>
      </c>
      <c r="C188" s="11">
        <v>2004</v>
      </c>
      <c r="D188" s="4">
        <v>39.357595000000003</v>
      </c>
      <c r="E188" s="4">
        <v>-74.421816000000007</v>
      </c>
      <c r="F188" s="5" t="s">
        <v>15</v>
      </c>
      <c r="G188" s="14" t="s">
        <v>16</v>
      </c>
      <c r="H188" s="6">
        <v>18250</v>
      </c>
      <c r="I188" s="12">
        <v>4000000</v>
      </c>
      <c r="J188" s="13">
        <v>27384615</v>
      </c>
      <c r="K188" s="9">
        <v>0.79300000000000004</v>
      </c>
      <c r="L188" s="8">
        <f t="shared" ref="L188:L202" si="7">+J188/K188</f>
        <v>34532931.904161409</v>
      </c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spans="1:34" x14ac:dyDescent="0.25">
      <c r="A189" s="2" t="s">
        <v>12</v>
      </c>
      <c r="B189" s="3" t="s">
        <v>13</v>
      </c>
      <c r="C189" s="3">
        <v>2011</v>
      </c>
      <c r="D189" s="4">
        <v>39.357595000000003</v>
      </c>
      <c r="E189" s="4">
        <v>-74.421816000000007</v>
      </c>
      <c r="F189" s="5" t="s">
        <v>15</v>
      </c>
      <c r="G189" s="14" t="s">
        <v>17</v>
      </c>
      <c r="H189" s="6">
        <v>3600</v>
      </c>
      <c r="I189" s="6">
        <v>1003000</v>
      </c>
      <c r="J189" s="13">
        <v>7658450</v>
      </c>
      <c r="K189" s="20">
        <v>0.96399999999999997</v>
      </c>
      <c r="L189" s="8">
        <f t="shared" si="7"/>
        <v>7944450.2074688803</v>
      </c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spans="1:34" x14ac:dyDescent="0.25">
      <c r="A190" s="2" t="s">
        <v>12</v>
      </c>
      <c r="B190" s="3" t="s">
        <v>13</v>
      </c>
      <c r="C190" s="3">
        <v>2012</v>
      </c>
      <c r="D190" s="4">
        <v>39.357595000000003</v>
      </c>
      <c r="E190" s="4">
        <v>-74.421816000000007</v>
      </c>
      <c r="F190" s="5" t="s">
        <v>15</v>
      </c>
      <c r="G190" s="5" t="s">
        <v>16</v>
      </c>
      <c r="H190" s="6">
        <v>0</v>
      </c>
      <c r="I190" s="7">
        <v>1325000</v>
      </c>
      <c r="J190" s="13">
        <v>21015965</v>
      </c>
      <c r="K190" s="20">
        <v>0.96399999999999997</v>
      </c>
      <c r="L190" s="8">
        <f t="shared" si="7"/>
        <v>21800793.56846473</v>
      </c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spans="1:34" x14ac:dyDescent="0.25">
      <c r="A191" s="2" t="s">
        <v>12</v>
      </c>
      <c r="B191" s="3" t="s">
        <v>13</v>
      </c>
      <c r="C191" s="3">
        <v>2013</v>
      </c>
      <c r="D191" s="4">
        <v>39.357595000000003</v>
      </c>
      <c r="E191" s="4">
        <v>-74.421816000000007</v>
      </c>
      <c r="F191" s="5" t="s">
        <v>15</v>
      </c>
      <c r="G191" s="5" t="s">
        <v>17</v>
      </c>
      <c r="H191" s="6"/>
      <c r="I191" s="7">
        <v>760000</v>
      </c>
      <c r="J191" s="13">
        <v>11273117</v>
      </c>
      <c r="K191" s="20">
        <v>0.97799999999999998</v>
      </c>
      <c r="L191" s="8">
        <f t="shared" si="7"/>
        <v>11526704.498977505</v>
      </c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spans="1:34" x14ac:dyDescent="0.25">
      <c r="A192" s="2" t="s">
        <v>21</v>
      </c>
      <c r="B192" s="3" t="s">
        <v>13</v>
      </c>
      <c r="C192" s="11">
        <v>2004</v>
      </c>
      <c r="D192" s="4">
        <v>39.337484000000003</v>
      </c>
      <c r="E192" s="4">
        <v>-74.475291999999996</v>
      </c>
      <c r="F192" s="5" t="s">
        <v>15</v>
      </c>
      <c r="G192" s="14" t="s">
        <v>16</v>
      </c>
      <c r="H192" s="6">
        <v>8500</v>
      </c>
      <c r="I192" s="12">
        <v>3000000</v>
      </c>
      <c r="J192" s="13">
        <v>9538462</v>
      </c>
      <c r="K192" s="9">
        <v>0.79300000000000004</v>
      </c>
      <c r="L192" s="8">
        <f t="shared" si="7"/>
        <v>12028325.346784363</v>
      </c>
      <c r="Q192" s="10"/>
      <c r="R192" s="10"/>
      <c r="S192" s="10"/>
      <c r="T192" s="10"/>
      <c r="U192" s="10"/>
      <c r="V192" s="10"/>
      <c r="W192" s="10"/>
      <c r="X192" s="10"/>
      <c r="Y192" s="10"/>
      <c r="Z192" s="15"/>
      <c r="AA192" s="15"/>
      <c r="AB192" s="15"/>
      <c r="AC192" s="15"/>
      <c r="AD192" s="15"/>
      <c r="AE192" s="15"/>
      <c r="AF192" s="15"/>
      <c r="AG192" s="15"/>
      <c r="AH192" s="15"/>
    </row>
    <row r="193" spans="1:34" x14ac:dyDescent="0.25">
      <c r="A193" s="2" t="s">
        <v>21</v>
      </c>
      <c r="B193" s="3" t="s">
        <v>13</v>
      </c>
      <c r="C193" s="11">
        <v>2011</v>
      </c>
      <c r="D193" s="4">
        <v>39.337484000000003</v>
      </c>
      <c r="E193" s="4">
        <v>-74.475291999999996</v>
      </c>
      <c r="F193" s="5" t="s">
        <v>15</v>
      </c>
      <c r="G193" s="14" t="s">
        <v>17</v>
      </c>
      <c r="H193" s="6">
        <v>3400</v>
      </c>
      <c r="I193" s="6">
        <v>175000</v>
      </c>
      <c r="J193" s="13">
        <v>2667550</v>
      </c>
      <c r="K193" s="20">
        <v>0.96399999999999997</v>
      </c>
      <c r="L193" s="8">
        <f t="shared" si="7"/>
        <v>2767168.0497925314</v>
      </c>
      <c r="Q193" s="10"/>
      <c r="R193" s="10"/>
      <c r="S193" s="10"/>
      <c r="T193" s="10"/>
      <c r="U193" s="10"/>
      <c r="V193" s="10"/>
      <c r="W193" s="10"/>
      <c r="X193" s="10"/>
      <c r="Y193" s="10"/>
      <c r="Z193" s="17"/>
      <c r="AA193" s="17"/>
      <c r="AB193" s="17"/>
      <c r="AC193" s="16"/>
      <c r="AD193" s="16"/>
      <c r="AE193" s="16"/>
      <c r="AF193" s="16"/>
      <c r="AG193" s="16"/>
      <c r="AH193" s="16"/>
    </row>
    <row r="194" spans="1:34" x14ac:dyDescent="0.25">
      <c r="A194" s="2" t="s">
        <v>21</v>
      </c>
      <c r="B194" s="3" t="s">
        <v>13</v>
      </c>
      <c r="C194" s="11">
        <v>2012</v>
      </c>
      <c r="D194" s="4">
        <v>39.337484000000003</v>
      </c>
      <c r="E194" s="4">
        <v>-74.475291999999996</v>
      </c>
      <c r="F194" s="5" t="s">
        <v>15</v>
      </c>
      <c r="G194" s="14" t="s">
        <v>16</v>
      </c>
      <c r="H194" s="6">
        <v>0</v>
      </c>
      <c r="I194" s="7">
        <v>325000</v>
      </c>
      <c r="J194" s="13">
        <v>6830187</v>
      </c>
      <c r="K194" s="20">
        <v>0.96399999999999997</v>
      </c>
      <c r="L194" s="8">
        <f t="shared" si="7"/>
        <v>7085256.2240663907</v>
      </c>
      <c r="Q194" s="10"/>
      <c r="R194" s="10"/>
      <c r="S194" s="10"/>
      <c r="T194" s="10"/>
      <c r="U194" s="10"/>
      <c r="V194" s="10"/>
      <c r="W194" s="10"/>
      <c r="X194" s="10"/>
      <c r="Y194" s="10"/>
      <c r="Z194" s="17"/>
      <c r="AA194" s="17"/>
      <c r="AB194" s="17"/>
      <c r="AC194" s="16"/>
      <c r="AD194" s="16"/>
      <c r="AE194" s="16"/>
      <c r="AF194" s="16"/>
      <c r="AG194" s="16"/>
      <c r="AH194" s="16"/>
    </row>
    <row r="195" spans="1:34" x14ac:dyDescent="0.25">
      <c r="A195" s="2" t="s">
        <v>21</v>
      </c>
      <c r="B195" s="3" t="s">
        <v>13</v>
      </c>
      <c r="C195" s="11">
        <v>2014</v>
      </c>
      <c r="D195" s="4">
        <v>39.337484000000003</v>
      </c>
      <c r="E195" s="4">
        <v>-74.475291999999996</v>
      </c>
      <c r="F195" s="5" t="s">
        <v>15</v>
      </c>
      <c r="G195" s="14" t="s">
        <v>17</v>
      </c>
      <c r="H195" s="6"/>
      <c r="I195" s="7">
        <v>340000</v>
      </c>
      <c r="J195" s="13">
        <v>6061143</v>
      </c>
      <c r="K195" s="9">
        <v>0.99399999999999999</v>
      </c>
      <c r="L195" s="8">
        <f t="shared" si="7"/>
        <v>6097729.3762575453</v>
      </c>
      <c r="Q195" s="10"/>
      <c r="R195" s="10"/>
      <c r="S195" s="10"/>
      <c r="T195" s="10"/>
      <c r="U195" s="10"/>
      <c r="V195" s="10"/>
      <c r="W195" s="10"/>
      <c r="X195" s="10"/>
      <c r="Y195" s="10"/>
      <c r="Z195" s="17"/>
      <c r="AA195" s="17"/>
      <c r="AB195" s="17"/>
      <c r="AC195" s="16"/>
      <c r="AD195" s="16"/>
      <c r="AE195" s="16"/>
      <c r="AF195" s="16"/>
      <c r="AG195" s="16"/>
      <c r="AH195" s="16"/>
    </row>
    <row r="196" spans="1:34" x14ac:dyDescent="0.25">
      <c r="A196" s="2" t="s">
        <v>20</v>
      </c>
      <c r="B196" s="3" t="s">
        <v>13</v>
      </c>
      <c r="C196" s="21">
        <v>2004</v>
      </c>
      <c r="D196" s="22">
        <v>39.329732999999997</v>
      </c>
      <c r="E196" s="22">
        <v>-74.492608000000004</v>
      </c>
      <c r="F196" s="23" t="s">
        <v>15</v>
      </c>
      <c r="G196" s="18" t="s">
        <v>16</v>
      </c>
      <c r="H196" s="24">
        <v>1360</v>
      </c>
      <c r="I196" s="25">
        <v>10000</v>
      </c>
      <c r="J196" s="26">
        <v>0</v>
      </c>
      <c r="K196" s="9">
        <v>0.79300000000000004</v>
      </c>
      <c r="L196" s="8">
        <f t="shared" si="7"/>
        <v>0</v>
      </c>
      <c r="Q196" s="27"/>
      <c r="R196" s="27"/>
      <c r="S196" s="27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spans="1:34" x14ac:dyDescent="0.25">
      <c r="A197" s="2" t="s">
        <v>18</v>
      </c>
      <c r="B197" s="3" t="s">
        <v>13</v>
      </c>
      <c r="C197" s="3">
        <v>1990</v>
      </c>
      <c r="D197" s="4">
        <v>39.312536000000001</v>
      </c>
      <c r="E197" s="4">
        <v>-74.523117999999997</v>
      </c>
      <c r="F197" s="14" t="s">
        <v>15</v>
      </c>
      <c r="G197" s="5" t="s">
        <v>19</v>
      </c>
      <c r="H197" s="6">
        <v>0</v>
      </c>
      <c r="I197" s="7">
        <v>250000</v>
      </c>
      <c r="J197" s="8">
        <v>949000</v>
      </c>
      <c r="K197" s="9">
        <v>0.57099999999999995</v>
      </c>
      <c r="L197" s="8">
        <f t="shared" si="7"/>
        <v>1661996.4973730298</v>
      </c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spans="1:34" x14ac:dyDescent="0.25">
      <c r="A198" s="2" t="s">
        <v>28</v>
      </c>
      <c r="B198" s="3" t="s">
        <v>13</v>
      </c>
      <c r="C198" s="3">
        <v>1966</v>
      </c>
      <c r="D198" s="4">
        <v>39.287495999999997</v>
      </c>
      <c r="E198" s="4">
        <v>-74.626656999999994</v>
      </c>
      <c r="F198" s="14" t="s">
        <v>1</v>
      </c>
      <c r="G198" s="5" t="s">
        <v>14</v>
      </c>
      <c r="H198" s="6">
        <v>0</v>
      </c>
      <c r="I198" s="6">
        <v>0</v>
      </c>
      <c r="J198" s="13">
        <v>0</v>
      </c>
      <c r="K198" s="9">
        <v>0.13600000000000001</v>
      </c>
      <c r="L198" s="8">
        <f t="shared" si="7"/>
        <v>0</v>
      </c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spans="1:34" x14ac:dyDescent="0.25">
      <c r="A199" s="2" t="s">
        <v>28</v>
      </c>
      <c r="B199" s="3" t="s">
        <v>13</v>
      </c>
      <c r="C199" s="3">
        <v>1981</v>
      </c>
      <c r="D199" s="4">
        <v>39.287495999999997</v>
      </c>
      <c r="E199" s="4">
        <v>-74.626656999999994</v>
      </c>
      <c r="F199" s="5" t="s">
        <v>14</v>
      </c>
      <c r="G199" s="5" t="s">
        <v>14</v>
      </c>
      <c r="H199" s="6">
        <v>0</v>
      </c>
      <c r="I199" s="7">
        <v>36000</v>
      </c>
      <c r="J199" s="13">
        <v>0</v>
      </c>
      <c r="K199" s="9">
        <v>0.38200000000000001</v>
      </c>
      <c r="L199" s="8">
        <f t="shared" si="7"/>
        <v>0</v>
      </c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spans="1:34" x14ac:dyDescent="0.25">
      <c r="A200" s="2" t="s">
        <v>28</v>
      </c>
      <c r="B200" s="3" t="s">
        <v>13</v>
      </c>
      <c r="C200" s="3">
        <v>1984</v>
      </c>
      <c r="D200" s="4">
        <v>39.287495999999997</v>
      </c>
      <c r="E200" s="4">
        <v>-74.626656999999994</v>
      </c>
      <c r="F200" s="14" t="s">
        <v>1</v>
      </c>
      <c r="G200" s="5" t="s">
        <v>14</v>
      </c>
      <c r="H200" s="6">
        <v>0</v>
      </c>
      <c r="I200" s="7">
        <v>1600000</v>
      </c>
      <c r="J200" s="13">
        <v>0</v>
      </c>
      <c r="K200" s="9">
        <v>0.437</v>
      </c>
      <c r="L200" s="8">
        <f t="shared" si="7"/>
        <v>0</v>
      </c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spans="1:34" x14ac:dyDescent="0.25">
      <c r="A201" s="2" t="s">
        <v>28</v>
      </c>
      <c r="B201" s="3" t="s">
        <v>13</v>
      </c>
      <c r="C201" s="3">
        <v>1984</v>
      </c>
      <c r="D201" s="4">
        <v>39.287495999999997</v>
      </c>
      <c r="E201" s="4">
        <v>-74.626656999999994</v>
      </c>
      <c r="F201" s="5" t="s">
        <v>14</v>
      </c>
      <c r="G201" s="5" t="s">
        <v>14</v>
      </c>
      <c r="H201" s="6">
        <v>0</v>
      </c>
      <c r="I201" s="7">
        <v>120000</v>
      </c>
      <c r="J201" s="13">
        <v>0</v>
      </c>
      <c r="K201" s="9">
        <v>0.437</v>
      </c>
      <c r="L201" s="8">
        <f t="shared" si="7"/>
        <v>0</v>
      </c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spans="1:34" x14ac:dyDescent="0.25">
      <c r="A202" s="2" t="s">
        <v>28</v>
      </c>
      <c r="B202" s="3" t="s">
        <v>13</v>
      </c>
      <c r="C202" s="3">
        <v>1992</v>
      </c>
      <c r="D202" s="4">
        <v>39.287495999999997</v>
      </c>
      <c r="E202" s="4">
        <v>-74.626656999999994</v>
      </c>
      <c r="F202" s="5" t="s">
        <v>14</v>
      </c>
      <c r="G202" s="5" t="s">
        <v>14</v>
      </c>
      <c r="H202" s="6">
        <v>0</v>
      </c>
      <c r="I202" s="7">
        <v>23000</v>
      </c>
      <c r="J202" s="13">
        <v>0</v>
      </c>
      <c r="K202" s="9">
        <v>0.58799999999999997</v>
      </c>
      <c r="L202" s="8">
        <f t="shared" si="7"/>
        <v>0</v>
      </c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spans="1:34" x14ac:dyDescent="0.25">
      <c r="A203" s="2" t="s">
        <v>72</v>
      </c>
      <c r="B203" s="3" t="s">
        <v>13</v>
      </c>
      <c r="C203" s="3">
        <v>1952</v>
      </c>
      <c r="D203" s="4">
        <v>39.264158000000002</v>
      </c>
      <c r="E203" s="4">
        <v>-74.589957999999996</v>
      </c>
      <c r="F203" s="14" t="s">
        <v>15</v>
      </c>
      <c r="G203" s="14" t="s">
        <v>16</v>
      </c>
      <c r="H203" s="7">
        <v>9504</v>
      </c>
      <c r="I203" s="7">
        <v>2550000</v>
      </c>
      <c r="J203" s="8">
        <v>1912500</v>
      </c>
      <c r="K203" s="20">
        <v>0.111</v>
      </c>
      <c r="L203" s="8">
        <f t="shared" ref="L203:L225" si="8">+J203/K203</f>
        <v>17229729.729729731</v>
      </c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spans="1:34" x14ac:dyDescent="0.25">
      <c r="A204" s="2" t="s">
        <v>72</v>
      </c>
      <c r="B204" s="3" t="s">
        <v>13</v>
      </c>
      <c r="C204" s="3">
        <v>1959</v>
      </c>
      <c r="D204" s="4">
        <v>39.264158000000002</v>
      </c>
      <c r="E204" s="4">
        <v>-74.589957999999996</v>
      </c>
      <c r="F204" s="14" t="s">
        <v>15</v>
      </c>
      <c r="G204" s="14" t="s">
        <v>16</v>
      </c>
      <c r="H204" s="6">
        <v>0</v>
      </c>
      <c r="I204" s="7">
        <v>1618000</v>
      </c>
      <c r="J204" s="8">
        <v>469008</v>
      </c>
      <c r="K204" s="9">
        <v>0.122</v>
      </c>
      <c r="L204" s="8">
        <f t="shared" si="8"/>
        <v>3844327.8688524589</v>
      </c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spans="1:34" x14ac:dyDescent="0.25">
      <c r="A205" s="2" t="s">
        <v>72</v>
      </c>
      <c r="B205" s="3" t="s">
        <v>13</v>
      </c>
      <c r="C205" s="3">
        <v>1961</v>
      </c>
      <c r="D205" s="4">
        <v>39.264158000000002</v>
      </c>
      <c r="E205" s="4">
        <v>-74.589957999999996</v>
      </c>
      <c r="F205" s="5" t="s">
        <v>14</v>
      </c>
      <c r="G205" s="5" t="s">
        <v>14</v>
      </c>
      <c r="H205" s="6">
        <v>0</v>
      </c>
      <c r="I205" s="7">
        <v>1615668</v>
      </c>
      <c r="J205" s="13">
        <v>0</v>
      </c>
      <c r="K205" s="9">
        <v>0.126</v>
      </c>
      <c r="L205" s="8">
        <f t="shared" si="8"/>
        <v>0</v>
      </c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spans="1:34" x14ac:dyDescent="0.25">
      <c r="A206" s="2" t="s">
        <v>72</v>
      </c>
      <c r="B206" s="3" t="s">
        <v>13</v>
      </c>
      <c r="C206" s="3">
        <v>1962</v>
      </c>
      <c r="D206" s="4">
        <v>39.264158000000002</v>
      </c>
      <c r="E206" s="4">
        <v>-74.589957999999996</v>
      </c>
      <c r="F206" s="14" t="s">
        <v>15</v>
      </c>
      <c r="G206" s="14" t="s">
        <v>17</v>
      </c>
      <c r="H206" s="6">
        <v>0</v>
      </c>
      <c r="I206" s="7">
        <v>248000</v>
      </c>
      <c r="J206" s="13">
        <v>0</v>
      </c>
      <c r="K206" s="9">
        <v>0.127</v>
      </c>
      <c r="L206" s="8">
        <f t="shared" si="8"/>
        <v>0</v>
      </c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spans="1:34" x14ac:dyDescent="0.25">
      <c r="A207" s="2" t="s">
        <v>72</v>
      </c>
      <c r="B207" s="3" t="s">
        <v>13</v>
      </c>
      <c r="C207" s="3">
        <v>1966</v>
      </c>
      <c r="D207" s="4">
        <v>39.264158000000002</v>
      </c>
      <c r="E207" s="4">
        <v>-74.589957999999996</v>
      </c>
      <c r="F207" s="5" t="s">
        <v>14</v>
      </c>
      <c r="G207" s="5" t="s">
        <v>14</v>
      </c>
      <c r="H207" s="6">
        <v>0</v>
      </c>
      <c r="I207" s="7">
        <v>80000</v>
      </c>
      <c r="J207" s="13">
        <v>0</v>
      </c>
      <c r="K207" s="9">
        <v>0.13600000000000001</v>
      </c>
      <c r="L207" s="8">
        <f t="shared" si="8"/>
        <v>0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spans="1:34" x14ac:dyDescent="0.25">
      <c r="A208" s="2" t="s">
        <v>72</v>
      </c>
      <c r="B208" s="3" t="s">
        <v>13</v>
      </c>
      <c r="C208" s="3">
        <v>1966</v>
      </c>
      <c r="D208" s="4">
        <v>39.264158000000002</v>
      </c>
      <c r="E208" s="4">
        <v>-74.589957999999996</v>
      </c>
      <c r="F208" s="5" t="s">
        <v>14</v>
      </c>
      <c r="G208" s="5" t="s">
        <v>14</v>
      </c>
      <c r="H208" s="6">
        <v>0</v>
      </c>
      <c r="I208" s="7">
        <v>40000</v>
      </c>
      <c r="J208" s="13">
        <v>0</v>
      </c>
      <c r="K208" s="9">
        <v>0.13600000000000001</v>
      </c>
      <c r="L208" s="8">
        <f t="shared" si="8"/>
        <v>0</v>
      </c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spans="1:34" x14ac:dyDescent="0.25">
      <c r="A209" s="2" t="s">
        <v>72</v>
      </c>
      <c r="B209" s="3" t="s">
        <v>13</v>
      </c>
      <c r="C209" s="3">
        <v>1970</v>
      </c>
      <c r="D209" s="4">
        <v>39.264158000000002</v>
      </c>
      <c r="E209" s="4">
        <v>-74.589957999999996</v>
      </c>
      <c r="F209" s="14" t="s">
        <v>1</v>
      </c>
      <c r="G209" s="5" t="s">
        <v>14</v>
      </c>
      <c r="H209" s="6">
        <v>0</v>
      </c>
      <c r="I209" s="7">
        <v>475270</v>
      </c>
      <c r="J209" s="8">
        <v>623714</v>
      </c>
      <c r="K209" s="9">
        <v>0.16300000000000001</v>
      </c>
      <c r="L209" s="8">
        <f t="shared" si="8"/>
        <v>3826466.2576687117</v>
      </c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spans="1:34" x14ac:dyDescent="0.25">
      <c r="A210" s="2" t="s">
        <v>72</v>
      </c>
      <c r="B210" s="3" t="s">
        <v>13</v>
      </c>
      <c r="C210" s="11">
        <v>1970</v>
      </c>
      <c r="D210" s="4">
        <v>39.264158000000002</v>
      </c>
      <c r="E210" s="4">
        <v>-74.589957999999996</v>
      </c>
      <c r="F210" s="5" t="s">
        <v>15</v>
      </c>
      <c r="G210" s="18" t="s">
        <v>17</v>
      </c>
      <c r="H210" s="6">
        <v>0</v>
      </c>
      <c r="I210" s="6">
        <v>0</v>
      </c>
      <c r="J210" s="19">
        <v>70589</v>
      </c>
      <c r="K210" s="9">
        <v>0.16300000000000001</v>
      </c>
      <c r="L210" s="8">
        <f t="shared" si="8"/>
        <v>433061.34969325154</v>
      </c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spans="1:34" x14ac:dyDescent="0.25">
      <c r="A211" s="2" t="s">
        <v>72</v>
      </c>
      <c r="B211" s="3" t="s">
        <v>13</v>
      </c>
      <c r="C211" s="3">
        <v>1971</v>
      </c>
      <c r="D211" s="4">
        <v>39.264158000000002</v>
      </c>
      <c r="E211" s="4">
        <v>-74.589957999999996</v>
      </c>
      <c r="F211" s="14" t="s">
        <v>1</v>
      </c>
      <c r="G211" s="5" t="s">
        <v>14</v>
      </c>
      <c r="H211" s="6">
        <v>0</v>
      </c>
      <c r="I211" s="7">
        <v>237900</v>
      </c>
      <c r="J211" s="8">
        <v>356138</v>
      </c>
      <c r="K211" s="9">
        <v>0.17</v>
      </c>
      <c r="L211" s="8">
        <f t="shared" si="8"/>
        <v>2094929.4117647058</v>
      </c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spans="1:34" x14ac:dyDescent="0.25">
      <c r="A212" s="2" t="s">
        <v>72</v>
      </c>
      <c r="B212" s="3" t="s">
        <v>13</v>
      </c>
      <c r="C212" s="3">
        <v>1972</v>
      </c>
      <c r="D212" s="4">
        <v>39.264158000000002</v>
      </c>
      <c r="E212" s="4">
        <v>-74.589957999999996</v>
      </c>
      <c r="F212" s="14" t="s">
        <v>1</v>
      </c>
      <c r="G212" s="5" t="s">
        <v>14</v>
      </c>
      <c r="H212" s="6">
        <v>0</v>
      </c>
      <c r="I212" s="7">
        <v>543650</v>
      </c>
      <c r="J212" s="8">
        <v>900083</v>
      </c>
      <c r="K212" s="9">
        <v>0.17499999999999999</v>
      </c>
      <c r="L212" s="8">
        <f t="shared" si="8"/>
        <v>5143331.4285714291</v>
      </c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spans="1:34" x14ac:dyDescent="0.25">
      <c r="A213" s="2" t="s">
        <v>72</v>
      </c>
      <c r="B213" s="3" t="s">
        <v>13</v>
      </c>
      <c r="C213" s="3">
        <v>1973</v>
      </c>
      <c r="D213" s="4">
        <v>39.264158000000002</v>
      </c>
      <c r="E213" s="4">
        <v>-74.589957999999996</v>
      </c>
      <c r="F213" s="14" t="s">
        <v>1</v>
      </c>
      <c r="G213" s="5" t="s">
        <v>14</v>
      </c>
      <c r="H213" s="6">
        <v>0</v>
      </c>
      <c r="I213" s="7">
        <v>347341</v>
      </c>
      <c r="J213" s="8">
        <v>620252</v>
      </c>
      <c r="K213" s="9">
        <v>0.187</v>
      </c>
      <c r="L213" s="8">
        <f t="shared" si="8"/>
        <v>3316855.614973262</v>
      </c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spans="1:34" x14ac:dyDescent="0.25">
      <c r="A214" s="2" t="s">
        <v>72</v>
      </c>
      <c r="B214" s="3" t="s">
        <v>13</v>
      </c>
      <c r="C214" s="3">
        <v>1974</v>
      </c>
      <c r="D214" s="4">
        <v>39.264158000000002</v>
      </c>
      <c r="E214" s="4">
        <v>-74.589957999999996</v>
      </c>
      <c r="F214" s="14" t="s">
        <v>1</v>
      </c>
      <c r="G214" s="5" t="s">
        <v>14</v>
      </c>
      <c r="H214" s="6">
        <v>0</v>
      </c>
      <c r="I214" s="7">
        <v>167549</v>
      </c>
      <c r="J214" s="8">
        <v>318534</v>
      </c>
      <c r="K214" s="9">
        <v>0.20699999999999999</v>
      </c>
      <c r="L214" s="8">
        <f t="shared" si="8"/>
        <v>1538811.5942028987</v>
      </c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spans="1:34" x14ac:dyDescent="0.25">
      <c r="A215" s="2" t="s">
        <v>72</v>
      </c>
      <c r="B215" s="3" t="s">
        <v>13</v>
      </c>
      <c r="C215" s="3">
        <v>1975</v>
      </c>
      <c r="D215" s="4">
        <v>39.264158000000002</v>
      </c>
      <c r="E215" s="4">
        <v>-74.589957999999996</v>
      </c>
      <c r="F215" s="14" t="s">
        <v>1</v>
      </c>
      <c r="G215" s="5" t="s">
        <v>14</v>
      </c>
      <c r="H215" s="6">
        <v>0</v>
      </c>
      <c r="I215" s="7">
        <v>166799</v>
      </c>
      <c r="J215" s="8">
        <v>359481</v>
      </c>
      <c r="K215" s="9">
        <v>0.22600000000000001</v>
      </c>
      <c r="L215" s="8">
        <f t="shared" si="8"/>
        <v>1590623.8938053097</v>
      </c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spans="1:34" x14ac:dyDescent="0.25">
      <c r="A216" s="2" t="s">
        <v>72</v>
      </c>
      <c r="B216" s="3" t="s">
        <v>13</v>
      </c>
      <c r="C216" s="3">
        <v>1976</v>
      </c>
      <c r="D216" s="4">
        <v>39.264158000000002</v>
      </c>
      <c r="E216" s="4">
        <v>-74.589957999999996</v>
      </c>
      <c r="F216" s="14" t="s">
        <v>1</v>
      </c>
      <c r="G216" s="5" t="s">
        <v>14</v>
      </c>
      <c r="H216" s="6">
        <v>0</v>
      </c>
      <c r="I216" s="7">
        <v>81656</v>
      </c>
      <c r="J216" s="8">
        <v>183085</v>
      </c>
      <c r="K216" s="9">
        <v>0.23899999999999999</v>
      </c>
      <c r="L216" s="8">
        <f t="shared" si="8"/>
        <v>766046.02510460257</v>
      </c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spans="1:34" x14ac:dyDescent="0.25">
      <c r="A217" s="2" t="s">
        <v>72</v>
      </c>
      <c r="B217" s="3" t="s">
        <v>13</v>
      </c>
      <c r="C217" s="3">
        <v>1977</v>
      </c>
      <c r="D217" s="4">
        <v>39.264158000000002</v>
      </c>
      <c r="E217" s="4">
        <v>-74.589957999999996</v>
      </c>
      <c r="F217" s="14" t="s">
        <v>1</v>
      </c>
      <c r="G217" s="5" t="s">
        <v>14</v>
      </c>
      <c r="H217" s="6">
        <v>0</v>
      </c>
      <c r="I217" s="7">
        <v>169949</v>
      </c>
      <c r="J217" s="8">
        <v>406577</v>
      </c>
      <c r="K217" s="9">
        <v>0.254</v>
      </c>
      <c r="L217" s="8">
        <f t="shared" si="8"/>
        <v>1600696.8503937009</v>
      </c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spans="1:34" x14ac:dyDescent="0.25">
      <c r="A218" s="2" t="s">
        <v>72</v>
      </c>
      <c r="B218" s="3" t="s">
        <v>13</v>
      </c>
      <c r="C218" s="3">
        <v>1978</v>
      </c>
      <c r="D218" s="4">
        <v>39.264158000000002</v>
      </c>
      <c r="E218" s="4">
        <v>-74.589957999999996</v>
      </c>
      <c r="F218" s="14" t="s">
        <v>1</v>
      </c>
      <c r="G218" s="5" t="s">
        <v>14</v>
      </c>
      <c r="H218" s="6">
        <v>0</v>
      </c>
      <c r="I218" s="7">
        <v>121686</v>
      </c>
      <c r="J218" s="8">
        <v>313624</v>
      </c>
      <c r="K218" s="9">
        <v>0.27400000000000002</v>
      </c>
      <c r="L218" s="8">
        <f t="shared" si="8"/>
        <v>1144613.1386861312</v>
      </c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spans="1:34" x14ac:dyDescent="0.25">
      <c r="A219" s="2" t="s">
        <v>72</v>
      </c>
      <c r="B219" s="3" t="s">
        <v>13</v>
      </c>
      <c r="C219" s="3">
        <v>1979</v>
      </c>
      <c r="D219" s="4">
        <v>39.264158000000002</v>
      </c>
      <c r="E219" s="4">
        <v>-74.589957999999996</v>
      </c>
      <c r="F219" s="14" t="s">
        <v>1</v>
      </c>
      <c r="G219" s="5" t="s">
        <v>14</v>
      </c>
      <c r="H219" s="6">
        <v>0</v>
      </c>
      <c r="I219" s="7">
        <v>124702</v>
      </c>
      <c r="J219" s="8">
        <v>346394</v>
      </c>
      <c r="K219" s="9">
        <v>0.30499999999999999</v>
      </c>
      <c r="L219" s="8">
        <f t="shared" si="8"/>
        <v>1135718.0327868853</v>
      </c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spans="1:34" x14ac:dyDescent="0.25">
      <c r="A220" s="2" t="s">
        <v>72</v>
      </c>
      <c r="B220" s="3" t="s">
        <v>13</v>
      </c>
      <c r="C220" s="3">
        <v>1980</v>
      </c>
      <c r="D220" s="4">
        <v>39.264158000000002</v>
      </c>
      <c r="E220" s="4">
        <v>-74.589957999999996</v>
      </c>
      <c r="F220" s="14" t="s">
        <v>1</v>
      </c>
      <c r="G220" s="5" t="s">
        <v>14</v>
      </c>
      <c r="H220" s="6">
        <v>0</v>
      </c>
      <c r="I220" s="7">
        <v>150015</v>
      </c>
      <c r="J220" s="8">
        <v>647147</v>
      </c>
      <c r="K220" s="9">
        <v>0.34599999999999997</v>
      </c>
      <c r="L220" s="8">
        <f t="shared" si="8"/>
        <v>1870367.0520231216</v>
      </c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spans="1:34" x14ac:dyDescent="0.25">
      <c r="A221" s="2" t="s">
        <v>72</v>
      </c>
      <c r="B221" s="3" t="s">
        <v>13</v>
      </c>
      <c r="C221" s="3">
        <v>1982</v>
      </c>
      <c r="D221" s="4">
        <v>39.264158000000002</v>
      </c>
      <c r="E221" s="4">
        <v>-74.589957999999996</v>
      </c>
      <c r="F221" s="14" t="s">
        <v>1</v>
      </c>
      <c r="G221" s="5" t="s">
        <v>14</v>
      </c>
      <c r="H221" s="6">
        <v>0</v>
      </c>
      <c r="I221" s="7">
        <v>1200000</v>
      </c>
      <c r="J221" s="8">
        <v>5200000</v>
      </c>
      <c r="K221" s="9">
        <v>0.40100000000000002</v>
      </c>
      <c r="L221" s="8">
        <f t="shared" si="8"/>
        <v>12967581.047381544</v>
      </c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spans="1:34" x14ac:dyDescent="0.25">
      <c r="A222" s="2" t="s">
        <v>72</v>
      </c>
      <c r="B222" s="3" t="s">
        <v>13</v>
      </c>
      <c r="C222" s="3">
        <v>1983</v>
      </c>
      <c r="D222" s="4">
        <v>39.264158000000002</v>
      </c>
      <c r="E222" s="4">
        <v>-74.589957999999996</v>
      </c>
      <c r="F222" s="5" t="s">
        <v>14</v>
      </c>
      <c r="G222" s="5" t="s">
        <v>14</v>
      </c>
      <c r="H222" s="6">
        <v>8600</v>
      </c>
      <c r="I222" s="7">
        <v>1217647</v>
      </c>
      <c r="J222" s="13">
        <v>0</v>
      </c>
      <c r="K222" s="9">
        <v>0.41799999999999998</v>
      </c>
      <c r="L222" s="8">
        <f t="shared" si="8"/>
        <v>0</v>
      </c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spans="1:34" x14ac:dyDescent="0.25">
      <c r="A223" s="10" t="s">
        <v>72</v>
      </c>
      <c r="B223" s="3" t="s">
        <v>13</v>
      </c>
      <c r="C223" s="3">
        <v>1989</v>
      </c>
      <c r="D223" s="4">
        <v>39.264158000000002</v>
      </c>
      <c r="E223" s="4">
        <v>-74.589957999999996</v>
      </c>
      <c r="F223" s="5" t="s">
        <v>14</v>
      </c>
      <c r="G223" s="5" t="s">
        <v>14</v>
      </c>
      <c r="H223" s="6">
        <v>0</v>
      </c>
      <c r="I223" s="7">
        <v>250000</v>
      </c>
      <c r="J223" s="13">
        <v>0</v>
      </c>
      <c r="K223" s="9">
        <v>0.52100000000000002</v>
      </c>
      <c r="L223" s="8">
        <f t="shared" si="8"/>
        <v>0</v>
      </c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spans="1:34" x14ac:dyDescent="0.25">
      <c r="A224" s="10" t="s">
        <v>72</v>
      </c>
      <c r="B224" s="3" t="s">
        <v>13</v>
      </c>
      <c r="C224" s="3">
        <v>1990</v>
      </c>
      <c r="D224" s="4">
        <v>39.264158000000002</v>
      </c>
      <c r="E224" s="4">
        <v>-74.589957999999996</v>
      </c>
      <c r="F224" s="5" t="s">
        <v>14</v>
      </c>
      <c r="G224" s="5" t="s">
        <v>14</v>
      </c>
      <c r="H224" s="6">
        <v>0</v>
      </c>
      <c r="I224" s="7">
        <v>40000</v>
      </c>
      <c r="J224" s="13">
        <v>0</v>
      </c>
      <c r="K224" s="9">
        <v>0.57099999999999995</v>
      </c>
      <c r="L224" s="8">
        <f t="shared" si="8"/>
        <v>0</v>
      </c>
      <c r="Q224" s="10"/>
      <c r="R224" s="10"/>
      <c r="S224" s="10"/>
      <c r="T224" s="10"/>
      <c r="U224" s="10"/>
      <c r="V224" s="10"/>
      <c r="W224" s="10"/>
      <c r="X224" s="10"/>
      <c r="Y224" s="10"/>
      <c r="Z224" s="57"/>
      <c r="AA224" s="57"/>
      <c r="AB224" s="57"/>
      <c r="AC224" s="57"/>
      <c r="AD224" s="57"/>
      <c r="AE224" s="57"/>
      <c r="AF224" s="57"/>
      <c r="AG224" s="57"/>
      <c r="AH224" s="57"/>
    </row>
    <row r="225" spans="1:34" x14ac:dyDescent="0.25">
      <c r="A225" s="10" t="s">
        <v>72</v>
      </c>
      <c r="B225" s="3" t="s">
        <v>13</v>
      </c>
      <c r="C225" s="3">
        <v>1991</v>
      </c>
      <c r="D225" s="4">
        <v>39.264158000000002</v>
      </c>
      <c r="E225" s="4">
        <v>-74.589957999999996</v>
      </c>
      <c r="F225" s="14" t="s">
        <v>15</v>
      </c>
      <c r="G225" s="5" t="s">
        <v>19</v>
      </c>
      <c r="H225" s="6">
        <v>0</v>
      </c>
      <c r="I225" s="7">
        <v>100000</v>
      </c>
      <c r="J225" s="13">
        <v>0</v>
      </c>
      <c r="K225" s="9">
        <v>0.57099999999999995</v>
      </c>
      <c r="L225" s="8">
        <f t="shared" si="8"/>
        <v>0</v>
      </c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spans="1:34" x14ac:dyDescent="0.25">
      <c r="A226" s="10" t="s">
        <v>72</v>
      </c>
      <c r="B226" s="3" t="s">
        <v>13</v>
      </c>
      <c r="C226" s="3">
        <v>1992</v>
      </c>
      <c r="D226" s="4">
        <v>39.264158000000002</v>
      </c>
      <c r="E226" s="4">
        <v>-74.589957999999996</v>
      </c>
      <c r="F226" s="14" t="s">
        <v>15</v>
      </c>
      <c r="G226" s="14" t="s">
        <v>16</v>
      </c>
      <c r="H226" s="7">
        <v>13000</v>
      </c>
      <c r="I226" s="7">
        <v>2618000</v>
      </c>
      <c r="J226" s="8">
        <v>10952000</v>
      </c>
      <c r="K226" s="9">
        <v>0.58799999999999997</v>
      </c>
      <c r="L226" s="8">
        <f>+J226/K227</f>
        <v>18072607.260726072</v>
      </c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spans="1:34" x14ac:dyDescent="0.25">
      <c r="A227" s="10" t="s">
        <v>72</v>
      </c>
      <c r="B227" s="3" t="s">
        <v>13</v>
      </c>
      <c r="C227" s="3">
        <v>1993</v>
      </c>
      <c r="D227" s="4">
        <v>39.264158000000002</v>
      </c>
      <c r="E227" s="4">
        <v>-74.589957999999996</v>
      </c>
      <c r="F227" s="14" t="s">
        <v>15</v>
      </c>
      <c r="G227" s="14" t="s">
        <v>16</v>
      </c>
      <c r="H227" s="7">
        <v>11800</v>
      </c>
      <c r="I227" s="7">
        <v>2727000</v>
      </c>
      <c r="J227" s="8">
        <v>14571909</v>
      </c>
      <c r="K227" s="9">
        <v>0.60599999999999998</v>
      </c>
      <c r="L227" s="8">
        <f t="shared" ref="L227:L246" si="9">+J227/K227</f>
        <v>24046054.455445547</v>
      </c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spans="1:34" x14ac:dyDescent="0.25">
      <c r="A228" s="10" t="s">
        <v>72</v>
      </c>
      <c r="B228" s="3" t="s">
        <v>13</v>
      </c>
      <c r="C228" s="3">
        <v>1993</v>
      </c>
      <c r="D228" s="4">
        <v>39.264158000000002</v>
      </c>
      <c r="E228" s="4">
        <v>-74.589957999999996</v>
      </c>
      <c r="F228" s="14" t="s">
        <v>15</v>
      </c>
      <c r="G228" s="18" t="s">
        <v>17</v>
      </c>
      <c r="H228" s="6">
        <v>0</v>
      </c>
      <c r="I228" s="7">
        <v>846000</v>
      </c>
      <c r="J228" s="8">
        <v>2915131</v>
      </c>
      <c r="K228" s="9">
        <v>0.60599999999999998</v>
      </c>
      <c r="L228" s="8">
        <f t="shared" si="9"/>
        <v>4810447.194719472</v>
      </c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spans="1:34" x14ac:dyDescent="0.25">
      <c r="A229" s="10" t="s">
        <v>72</v>
      </c>
      <c r="B229" s="3" t="s">
        <v>13</v>
      </c>
      <c r="C229" s="3">
        <v>1994</v>
      </c>
      <c r="D229" s="4">
        <v>39.264158000000002</v>
      </c>
      <c r="E229" s="4">
        <v>-74.589957999999996</v>
      </c>
      <c r="F229" s="14" t="s">
        <v>15</v>
      </c>
      <c r="G229" s="14" t="s">
        <v>16</v>
      </c>
      <c r="H229" s="7">
        <v>6336</v>
      </c>
      <c r="I229" s="7">
        <v>606000</v>
      </c>
      <c r="J229" s="8">
        <v>3217825</v>
      </c>
      <c r="K229" s="9">
        <v>0.621</v>
      </c>
      <c r="L229" s="8">
        <f t="shared" si="9"/>
        <v>5181682.7697262485</v>
      </c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spans="1:34" x14ac:dyDescent="0.25">
      <c r="A230" s="10" t="s">
        <v>72</v>
      </c>
      <c r="B230" s="3" t="s">
        <v>13</v>
      </c>
      <c r="C230" s="3">
        <v>1995</v>
      </c>
      <c r="D230" s="4">
        <v>39.264158000000002</v>
      </c>
      <c r="E230" s="4">
        <v>-74.589957999999996</v>
      </c>
      <c r="F230" s="14" t="s">
        <v>15</v>
      </c>
      <c r="G230" s="14" t="s">
        <v>16</v>
      </c>
      <c r="H230" s="7">
        <v>24816</v>
      </c>
      <c r="I230" s="7">
        <v>1411000</v>
      </c>
      <c r="J230" s="8">
        <v>5749776</v>
      </c>
      <c r="K230" s="20">
        <v>0.64100000000000001</v>
      </c>
      <c r="L230" s="8">
        <f t="shared" si="9"/>
        <v>8970009.3603744153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spans="1:34" x14ac:dyDescent="0.25">
      <c r="A231" s="10" t="s">
        <v>72</v>
      </c>
      <c r="B231" s="3" t="s">
        <v>13</v>
      </c>
      <c r="C231" s="3">
        <v>1995</v>
      </c>
      <c r="D231" s="4">
        <v>39.264158000000002</v>
      </c>
      <c r="E231" s="4">
        <v>-74.589957999999996</v>
      </c>
      <c r="F231" s="14" t="s">
        <v>1</v>
      </c>
      <c r="G231" s="5" t="s">
        <v>14</v>
      </c>
      <c r="H231" s="7">
        <v>10560</v>
      </c>
      <c r="I231" s="7">
        <v>360000</v>
      </c>
      <c r="J231" s="8">
        <v>1232572</v>
      </c>
      <c r="K231" s="20">
        <v>0.64100000000000001</v>
      </c>
      <c r="L231" s="8">
        <f t="shared" si="9"/>
        <v>1922889.2355694228</v>
      </c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spans="1:34" x14ac:dyDescent="0.25">
      <c r="A232" s="10" t="s">
        <v>72</v>
      </c>
      <c r="B232" s="3" t="s">
        <v>13</v>
      </c>
      <c r="C232" s="11">
        <v>2000</v>
      </c>
      <c r="D232" s="4">
        <v>39.264158000000002</v>
      </c>
      <c r="E232" s="4">
        <v>-74.589957999999996</v>
      </c>
      <c r="F232" s="5" t="s">
        <v>15</v>
      </c>
      <c r="G232" s="18" t="s">
        <v>16</v>
      </c>
      <c r="H232" s="6">
        <v>12500</v>
      </c>
      <c r="I232" s="12">
        <v>1351000</v>
      </c>
      <c r="J232" s="19">
        <v>6943000</v>
      </c>
      <c r="K232" s="9">
        <v>0.72499999999999998</v>
      </c>
      <c r="L232" s="8">
        <f t="shared" si="9"/>
        <v>9576551.7241379321</v>
      </c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spans="1:34" x14ac:dyDescent="0.25">
      <c r="A233" s="10" t="s">
        <v>72</v>
      </c>
      <c r="B233" s="3" t="s">
        <v>13</v>
      </c>
      <c r="C233" s="11">
        <v>2004</v>
      </c>
      <c r="D233" s="4">
        <v>39.264158000000002</v>
      </c>
      <c r="E233" s="4">
        <v>-74.589957999999996</v>
      </c>
      <c r="F233" s="5" t="s">
        <v>15</v>
      </c>
      <c r="G233" s="18" t="s">
        <v>16</v>
      </c>
      <c r="H233" s="6">
        <v>9500</v>
      </c>
      <c r="I233" s="12">
        <v>1600000</v>
      </c>
      <c r="J233" s="19">
        <v>8314000</v>
      </c>
      <c r="K233" s="9">
        <v>0.79300000000000004</v>
      </c>
      <c r="L233" s="8">
        <f t="shared" si="9"/>
        <v>10484237.074401008</v>
      </c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spans="1:34" x14ac:dyDescent="0.25">
      <c r="A234" s="10" t="s">
        <v>72</v>
      </c>
      <c r="B234" s="3" t="s">
        <v>13</v>
      </c>
      <c r="C234" s="11">
        <v>2004</v>
      </c>
      <c r="D234" s="4">
        <v>39.264158000000002</v>
      </c>
      <c r="E234" s="4">
        <v>-74.589957999999996</v>
      </c>
      <c r="F234" s="5" t="s">
        <v>1</v>
      </c>
      <c r="G234" s="18" t="s">
        <v>16</v>
      </c>
      <c r="H234" s="6">
        <v>1000</v>
      </c>
      <c r="I234" s="12">
        <v>62000</v>
      </c>
      <c r="J234" s="13">
        <v>0</v>
      </c>
      <c r="K234" s="9">
        <v>0.79300000000000004</v>
      </c>
      <c r="L234" s="8">
        <f t="shared" si="9"/>
        <v>0</v>
      </c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spans="1:34" x14ac:dyDescent="0.25">
      <c r="A235" s="10" t="s">
        <v>72</v>
      </c>
      <c r="B235" s="3" t="s">
        <v>13</v>
      </c>
      <c r="C235" s="11">
        <v>2008</v>
      </c>
      <c r="D235" s="4">
        <v>39.264158000000002</v>
      </c>
      <c r="E235" s="4">
        <v>-74.589957999999996</v>
      </c>
      <c r="F235" s="5" t="s">
        <v>1</v>
      </c>
      <c r="G235" s="18" t="s">
        <v>16</v>
      </c>
      <c r="H235" s="6">
        <v>11000</v>
      </c>
      <c r="I235" s="12">
        <v>900825</v>
      </c>
      <c r="J235" s="26">
        <v>0</v>
      </c>
      <c r="K235" s="33">
        <v>0.90400000000000003</v>
      </c>
      <c r="L235" s="8">
        <f t="shared" si="9"/>
        <v>0</v>
      </c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spans="1:34" x14ac:dyDescent="0.25">
      <c r="A236" s="10" t="s">
        <v>72</v>
      </c>
      <c r="B236" s="3" t="s">
        <v>13</v>
      </c>
      <c r="C236" s="11">
        <v>2010</v>
      </c>
      <c r="D236" s="4">
        <v>39.264158000000002</v>
      </c>
      <c r="E236" s="4">
        <v>-74.589957999999996</v>
      </c>
      <c r="F236" s="5" t="s">
        <v>15</v>
      </c>
      <c r="G236" s="18" t="s">
        <v>16</v>
      </c>
      <c r="H236" s="6">
        <v>9500</v>
      </c>
      <c r="I236" s="12">
        <v>1400000</v>
      </c>
      <c r="J236" s="19">
        <v>13824000</v>
      </c>
      <c r="K236" s="9">
        <v>0.91600000000000004</v>
      </c>
      <c r="L236" s="8">
        <f t="shared" si="9"/>
        <v>15091703.056768559</v>
      </c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spans="1:34" x14ac:dyDescent="0.25">
      <c r="A237" s="10" t="s">
        <v>72</v>
      </c>
      <c r="B237" s="3" t="s">
        <v>13</v>
      </c>
      <c r="C237" s="11">
        <v>2013</v>
      </c>
      <c r="D237" s="4">
        <v>39.264158000000002</v>
      </c>
      <c r="E237" s="4">
        <v>-74.589957999999996</v>
      </c>
      <c r="F237" s="5" t="s">
        <v>15</v>
      </c>
      <c r="G237" s="18" t="s">
        <v>16</v>
      </c>
      <c r="H237" s="6">
        <v>12144</v>
      </c>
      <c r="I237" s="12">
        <v>1000000</v>
      </c>
      <c r="J237" s="19">
        <v>11993000</v>
      </c>
      <c r="K237" s="20">
        <v>0.97799999999999998</v>
      </c>
      <c r="L237" s="8">
        <f t="shared" si="9"/>
        <v>12262781.18609407</v>
      </c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spans="1:34" x14ac:dyDescent="0.25">
      <c r="A238" s="2" t="s">
        <v>72</v>
      </c>
      <c r="B238" s="3" t="s">
        <v>13</v>
      </c>
      <c r="C238" s="11">
        <v>2013</v>
      </c>
      <c r="D238" s="4">
        <v>39.264158000000002</v>
      </c>
      <c r="E238" s="4">
        <v>-74.589957999999996</v>
      </c>
      <c r="F238" s="5" t="s">
        <v>15</v>
      </c>
      <c r="G238" s="18" t="s">
        <v>17</v>
      </c>
      <c r="H238" s="6"/>
      <c r="I238" s="7">
        <v>746200</v>
      </c>
      <c r="J238" s="62">
        <v>5467700</v>
      </c>
      <c r="K238" s="20">
        <v>0.97799999999999998</v>
      </c>
      <c r="L238" s="8">
        <f t="shared" si="9"/>
        <v>5590695.2965235179</v>
      </c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spans="1:34" x14ac:dyDescent="0.25">
      <c r="A239" s="10" t="s">
        <v>72</v>
      </c>
      <c r="B239" s="3" t="s">
        <v>13</v>
      </c>
      <c r="C239" s="11">
        <v>2013</v>
      </c>
      <c r="D239" s="4">
        <v>39.264158000000002</v>
      </c>
      <c r="E239" s="4">
        <v>-74.589957999999996</v>
      </c>
      <c r="F239" s="5" t="s">
        <v>24</v>
      </c>
      <c r="G239" s="18" t="s">
        <v>16</v>
      </c>
      <c r="H239" s="6">
        <v>4487</v>
      </c>
      <c r="I239" s="12">
        <v>90000</v>
      </c>
      <c r="J239" s="19">
        <v>1100000</v>
      </c>
      <c r="K239" s="20">
        <v>0.97799999999999998</v>
      </c>
      <c r="L239" s="8">
        <f t="shared" si="9"/>
        <v>1124744.3762781187</v>
      </c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spans="1:34" x14ac:dyDescent="0.25">
      <c r="A240" s="2" t="s">
        <v>73</v>
      </c>
      <c r="B240" s="3" t="s">
        <v>13</v>
      </c>
      <c r="C240" s="11">
        <v>1997</v>
      </c>
      <c r="D240" s="4">
        <v>39.264158000000002</v>
      </c>
      <c r="E240" s="4">
        <v>-74.589957999999996</v>
      </c>
      <c r="F240" s="5" t="s">
        <v>15</v>
      </c>
      <c r="G240" s="18" t="s">
        <v>16</v>
      </c>
      <c r="H240" s="6">
        <v>7000</v>
      </c>
      <c r="I240" s="12">
        <v>800000</v>
      </c>
      <c r="J240" s="19">
        <v>4945000</v>
      </c>
      <c r="K240" s="9">
        <v>0.67600000000000005</v>
      </c>
      <c r="L240" s="8">
        <f t="shared" si="9"/>
        <v>7315088.7573964493</v>
      </c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spans="1:34" x14ac:dyDescent="0.25">
      <c r="A241" s="2" t="s">
        <v>67</v>
      </c>
      <c r="B241" s="3" t="s">
        <v>13</v>
      </c>
      <c r="C241" s="3">
        <v>1966</v>
      </c>
      <c r="D241" s="4">
        <v>39.194612999999997</v>
      </c>
      <c r="E241" s="4">
        <v>-74.657435000000007</v>
      </c>
      <c r="F241" s="14" t="s">
        <v>1</v>
      </c>
      <c r="G241" s="5" t="s">
        <v>14</v>
      </c>
      <c r="H241" s="6">
        <v>0</v>
      </c>
      <c r="I241" s="6">
        <v>0</v>
      </c>
      <c r="J241" s="8">
        <v>12142</v>
      </c>
      <c r="K241" s="9">
        <v>0.13600000000000001</v>
      </c>
      <c r="L241" s="8">
        <f t="shared" si="9"/>
        <v>89279.411764705874</v>
      </c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spans="1:34" x14ac:dyDescent="0.25">
      <c r="A242" s="2" t="s">
        <v>67</v>
      </c>
      <c r="B242" s="3" t="s">
        <v>13</v>
      </c>
      <c r="C242" s="3">
        <v>1981</v>
      </c>
      <c r="D242" s="4">
        <v>39.194612999999997</v>
      </c>
      <c r="E242" s="4">
        <v>-74.657435000000007</v>
      </c>
      <c r="F242" s="5" t="s">
        <v>14</v>
      </c>
      <c r="G242" s="5" t="s">
        <v>14</v>
      </c>
      <c r="H242" s="6">
        <v>0</v>
      </c>
      <c r="I242" s="7">
        <v>36000</v>
      </c>
      <c r="J242" s="8">
        <v>93240</v>
      </c>
      <c r="K242" s="9">
        <v>0.38200000000000001</v>
      </c>
      <c r="L242" s="8">
        <f t="shared" si="9"/>
        <v>244083.76963350785</v>
      </c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spans="1:34" x14ac:dyDescent="0.25">
      <c r="A243" s="2" t="s">
        <v>67</v>
      </c>
      <c r="B243" s="3" t="s">
        <v>13</v>
      </c>
      <c r="C243" s="3">
        <v>1982</v>
      </c>
      <c r="D243" s="4">
        <v>39.194612999999997</v>
      </c>
      <c r="E243" s="4">
        <v>-74.657435000000007</v>
      </c>
      <c r="F243" s="14" t="s">
        <v>24</v>
      </c>
      <c r="G243" s="5" t="s">
        <v>14</v>
      </c>
      <c r="H243" s="6">
        <v>0</v>
      </c>
      <c r="I243" s="7">
        <v>45000</v>
      </c>
      <c r="J243" s="8">
        <v>90000</v>
      </c>
      <c r="K243" s="9">
        <v>0.40100000000000002</v>
      </c>
      <c r="L243" s="8">
        <f t="shared" si="9"/>
        <v>224438.90274314213</v>
      </c>
      <c r="Q243" s="10"/>
      <c r="R243" s="10"/>
      <c r="S243" s="10"/>
      <c r="T243" s="10"/>
      <c r="U243" s="10"/>
      <c r="V243" s="10"/>
      <c r="W243" s="10"/>
      <c r="X243" s="10"/>
      <c r="Y243" s="10"/>
      <c r="Z243" s="57"/>
      <c r="AA243" s="57"/>
      <c r="AB243" s="57"/>
      <c r="AC243" s="57"/>
      <c r="AD243" s="57"/>
      <c r="AE243" s="57"/>
      <c r="AF243" s="57"/>
      <c r="AG243" s="57"/>
      <c r="AH243" s="57"/>
    </row>
    <row r="244" spans="1:34" x14ac:dyDescent="0.25">
      <c r="A244" s="2" t="s">
        <v>67</v>
      </c>
      <c r="B244" s="3" t="s">
        <v>13</v>
      </c>
      <c r="C244" s="3">
        <v>1984</v>
      </c>
      <c r="D244" s="4">
        <v>39.194612999999997</v>
      </c>
      <c r="E244" s="4">
        <v>-74.657435000000007</v>
      </c>
      <c r="F244" s="14" t="s">
        <v>1</v>
      </c>
      <c r="G244" s="5" t="s">
        <v>14</v>
      </c>
      <c r="H244" s="6">
        <v>0</v>
      </c>
      <c r="I244" s="7">
        <v>1600000</v>
      </c>
      <c r="J244" s="8">
        <v>6451613</v>
      </c>
      <c r="K244" s="9">
        <v>0.437</v>
      </c>
      <c r="L244" s="8">
        <f t="shared" si="9"/>
        <v>14763416.475972541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spans="1:34" x14ac:dyDescent="0.25">
      <c r="A245" s="2" t="s">
        <v>67</v>
      </c>
      <c r="B245" s="3" t="s">
        <v>13</v>
      </c>
      <c r="C245" s="3">
        <v>1984</v>
      </c>
      <c r="D245" s="4">
        <v>39.194612999999997</v>
      </c>
      <c r="E245" s="4">
        <v>-74.657435000000007</v>
      </c>
      <c r="F245" s="14" t="s">
        <v>1</v>
      </c>
      <c r="G245" s="5" t="s">
        <v>14</v>
      </c>
      <c r="H245" s="6">
        <v>0</v>
      </c>
      <c r="I245" s="7">
        <v>592000</v>
      </c>
      <c r="J245" s="8">
        <v>3929142</v>
      </c>
      <c r="K245" s="9">
        <v>0.437</v>
      </c>
      <c r="L245" s="8">
        <f t="shared" si="9"/>
        <v>8991171.6247139592</v>
      </c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spans="1:34" x14ac:dyDescent="0.25">
      <c r="A246" s="2" t="s">
        <v>67</v>
      </c>
      <c r="B246" s="3" t="s">
        <v>13</v>
      </c>
      <c r="C246" s="3">
        <v>1984</v>
      </c>
      <c r="D246" s="4">
        <v>39.194612999999997</v>
      </c>
      <c r="E246" s="4">
        <v>-74.657435000000007</v>
      </c>
      <c r="F246" s="14" t="s">
        <v>1</v>
      </c>
      <c r="G246" s="5" t="s">
        <v>14</v>
      </c>
      <c r="H246" s="6">
        <v>0</v>
      </c>
      <c r="I246" s="7">
        <v>120000</v>
      </c>
      <c r="J246" s="8">
        <v>2453600</v>
      </c>
      <c r="K246" s="9">
        <v>0.437</v>
      </c>
      <c r="L246" s="8">
        <f t="shared" si="9"/>
        <v>5614645.308924485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spans="1:34" x14ac:dyDescent="0.25">
      <c r="A247" s="2" t="s">
        <v>67</v>
      </c>
      <c r="B247" s="3" t="s">
        <v>13</v>
      </c>
      <c r="C247" s="11">
        <v>1992</v>
      </c>
      <c r="D247" s="4">
        <v>39.194612999999997</v>
      </c>
      <c r="E247" s="4">
        <v>-74.657435000000007</v>
      </c>
      <c r="F247" s="14" t="s">
        <v>1</v>
      </c>
      <c r="G247" s="5" t="s">
        <v>14</v>
      </c>
      <c r="H247" s="6">
        <v>0</v>
      </c>
      <c r="I247" s="12">
        <v>23000</v>
      </c>
      <c r="J247" s="19">
        <v>102679</v>
      </c>
      <c r="K247" s="9">
        <v>0.58799999999999997</v>
      </c>
      <c r="L247" s="8">
        <f>+J247/K248</f>
        <v>137639.41018766756</v>
      </c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spans="1:34" x14ac:dyDescent="0.25">
      <c r="A248" s="2" t="s">
        <v>67</v>
      </c>
      <c r="B248" s="3" t="s">
        <v>13</v>
      </c>
      <c r="C248" s="3">
        <v>2001</v>
      </c>
      <c r="D248" s="4">
        <v>39.194612999999997</v>
      </c>
      <c r="E248" s="4">
        <v>-74.657435000000007</v>
      </c>
      <c r="F248" s="5" t="s">
        <v>1</v>
      </c>
      <c r="G248" s="5" t="s">
        <v>16</v>
      </c>
      <c r="H248" s="6">
        <v>4500</v>
      </c>
      <c r="I248" s="7">
        <v>506139</v>
      </c>
      <c r="J248" s="26">
        <v>0</v>
      </c>
      <c r="K248" s="9">
        <v>0.746</v>
      </c>
      <c r="L248" s="8">
        <f t="shared" ref="L248:L267" si="10">+J248/K248</f>
        <v>0</v>
      </c>
      <c r="Q248" s="10"/>
      <c r="R248" s="10"/>
      <c r="S248" s="10"/>
      <c r="T248" s="10"/>
      <c r="U248" s="10"/>
      <c r="V248" s="10"/>
      <c r="W248" s="10"/>
      <c r="X248" s="10"/>
      <c r="Y248" s="10"/>
      <c r="Z248" s="57"/>
      <c r="AA248" s="57"/>
      <c r="AB248" s="57"/>
      <c r="AC248" s="57"/>
      <c r="AD248" s="57"/>
      <c r="AE248" s="57"/>
      <c r="AF248" s="57"/>
      <c r="AG248" s="57"/>
      <c r="AH248" s="57"/>
    </row>
    <row r="249" spans="1:34" x14ac:dyDescent="0.25">
      <c r="A249" s="2" t="s">
        <v>67</v>
      </c>
      <c r="B249" s="3" t="s">
        <v>13</v>
      </c>
      <c r="C249" s="3">
        <v>2009</v>
      </c>
      <c r="D249" s="4">
        <v>39.194612999999997</v>
      </c>
      <c r="E249" s="4">
        <v>-74.657435000000007</v>
      </c>
      <c r="F249" s="5" t="s">
        <v>1</v>
      </c>
      <c r="G249" s="5" t="s">
        <v>16</v>
      </c>
      <c r="H249" s="6">
        <v>10258</v>
      </c>
      <c r="I249" s="7">
        <v>891000</v>
      </c>
      <c r="J249" s="8">
        <v>6026820.3300000001</v>
      </c>
      <c r="K249" s="20">
        <v>0.90100000000000002</v>
      </c>
      <c r="L249" s="8">
        <f t="shared" si="10"/>
        <v>6689034.7724750275</v>
      </c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spans="1:34" x14ac:dyDescent="0.25">
      <c r="A250" s="2" t="s">
        <v>67</v>
      </c>
      <c r="B250" s="3" t="s">
        <v>13</v>
      </c>
      <c r="C250" s="3">
        <v>2012</v>
      </c>
      <c r="D250" s="4">
        <v>39.194612999999997</v>
      </c>
      <c r="E250" s="4">
        <v>-74.657435000000007</v>
      </c>
      <c r="F250" s="14" t="s">
        <v>15</v>
      </c>
      <c r="G250" s="5" t="s">
        <v>17</v>
      </c>
      <c r="H250" s="6">
        <v>2400</v>
      </c>
      <c r="I250" s="6">
        <v>450000</v>
      </c>
      <c r="J250" s="13">
        <v>4200000</v>
      </c>
      <c r="K250" s="20">
        <v>0.96399999999999997</v>
      </c>
      <c r="L250" s="8">
        <f t="shared" si="10"/>
        <v>4356846.4730290454</v>
      </c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spans="1:34" x14ac:dyDescent="0.25">
      <c r="A251" s="2" t="s">
        <v>96</v>
      </c>
      <c r="B251" s="3" t="s">
        <v>13</v>
      </c>
      <c r="C251" s="3">
        <v>1950</v>
      </c>
      <c r="D251" s="4">
        <v>39.194612999999997</v>
      </c>
      <c r="E251" s="4">
        <v>-74.657435000000007</v>
      </c>
      <c r="F251" s="14" t="s">
        <v>15</v>
      </c>
      <c r="G251" s="5" t="s">
        <v>14</v>
      </c>
      <c r="H251" s="6">
        <v>0</v>
      </c>
      <c r="I251" s="7">
        <v>134000</v>
      </c>
      <c r="J251" s="13">
        <v>0</v>
      </c>
      <c r="K251" s="9">
        <v>0.10100000000000001</v>
      </c>
      <c r="L251" s="8">
        <f t="shared" si="10"/>
        <v>0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spans="1:34" x14ac:dyDescent="0.25">
      <c r="A252" s="2" t="s">
        <v>96</v>
      </c>
      <c r="B252" s="3" t="s">
        <v>13</v>
      </c>
      <c r="C252" s="3">
        <v>1966</v>
      </c>
      <c r="D252" s="4">
        <v>39.194612999999997</v>
      </c>
      <c r="E252" s="4">
        <v>-74.657435000000007</v>
      </c>
      <c r="F252" s="14" t="s">
        <v>1</v>
      </c>
      <c r="G252" s="5" t="s">
        <v>14</v>
      </c>
      <c r="H252" s="6">
        <v>0</v>
      </c>
      <c r="I252" s="7">
        <v>10000</v>
      </c>
      <c r="J252" s="13">
        <v>0</v>
      </c>
      <c r="K252" s="9">
        <v>0.13600000000000001</v>
      </c>
      <c r="L252" s="8">
        <f t="shared" si="10"/>
        <v>0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spans="1:34" x14ac:dyDescent="0.25">
      <c r="A253" s="46" t="s">
        <v>65</v>
      </c>
      <c r="B253" s="63" t="s">
        <v>13</v>
      </c>
      <c r="C253" s="63">
        <v>1962</v>
      </c>
      <c r="D253" s="40">
        <v>39.166421999999997</v>
      </c>
      <c r="E253" s="40">
        <v>-74.682469999999995</v>
      </c>
      <c r="F253" s="48" t="s">
        <v>15</v>
      </c>
      <c r="G253" s="41" t="s">
        <v>35</v>
      </c>
      <c r="H253" s="64">
        <v>35200</v>
      </c>
      <c r="I253" s="65">
        <v>905082</v>
      </c>
      <c r="J253" s="66">
        <v>1066800</v>
      </c>
      <c r="K253" s="44">
        <v>0.127</v>
      </c>
      <c r="L253" s="45">
        <f t="shared" si="10"/>
        <v>8400000</v>
      </c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spans="1:34" x14ac:dyDescent="0.25">
      <c r="A254" s="29" t="s">
        <v>66</v>
      </c>
      <c r="B254" s="3" t="s">
        <v>13</v>
      </c>
      <c r="C254" s="3">
        <v>1965</v>
      </c>
      <c r="D254" s="4">
        <v>39.141177999999996</v>
      </c>
      <c r="E254" s="4">
        <v>-74.699749999999995</v>
      </c>
      <c r="F254" s="14" t="s">
        <v>1</v>
      </c>
      <c r="G254" s="5" t="s">
        <v>14</v>
      </c>
      <c r="H254" s="6">
        <v>0</v>
      </c>
      <c r="I254" s="7">
        <v>60000</v>
      </c>
      <c r="J254" s="8">
        <v>63845</v>
      </c>
      <c r="K254" s="9">
        <v>0.13200000000000001</v>
      </c>
      <c r="L254" s="8">
        <f t="shared" si="10"/>
        <v>483674.24242424237</v>
      </c>
      <c r="Q254" s="46"/>
      <c r="R254" s="46"/>
      <c r="S254" s="46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spans="1:34" x14ac:dyDescent="0.25">
      <c r="A255" s="29" t="s">
        <v>66</v>
      </c>
      <c r="B255" s="3" t="s">
        <v>13</v>
      </c>
      <c r="C255" s="3">
        <v>1978</v>
      </c>
      <c r="D255" s="4">
        <v>39.141177999999996</v>
      </c>
      <c r="E255" s="4">
        <v>-74.699749999999995</v>
      </c>
      <c r="F255" s="5" t="s">
        <v>14</v>
      </c>
      <c r="G255" s="5" t="s">
        <v>14</v>
      </c>
      <c r="H255" s="6">
        <v>0</v>
      </c>
      <c r="I255" s="7">
        <v>700000</v>
      </c>
      <c r="J255" s="13">
        <v>0</v>
      </c>
      <c r="K255" s="9">
        <v>0.27400000000000002</v>
      </c>
      <c r="L255" s="8">
        <f t="shared" si="10"/>
        <v>0</v>
      </c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spans="1:34" x14ac:dyDescent="0.25">
      <c r="A256" s="29" t="s">
        <v>66</v>
      </c>
      <c r="B256" s="3" t="s">
        <v>13</v>
      </c>
      <c r="C256" s="3">
        <v>1981</v>
      </c>
      <c r="D256" s="4">
        <v>39.141177999999996</v>
      </c>
      <c r="E256" s="4">
        <v>-74.699749999999995</v>
      </c>
      <c r="F256" s="5" t="s">
        <v>14</v>
      </c>
      <c r="G256" s="5" t="s">
        <v>14</v>
      </c>
      <c r="H256" s="6">
        <v>0</v>
      </c>
      <c r="I256" s="7">
        <v>20880</v>
      </c>
      <c r="J256" s="8">
        <v>54080</v>
      </c>
      <c r="K256" s="9">
        <v>0.38200000000000001</v>
      </c>
      <c r="L256" s="8">
        <f t="shared" si="10"/>
        <v>141570.68062827224</v>
      </c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spans="1:34" x14ac:dyDescent="0.25">
      <c r="A257" s="29" t="s">
        <v>66</v>
      </c>
      <c r="B257" s="3" t="s">
        <v>13</v>
      </c>
      <c r="C257" s="3">
        <v>1983</v>
      </c>
      <c r="D257" s="4">
        <v>39.141177999999996</v>
      </c>
      <c r="E257" s="4">
        <v>-74.699749999999995</v>
      </c>
      <c r="F257" s="14" t="s">
        <v>1</v>
      </c>
      <c r="G257" s="5" t="s">
        <v>14</v>
      </c>
      <c r="H257" s="6">
        <v>0</v>
      </c>
      <c r="I257" s="7">
        <v>45000</v>
      </c>
      <c r="J257" s="8">
        <v>194294</v>
      </c>
      <c r="K257" s="9">
        <v>0.41799999999999998</v>
      </c>
      <c r="L257" s="8">
        <f t="shared" si="10"/>
        <v>464818.18181818182</v>
      </c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spans="1:34" x14ac:dyDescent="0.25">
      <c r="A258" s="29" t="s">
        <v>66</v>
      </c>
      <c r="B258" s="3" t="s">
        <v>13</v>
      </c>
      <c r="C258" s="3">
        <v>1984</v>
      </c>
      <c r="D258" s="4">
        <v>39.141177999999996</v>
      </c>
      <c r="E258" s="4">
        <v>-74.699749999999995</v>
      </c>
      <c r="F258" s="14" t="s">
        <v>1</v>
      </c>
      <c r="G258" s="5" t="s">
        <v>14</v>
      </c>
      <c r="H258" s="6">
        <v>0</v>
      </c>
      <c r="I258" s="7">
        <v>800000</v>
      </c>
      <c r="J258" s="8">
        <v>3652500</v>
      </c>
      <c r="K258" s="9">
        <v>0.437</v>
      </c>
      <c r="L258" s="8">
        <f t="shared" si="10"/>
        <v>8358123.5697940504</v>
      </c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spans="1:34" x14ac:dyDescent="0.25">
      <c r="A259" s="29" t="s">
        <v>66</v>
      </c>
      <c r="B259" s="3" t="s">
        <v>13</v>
      </c>
      <c r="C259" s="3">
        <v>1987</v>
      </c>
      <c r="D259" s="4">
        <v>39.141177999999996</v>
      </c>
      <c r="E259" s="4">
        <v>-74.699749999999995</v>
      </c>
      <c r="F259" s="5" t="s">
        <v>14</v>
      </c>
      <c r="G259" s="5" t="s">
        <v>14</v>
      </c>
      <c r="H259" s="6">
        <v>0</v>
      </c>
      <c r="I259" s="7">
        <v>158000</v>
      </c>
      <c r="J259" s="8">
        <v>528244</v>
      </c>
      <c r="K259" s="9">
        <v>0.47599999999999998</v>
      </c>
      <c r="L259" s="8">
        <f t="shared" si="10"/>
        <v>1109756.3025210085</v>
      </c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spans="1:34" x14ac:dyDescent="0.25">
      <c r="A260" s="29" t="s">
        <v>66</v>
      </c>
      <c r="B260" s="3" t="s">
        <v>13</v>
      </c>
      <c r="C260" s="21">
        <v>2009</v>
      </c>
      <c r="D260" s="4">
        <v>39.141177999999996</v>
      </c>
      <c r="E260" s="4">
        <v>-74.699749999999995</v>
      </c>
      <c r="F260" s="5" t="s">
        <v>1</v>
      </c>
      <c r="G260" s="18" t="s">
        <v>14</v>
      </c>
      <c r="H260" s="24">
        <v>6500</v>
      </c>
      <c r="I260" s="25">
        <v>216630</v>
      </c>
      <c r="J260" s="26">
        <v>1987684</v>
      </c>
      <c r="K260" s="20">
        <v>0.90100000000000002</v>
      </c>
      <c r="L260" s="8">
        <f t="shared" si="10"/>
        <v>2206086.5704772472</v>
      </c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spans="1:34" x14ac:dyDescent="0.25">
      <c r="A261" s="29" t="s">
        <v>66</v>
      </c>
      <c r="B261" s="3" t="s">
        <v>13</v>
      </c>
      <c r="C261" s="21">
        <v>2009</v>
      </c>
      <c r="D261" s="4">
        <v>39.141177999999996</v>
      </c>
      <c r="E261" s="4">
        <v>-74.699749999999995</v>
      </c>
      <c r="F261" s="5" t="s">
        <v>1</v>
      </c>
      <c r="G261" s="18" t="s">
        <v>14</v>
      </c>
      <c r="H261" s="24">
        <v>3500</v>
      </c>
      <c r="I261" s="25">
        <v>178167</v>
      </c>
      <c r="J261" s="26">
        <v>1626286</v>
      </c>
      <c r="K261" s="20">
        <v>0.90100000000000002</v>
      </c>
      <c r="L261" s="8">
        <f t="shared" si="10"/>
        <v>1804978.9123196448</v>
      </c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spans="1:34" x14ac:dyDescent="0.25">
      <c r="A262" s="29" t="s">
        <v>66</v>
      </c>
      <c r="B262" s="34" t="s">
        <v>13</v>
      </c>
      <c r="C262" s="58">
        <v>2010</v>
      </c>
      <c r="D262" s="56">
        <v>39.141177999999996</v>
      </c>
      <c r="E262" s="56">
        <v>-74.699749999999995</v>
      </c>
      <c r="F262" s="5" t="s">
        <v>1</v>
      </c>
      <c r="G262" s="18" t="s">
        <v>14</v>
      </c>
      <c r="H262" s="6">
        <v>5500</v>
      </c>
      <c r="I262" s="7">
        <v>700000</v>
      </c>
      <c r="J262" s="26">
        <v>6000000</v>
      </c>
      <c r="K262" s="9">
        <v>0.91600000000000004</v>
      </c>
      <c r="L262" s="8">
        <f t="shared" si="10"/>
        <v>6550218.3406113535</v>
      </c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spans="1:34" x14ac:dyDescent="0.25">
      <c r="A263" s="29" t="s">
        <v>66</v>
      </c>
      <c r="B263" s="3" t="s">
        <v>13</v>
      </c>
      <c r="C263" s="11">
        <v>2012</v>
      </c>
      <c r="D263" s="4">
        <v>39.141177999999996</v>
      </c>
      <c r="E263" s="4">
        <v>-74.699749999999995</v>
      </c>
      <c r="F263" s="14" t="s">
        <v>15</v>
      </c>
      <c r="G263" s="5" t="s">
        <v>17</v>
      </c>
      <c r="H263" s="12">
        <v>14750</v>
      </c>
      <c r="I263" s="12">
        <v>394797</v>
      </c>
      <c r="J263" s="19">
        <v>5000000</v>
      </c>
      <c r="K263" s="20">
        <v>0.96399999999999997</v>
      </c>
      <c r="L263" s="8">
        <f t="shared" si="10"/>
        <v>5186721.9917012453</v>
      </c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spans="1:34" x14ac:dyDescent="0.25">
      <c r="A264" s="29" t="s">
        <v>66</v>
      </c>
      <c r="B264" s="3" t="s">
        <v>13</v>
      </c>
      <c r="C264" s="21">
        <v>2012</v>
      </c>
      <c r="D264" s="4">
        <v>39.141177999999996</v>
      </c>
      <c r="E264" s="4">
        <v>-74.699749999999995</v>
      </c>
      <c r="F264" s="14" t="s">
        <v>15</v>
      </c>
      <c r="G264" s="18" t="s">
        <v>17</v>
      </c>
      <c r="H264" s="24">
        <v>6300</v>
      </c>
      <c r="I264" s="25">
        <v>0</v>
      </c>
      <c r="J264" s="26">
        <v>0</v>
      </c>
      <c r="K264" s="20">
        <v>0.96399999999999997</v>
      </c>
      <c r="L264" s="8">
        <f t="shared" si="10"/>
        <v>0</v>
      </c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spans="1:34" x14ac:dyDescent="0.25">
      <c r="A265" s="2" t="s">
        <v>23</v>
      </c>
      <c r="B265" s="3" t="s">
        <v>13</v>
      </c>
      <c r="C265" s="3">
        <v>1962</v>
      </c>
      <c r="D265" s="4">
        <v>39.100225999999999</v>
      </c>
      <c r="E265" s="4">
        <v>-74.710549999999998</v>
      </c>
      <c r="F265" s="5" t="s">
        <v>14</v>
      </c>
      <c r="G265" s="5" t="s">
        <v>14</v>
      </c>
      <c r="H265" s="6">
        <v>0</v>
      </c>
      <c r="I265" s="7">
        <v>90600</v>
      </c>
      <c r="J265" s="13">
        <v>0</v>
      </c>
      <c r="K265" s="9">
        <v>0.127</v>
      </c>
      <c r="L265" s="8">
        <f t="shared" si="10"/>
        <v>0</v>
      </c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spans="1:34" x14ac:dyDescent="0.25">
      <c r="A266" s="2" t="s">
        <v>23</v>
      </c>
      <c r="B266" s="3" t="s">
        <v>13</v>
      </c>
      <c r="C266" s="3">
        <v>1987</v>
      </c>
      <c r="D266" s="4">
        <v>39.100225999999999</v>
      </c>
      <c r="E266" s="4">
        <v>-74.710549999999998</v>
      </c>
      <c r="F266" s="14" t="s">
        <v>1</v>
      </c>
      <c r="G266" s="5" t="s">
        <v>14</v>
      </c>
      <c r="H266" s="7">
        <v>6000</v>
      </c>
      <c r="I266" s="7">
        <v>1305000</v>
      </c>
      <c r="J266" s="8">
        <v>2873940</v>
      </c>
      <c r="K266" s="9">
        <v>0.47599999999999998</v>
      </c>
      <c r="L266" s="8">
        <f t="shared" si="10"/>
        <v>6037689.0756302522</v>
      </c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spans="1:34" x14ac:dyDescent="0.25">
      <c r="A267" s="2" t="s">
        <v>23</v>
      </c>
      <c r="B267" s="3" t="s">
        <v>13</v>
      </c>
      <c r="C267" s="11">
        <v>1990</v>
      </c>
      <c r="D267" s="4">
        <v>39.100225999999999</v>
      </c>
      <c r="E267" s="4">
        <v>-74.710549999999998</v>
      </c>
      <c r="F267" s="14" t="s">
        <v>24</v>
      </c>
      <c r="G267" s="5" t="s">
        <v>14</v>
      </c>
      <c r="H267" s="12">
        <v>2500</v>
      </c>
      <c r="I267" s="12">
        <v>404000</v>
      </c>
      <c r="J267" s="19">
        <v>600000</v>
      </c>
      <c r="K267" s="9">
        <v>0.57099999999999995</v>
      </c>
      <c r="L267" s="8">
        <f t="shared" si="10"/>
        <v>1050788.0910683013</v>
      </c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spans="1:34" x14ac:dyDescent="0.25">
      <c r="A268" s="2" t="s">
        <v>23</v>
      </c>
      <c r="B268" s="3" t="s">
        <v>13</v>
      </c>
      <c r="C268" s="3">
        <v>1992</v>
      </c>
      <c r="D268" s="4">
        <v>39.100225999999999</v>
      </c>
      <c r="E268" s="4">
        <v>-74.710549999999998</v>
      </c>
      <c r="F268" s="14" t="s">
        <v>24</v>
      </c>
      <c r="G268" s="5" t="s">
        <v>14</v>
      </c>
      <c r="H268" s="7">
        <v>3000</v>
      </c>
      <c r="I268" s="7">
        <v>410000</v>
      </c>
      <c r="J268" s="8">
        <v>1188000</v>
      </c>
      <c r="K268" s="9">
        <v>0.58799999999999997</v>
      </c>
      <c r="L268" s="8">
        <f>+J268/K269</f>
        <v>1960396.0396039605</v>
      </c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spans="1:34" x14ac:dyDescent="0.25">
      <c r="A269" s="2" t="s">
        <v>23</v>
      </c>
      <c r="B269" s="3" t="s">
        <v>13</v>
      </c>
      <c r="C269" s="3">
        <v>1993</v>
      </c>
      <c r="D269" s="4">
        <v>39.100225999999999</v>
      </c>
      <c r="E269" s="4">
        <v>-74.710549999999998</v>
      </c>
      <c r="F269" s="14" t="s">
        <v>15</v>
      </c>
      <c r="G269" s="18" t="s">
        <v>17</v>
      </c>
      <c r="H269" s="7">
        <v>2800</v>
      </c>
      <c r="I269" s="7">
        <v>239000</v>
      </c>
      <c r="J269" s="8">
        <v>1777193</v>
      </c>
      <c r="K269" s="9">
        <v>0.60599999999999998</v>
      </c>
      <c r="L269" s="8">
        <f>+J269/K269</f>
        <v>2932661.7161716172</v>
      </c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spans="1:34" x14ac:dyDescent="0.25">
      <c r="A270" s="29" t="s">
        <v>23</v>
      </c>
      <c r="B270" s="3" t="s">
        <v>13</v>
      </c>
      <c r="C270" s="21">
        <v>2003</v>
      </c>
      <c r="D270" s="22">
        <v>39.098427999999998</v>
      </c>
      <c r="E270" s="22">
        <v>-74.711459000000005</v>
      </c>
      <c r="F270" s="23" t="s">
        <v>15</v>
      </c>
      <c r="G270" s="18" t="s">
        <v>16</v>
      </c>
      <c r="H270" s="24">
        <v>6260</v>
      </c>
      <c r="I270" s="25">
        <v>1300000</v>
      </c>
      <c r="J270" s="26">
        <v>0</v>
      </c>
      <c r="K270" s="20">
        <v>0.77500000000000002</v>
      </c>
      <c r="L270" s="30">
        <v>0</v>
      </c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spans="1:34" x14ac:dyDescent="0.25">
      <c r="A271" s="2" t="s">
        <v>23</v>
      </c>
      <c r="B271" s="3" t="s">
        <v>13</v>
      </c>
      <c r="C271" s="3">
        <v>2005</v>
      </c>
      <c r="D271" s="22">
        <v>39.098427999999998</v>
      </c>
      <c r="E271" s="22">
        <v>-74.711459000000005</v>
      </c>
      <c r="F271" s="5" t="s">
        <v>1</v>
      </c>
      <c r="G271" s="18" t="s">
        <v>14</v>
      </c>
      <c r="H271" s="31">
        <v>1400</v>
      </c>
      <c r="I271" s="32">
        <v>57000</v>
      </c>
      <c r="J271" s="13">
        <v>0</v>
      </c>
      <c r="K271" s="9">
        <v>0.82</v>
      </c>
      <c r="L271" s="8">
        <f t="shared" ref="L271:L287" si="11">+J271/K271</f>
        <v>0</v>
      </c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spans="1:34" x14ac:dyDescent="0.25">
      <c r="A272" s="29" t="s">
        <v>23</v>
      </c>
      <c r="B272" s="3" t="s">
        <v>13</v>
      </c>
      <c r="C272" s="21">
        <v>2008</v>
      </c>
      <c r="D272" s="22">
        <v>39.098427999999998</v>
      </c>
      <c r="E272" s="22">
        <v>-74.711459000000005</v>
      </c>
      <c r="F272" s="23" t="s">
        <v>15</v>
      </c>
      <c r="G272" s="18" t="s">
        <v>16</v>
      </c>
      <c r="H272" s="24">
        <v>2600</v>
      </c>
      <c r="I272" s="25">
        <v>225000</v>
      </c>
      <c r="J272" s="26">
        <v>0</v>
      </c>
      <c r="K272" s="33">
        <v>0.90400000000000003</v>
      </c>
      <c r="L272" s="8">
        <f t="shared" si="11"/>
        <v>0</v>
      </c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spans="1:34" x14ac:dyDescent="0.25">
      <c r="A273" s="29" t="s">
        <v>23</v>
      </c>
      <c r="B273" s="3" t="s">
        <v>13</v>
      </c>
      <c r="C273" s="21">
        <v>2010</v>
      </c>
      <c r="D273" s="22">
        <v>39.098427999999998</v>
      </c>
      <c r="E273" s="22">
        <v>-74.711459000000005</v>
      </c>
      <c r="F273" s="23" t="s">
        <v>15</v>
      </c>
      <c r="G273" s="18" t="s">
        <v>17</v>
      </c>
      <c r="H273" s="24">
        <v>2200</v>
      </c>
      <c r="I273" s="25">
        <v>500000</v>
      </c>
      <c r="J273" s="26">
        <v>4500000</v>
      </c>
      <c r="K273" s="9">
        <v>0.91600000000000004</v>
      </c>
      <c r="L273" s="8">
        <f t="shared" si="11"/>
        <v>4912663.7554585151</v>
      </c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spans="1:34" x14ac:dyDescent="0.25">
      <c r="A274" s="29" t="s">
        <v>23</v>
      </c>
      <c r="B274" s="3" t="s">
        <v>13</v>
      </c>
      <c r="C274" s="21">
        <v>2011</v>
      </c>
      <c r="D274" s="22">
        <v>39.098427999999998</v>
      </c>
      <c r="E274" s="22">
        <v>-74.711459000000005</v>
      </c>
      <c r="F274" s="23" t="s">
        <v>15</v>
      </c>
      <c r="G274" s="18" t="s">
        <v>17</v>
      </c>
      <c r="H274" s="24">
        <v>4475</v>
      </c>
      <c r="I274" s="25">
        <v>450000</v>
      </c>
      <c r="J274" s="26">
        <v>9338000</v>
      </c>
      <c r="K274" s="20">
        <v>0.96399999999999997</v>
      </c>
      <c r="L274" s="8">
        <f t="shared" si="11"/>
        <v>9686721.9917012453</v>
      </c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spans="1:34" x14ac:dyDescent="0.25">
      <c r="A275" s="29" t="s">
        <v>23</v>
      </c>
      <c r="B275" s="3" t="s">
        <v>13</v>
      </c>
      <c r="C275" s="34">
        <v>2013</v>
      </c>
      <c r="D275" s="22">
        <v>39.098427999999998</v>
      </c>
      <c r="E275" s="22">
        <v>-74.711459000000005</v>
      </c>
      <c r="F275" s="23" t="s">
        <v>15</v>
      </c>
      <c r="G275" s="18" t="s">
        <v>17</v>
      </c>
      <c r="H275" s="35">
        <v>5000</v>
      </c>
      <c r="I275" s="25">
        <v>75000</v>
      </c>
      <c r="J275" s="36">
        <v>2150543</v>
      </c>
      <c r="K275" s="20">
        <v>0.97799999999999998</v>
      </c>
      <c r="L275" s="8">
        <f t="shared" si="11"/>
        <v>2198919.2229038854</v>
      </c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spans="1:34" x14ac:dyDescent="0.25">
      <c r="A276" s="29" t="s">
        <v>23</v>
      </c>
      <c r="B276" s="3" t="s">
        <v>13</v>
      </c>
      <c r="C276" s="21">
        <v>2013</v>
      </c>
      <c r="D276" s="22">
        <v>39.098427999999998</v>
      </c>
      <c r="E276" s="22">
        <v>-74.711459000000005</v>
      </c>
      <c r="F276" s="23" t="s">
        <v>15</v>
      </c>
      <c r="G276" s="18" t="s">
        <v>17</v>
      </c>
      <c r="H276" s="35"/>
      <c r="I276" s="6">
        <v>46359</v>
      </c>
      <c r="J276" s="37">
        <v>418984.2</v>
      </c>
      <c r="K276" s="20">
        <v>0.97799999999999998</v>
      </c>
      <c r="L276" s="8">
        <f t="shared" si="11"/>
        <v>428409.20245398773</v>
      </c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spans="1:34" x14ac:dyDescent="0.25">
      <c r="A277" s="2" t="s">
        <v>95</v>
      </c>
      <c r="B277" s="3" t="s">
        <v>13</v>
      </c>
      <c r="C277" s="3">
        <v>1967</v>
      </c>
      <c r="D277" s="4">
        <v>39.050752000000003</v>
      </c>
      <c r="E277" s="4">
        <v>-74.756134000000003</v>
      </c>
      <c r="F277" s="5" t="s">
        <v>14</v>
      </c>
      <c r="G277" s="5" t="s">
        <v>14</v>
      </c>
      <c r="H277" s="6">
        <v>0</v>
      </c>
      <c r="I277" s="7">
        <v>175218</v>
      </c>
      <c r="J277" s="13">
        <v>0</v>
      </c>
      <c r="K277" s="9">
        <v>0.14000000000000001</v>
      </c>
      <c r="L277" s="8">
        <f t="shared" si="11"/>
        <v>0</v>
      </c>
      <c r="Q277" s="10"/>
      <c r="R277" s="10"/>
      <c r="S277" s="10"/>
      <c r="T277" s="10"/>
      <c r="U277" s="10"/>
      <c r="V277" s="10"/>
      <c r="W277" s="10"/>
      <c r="X277" s="10"/>
      <c r="Y277" s="10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x14ac:dyDescent="0.25">
      <c r="A278" s="2" t="s">
        <v>95</v>
      </c>
      <c r="B278" s="3" t="s">
        <v>13</v>
      </c>
      <c r="C278" s="3">
        <v>1968</v>
      </c>
      <c r="D278" s="4">
        <v>39.050752000000003</v>
      </c>
      <c r="E278" s="4">
        <v>-74.756134000000003</v>
      </c>
      <c r="F278" s="14" t="s">
        <v>1</v>
      </c>
      <c r="G278" s="5" t="s">
        <v>14</v>
      </c>
      <c r="H278" s="6">
        <v>0</v>
      </c>
      <c r="I278" s="7">
        <v>200000</v>
      </c>
      <c r="J278" s="8">
        <v>255464</v>
      </c>
      <c r="K278" s="9">
        <v>0.14599999999999999</v>
      </c>
      <c r="L278" s="8">
        <f t="shared" si="11"/>
        <v>1749753.4246575343</v>
      </c>
      <c r="Q278" s="10"/>
      <c r="R278" s="10"/>
      <c r="S278" s="10"/>
      <c r="T278" s="10"/>
      <c r="U278" s="10"/>
      <c r="V278" s="10"/>
      <c r="W278" s="10"/>
      <c r="X278" s="10"/>
      <c r="Y278" s="10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x14ac:dyDescent="0.25">
      <c r="A279" s="51" t="s">
        <v>95</v>
      </c>
      <c r="B279" s="3" t="s">
        <v>13</v>
      </c>
      <c r="C279" s="21">
        <v>2003</v>
      </c>
      <c r="D279" s="4">
        <v>39.050752000000003</v>
      </c>
      <c r="E279" s="4">
        <v>-74.756134000000003</v>
      </c>
      <c r="F279" s="23" t="s">
        <v>15</v>
      </c>
      <c r="G279" s="18" t="s">
        <v>16</v>
      </c>
      <c r="H279" s="24">
        <v>13300</v>
      </c>
      <c r="I279" s="25">
        <v>2900000</v>
      </c>
      <c r="J279" s="26">
        <v>0</v>
      </c>
      <c r="K279" s="20">
        <v>0.77500000000000002</v>
      </c>
      <c r="L279" s="8">
        <f t="shared" si="11"/>
        <v>0</v>
      </c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spans="1:34" x14ac:dyDescent="0.25">
      <c r="A280" s="51" t="s">
        <v>95</v>
      </c>
      <c r="B280" s="3" t="s">
        <v>13</v>
      </c>
      <c r="C280" s="21">
        <v>2009</v>
      </c>
      <c r="D280" s="4">
        <v>39.050752000000003</v>
      </c>
      <c r="E280" s="4">
        <v>-74.756134000000003</v>
      </c>
      <c r="F280" s="23" t="s">
        <v>15</v>
      </c>
      <c r="G280" s="18" t="s">
        <v>17</v>
      </c>
      <c r="H280" s="24">
        <v>3700</v>
      </c>
      <c r="I280" s="25">
        <v>319670</v>
      </c>
      <c r="J280" s="26">
        <v>1500000</v>
      </c>
      <c r="K280" s="20">
        <v>0.90100000000000002</v>
      </c>
      <c r="L280" s="8">
        <f t="shared" si="11"/>
        <v>1664816.8701442841</v>
      </c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spans="1:34" x14ac:dyDescent="0.25">
      <c r="A281" s="51" t="s">
        <v>95</v>
      </c>
      <c r="B281" s="3" t="s">
        <v>13</v>
      </c>
      <c r="C281" s="21">
        <v>2011</v>
      </c>
      <c r="D281" s="4">
        <v>39.050752000000003</v>
      </c>
      <c r="E281" s="4">
        <v>-74.756134000000003</v>
      </c>
      <c r="F281" s="23" t="s">
        <v>15</v>
      </c>
      <c r="G281" s="18" t="s">
        <v>17</v>
      </c>
      <c r="H281" s="24">
        <v>11200</v>
      </c>
      <c r="I281" s="25">
        <v>580000</v>
      </c>
      <c r="J281" s="26">
        <v>9338000</v>
      </c>
      <c r="K281" s="20">
        <v>0.96399999999999997</v>
      </c>
      <c r="L281" s="8">
        <f t="shared" si="11"/>
        <v>9686721.9917012453</v>
      </c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spans="1:34" x14ac:dyDescent="0.25">
      <c r="A282" s="51" t="s">
        <v>95</v>
      </c>
      <c r="B282" s="3" t="s">
        <v>13</v>
      </c>
      <c r="C282" s="21">
        <v>2013</v>
      </c>
      <c r="D282" s="4">
        <v>39.050752000000003</v>
      </c>
      <c r="E282" s="4">
        <v>-74.756134000000003</v>
      </c>
      <c r="F282" s="23" t="s">
        <v>15</v>
      </c>
      <c r="G282" s="18" t="s">
        <v>17</v>
      </c>
      <c r="H282" s="6"/>
      <c r="I282" s="6">
        <v>265000</v>
      </c>
      <c r="J282" s="13">
        <v>3121700</v>
      </c>
      <c r="K282" s="20">
        <v>0.97799999999999998</v>
      </c>
      <c r="L282" s="8">
        <f t="shared" si="11"/>
        <v>3191922.2903885483</v>
      </c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spans="1:34" x14ac:dyDescent="0.25">
      <c r="A283" s="51" t="s">
        <v>95</v>
      </c>
      <c r="B283" s="3" t="s">
        <v>13</v>
      </c>
      <c r="C283" s="21">
        <v>2013</v>
      </c>
      <c r="D283" s="4">
        <v>39.050752000000003</v>
      </c>
      <c r="E283" s="4">
        <v>-74.756134000000003</v>
      </c>
      <c r="F283" s="23" t="s">
        <v>15</v>
      </c>
      <c r="G283" s="18" t="s">
        <v>17</v>
      </c>
      <c r="H283" s="6">
        <v>8750</v>
      </c>
      <c r="I283" s="6">
        <v>100000</v>
      </c>
      <c r="J283" s="13">
        <v>2440250</v>
      </c>
      <c r="K283" s="20">
        <v>0.97799999999999998</v>
      </c>
      <c r="L283" s="8">
        <f t="shared" si="11"/>
        <v>2495143.1492842538</v>
      </c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spans="1:34" x14ac:dyDescent="0.25">
      <c r="A284" s="2" t="s">
        <v>69</v>
      </c>
      <c r="B284" s="3" t="s">
        <v>13</v>
      </c>
      <c r="C284" s="3">
        <v>1966</v>
      </c>
      <c r="D284" s="4">
        <v>38.993906000000003</v>
      </c>
      <c r="E284" s="4">
        <v>-74.794163999999995</v>
      </c>
      <c r="F284" s="14" t="s">
        <v>1</v>
      </c>
      <c r="G284" s="5" t="s">
        <v>14</v>
      </c>
      <c r="H284" s="6">
        <v>0</v>
      </c>
      <c r="I284" s="7">
        <v>5000</v>
      </c>
      <c r="J284" s="8">
        <v>5698</v>
      </c>
      <c r="K284" s="9">
        <v>0.13600000000000001</v>
      </c>
      <c r="L284" s="8">
        <f t="shared" si="11"/>
        <v>41897.058823529405</v>
      </c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spans="1:34" x14ac:dyDescent="0.25">
      <c r="A285" s="2" t="s">
        <v>69</v>
      </c>
      <c r="B285" s="3" t="s">
        <v>13</v>
      </c>
      <c r="C285" s="3">
        <v>1989</v>
      </c>
      <c r="D285" s="4">
        <v>38.993906000000003</v>
      </c>
      <c r="E285" s="4">
        <v>-74.794163999999995</v>
      </c>
      <c r="F285" s="14" t="s">
        <v>1</v>
      </c>
      <c r="G285" s="5" t="s">
        <v>14</v>
      </c>
      <c r="H285" s="6">
        <v>0</v>
      </c>
      <c r="I285" s="7">
        <v>190000</v>
      </c>
      <c r="J285" s="8">
        <v>875000</v>
      </c>
      <c r="K285" s="9">
        <v>0.52100000000000002</v>
      </c>
      <c r="L285" s="8">
        <f t="shared" si="11"/>
        <v>1679462.5719769674</v>
      </c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spans="1:34" x14ac:dyDescent="0.25">
      <c r="A286" s="2" t="s">
        <v>69</v>
      </c>
      <c r="B286" s="3" t="s">
        <v>13</v>
      </c>
      <c r="C286" s="3">
        <v>2009</v>
      </c>
      <c r="D286" s="4">
        <v>38.993906000000003</v>
      </c>
      <c r="E286" s="4">
        <v>-74.794163999999995</v>
      </c>
      <c r="F286" s="4" t="s">
        <v>1</v>
      </c>
      <c r="G286" s="5" t="s">
        <v>14</v>
      </c>
      <c r="H286" s="6">
        <v>10400</v>
      </c>
      <c r="I286" s="7">
        <v>1186400</v>
      </c>
      <c r="J286" s="8">
        <v>10640526</v>
      </c>
      <c r="K286" s="20">
        <v>0.90100000000000002</v>
      </c>
      <c r="L286" s="8">
        <f t="shared" si="11"/>
        <v>11809684.794672586</v>
      </c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spans="1:34" x14ac:dyDescent="0.25">
      <c r="A287" s="2" t="s">
        <v>69</v>
      </c>
      <c r="B287" s="3" t="s">
        <v>13</v>
      </c>
      <c r="C287" s="21">
        <v>2010</v>
      </c>
      <c r="D287" s="4">
        <v>38.993906000000003</v>
      </c>
      <c r="E287" s="4">
        <v>-74.794163999999995</v>
      </c>
      <c r="F287" s="23" t="s">
        <v>70</v>
      </c>
      <c r="G287" s="18" t="s">
        <v>17</v>
      </c>
      <c r="H287" s="24">
        <v>5200</v>
      </c>
      <c r="I287" s="25">
        <v>464000</v>
      </c>
      <c r="J287" s="26">
        <v>0</v>
      </c>
      <c r="K287" s="9">
        <v>0.91600000000000004</v>
      </c>
      <c r="L287" s="8">
        <f t="shared" si="11"/>
        <v>0</v>
      </c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spans="1:34" x14ac:dyDescent="0.25">
      <c r="A288" s="2" t="s">
        <v>69</v>
      </c>
      <c r="B288" s="3" t="s">
        <v>13</v>
      </c>
      <c r="C288" s="21">
        <v>2012</v>
      </c>
      <c r="D288" s="4">
        <v>38.993906000000003</v>
      </c>
      <c r="E288" s="4">
        <v>-74.794163999999995</v>
      </c>
      <c r="F288" s="23" t="s">
        <v>70</v>
      </c>
      <c r="G288" s="18" t="s">
        <v>17</v>
      </c>
      <c r="H288" s="24">
        <v>1200</v>
      </c>
      <c r="I288" s="25">
        <v>96000</v>
      </c>
      <c r="J288" s="26"/>
      <c r="K288" s="20">
        <v>0.96399999999999997</v>
      </c>
      <c r="L288" s="8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spans="1:34" x14ac:dyDescent="0.25">
      <c r="A289" s="2" t="s">
        <v>69</v>
      </c>
      <c r="B289" s="3" t="s">
        <v>13</v>
      </c>
      <c r="C289" s="21">
        <v>2013</v>
      </c>
      <c r="D289" s="4">
        <v>38.993906000000003</v>
      </c>
      <c r="E289" s="4">
        <v>-74.794163999999995</v>
      </c>
      <c r="F289" s="23" t="s">
        <v>70</v>
      </c>
      <c r="G289" s="18" t="s">
        <v>17</v>
      </c>
      <c r="H289" s="24">
        <v>6400</v>
      </c>
      <c r="I289" s="25">
        <v>150530</v>
      </c>
      <c r="J289" s="26"/>
      <c r="K289" s="20">
        <v>0.97799999999999998</v>
      </c>
      <c r="L289" s="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spans="1:34" x14ac:dyDescent="0.25">
      <c r="A290" s="2" t="s">
        <v>64</v>
      </c>
      <c r="B290" s="3" t="s">
        <v>13</v>
      </c>
      <c r="C290" s="3">
        <v>1969</v>
      </c>
      <c r="D290" s="4">
        <v>38.982363999999997</v>
      </c>
      <c r="E290" s="4">
        <v>-74.960832999999994</v>
      </c>
      <c r="F290" s="5" t="s">
        <v>14</v>
      </c>
      <c r="G290" s="5" t="s">
        <v>14</v>
      </c>
      <c r="H290" s="6">
        <v>0</v>
      </c>
      <c r="I290" s="7">
        <v>61000</v>
      </c>
      <c r="J290" s="8">
        <v>89455</v>
      </c>
      <c r="K290" s="9">
        <v>0.154</v>
      </c>
      <c r="L290" s="8">
        <f t="shared" ref="L290:L323" si="12">+J290/K290</f>
        <v>580876.62337662338</v>
      </c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spans="1:34" x14ac:dyDescent="0.25">
      <c r="A291" s="2" t="s">
        <v>64</v>
      </c>
      <c r="B291" s="3" t="s">
        <v>13</v>
      </c>
      <c r="C291" s="3">
        <v>1986</v>
      </c>
      <c r="D291" s="4">
        <v>38.982363999999997</v>
      </c>
      <c r="E291" s="4">
        <v>-74.960832999999994</v>
      </c>
      <c r="F291" s="14" t="s">
        <v>1</v>
      </c>
      <c r="G291" s="5" t="s">
        <v>14</v>
      </c>
      <c r="H291" s="6">
        <v>0</v>
      </c>
      <c r="I291" s="7">
        <v>87000</v>
      </c>
      <c r="J291" s="8">
        <v>337209</v>
      </c>
      <c r="K291" s="9">
        <v>0.46100000000000002</v>
      </c>
      <c r="L291" s="8">
        <f t="shared" si="12"/>
        <v>731472.88503253798</v>
      </c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spans="1:34" x14ac:dyDescent="0.25">
      <c r="A292" s="2" t="s">
        <v>97</v>
      </c>
      <c r="B292" s="3" t="s">
        <v>13</v>
      </c>
      <c r="C292" s="3">
        <v>1963</v>
      </c>
      <c r="D292" s="4">
        <v>38.978994999999998</v>
      </c>
      <c r="E292" s="4">
        <v>-74.817971</v>
      </c>
      <c r="F292" s="14" t="s">
        <v>15</v>
      </c>
      <c r="G292" s="14" t="s">
        <v>17</v>
      </c>
      <c r="H292" s="6">
        <v>0</v>
      </c>
      <c r="I292" s="7">
        <v>25000</v>
      </c>
      <c r="J292" s="13">
        <v>0</v>
      </c>
      <c r="K292" s="9">
        <v>0.129</v>
      </c>
      <c r="L292" s="8">
        <f t="shared" si="12"/>
        <v>0</v>
      </c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spans="1:34" x14ac:dyDescent="0.25">
      <c r="A293" s="2" t="s">
        <v>97</v>
      </c>
      <c r="B293" s="3" t="s">
        <v>13</v>
      </c>
      <c r="C293" s="3">
        <v>1991</v>
      </c>
      <c r="D293" s="4">
        <v>38.978994999999998</v>
      </c>
      <c r="E293" s="4">
        <v>-74.817971</v>
      </c>
      <c r="F293" s="14" t="s">
        <v>15</v>
      </c>
      <c r="G293" s="5" t="s">
        <v>19</v>
      </c>
      <c r="H293" s="6">
        <v>0</v>
      </c>
      <c r="I293" s="7">
        <v>100000</v>
      </c>
      <c r="J293" s="8">
        <v>434783</v>
      </c>
      <c r="K293" s="9">
        <v>0.57099999999999995</v>
      </c>
      <c r="L293" s="8">
        <f t="shared" si="12"/>
        <v>761441.33099824877</v>
      </c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spans="1:34" x14ac:dyDescent="0.25">
      <c r="A294" s="38" t="s">
        <v>38</v>
      </c>
      <c r="B294" s="39" t="s">
        <v>13</v>
      </c>
      <c r="C294" s="39">
        <v>1962</v>
      </c>
      <c r="D294" s="40">
        <v>38.941653000000002</v>
      </c>
      <c r="E294" s="40">
        <v>-74.883330999999998</v>
      </c>
      <c r="F294" s="48" t="s">
        <v>15</v>
      </c>
      <c r="G294" s="41" t="s">
        <v>35</v>
      </c>
      <c r="H294" s="49">
        <v>8448</v>
      </c>
      <c r="I294" s="49">
        <v>156656</v>
      </c>
      <c r="J294" s="45">
        <v>358600</v>
      </c>
      <c r="K294" s="44">
        <v>0.127</v>
      </c>
      <c r="L294" s="45">
        <f t="shared" si="12"/>
        <v>2823622.0472440943</v>
      </c>
      <c r="Q294" s="10"/>
      <c r="R294" s="10"/>
      <c r="S294" s="10"/>
      <c r="T294" s="10"/>
      <c r="U294" s="10"/>
      <c r="V294" s="10"/>
      <c r="W294" s="10"/>
      <c r="X294" s="10"/>
      <c r="Y294" s="10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spans="1:34" x14ac:dyDescent="0.25">
      <c r="A295" s="2" t="s">
        <v>38</v>
      </c>
      <c r="B295" s="3" t="s">
        <v>13</v>
      </c>
      <c r="C295" s="3">
        <v>1991</v>
      </c>
      <c r="D295" s="4">
        <v>38.941653000000002</v>
      </c>
      <c r="E295" s="4">
        <v>-74.883330999999998</v>
      </c>
      <c r="F295" s="14" t="s">
        <v>15</v>
      </c>
      <c r="G295" s="18" t="s">
        <v>16</v>
      </c>
      <c r="H295" s="7">
        <v>8000</v>
      </c>
      <c r="I295" s="7">
        <v>1365000</v>
      </c>
      <c r="J295" s="8">
        <v>10526000</v>
      </c>
      <c r="K295" s="9">
        <v>0.57099999999999995</v>
      </c>
      <c r="L295" s="8">
        <f t="shared" si="12"/>
        <v>18434325.744308233</v>
      </c>
      <c r="Q295" s="46"/>
      <c r="R295" s="46"/>
      <c r="S295" s="46"/>
      <c r="T295" s="10"/>
      <c r="U295" s="10"/>
      <c r="V295" s="10"/>
      <c r="W295" s="10"/>
      <c r="X295" s="10"/>
      <c r="Y295" s="10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x14ac:dyDescent="0.25">
      <c r="A296" s="2" t="s">
        <v>38</v>
      </c>
      <c r="B296" s="3" t="s">
        <v>13</v>
      </c>
      <c r="C296" s="3">
        <v>1993</v>
      </c>
      <c r="D296" s="4">
        <v>38.941653000000002</v>
      </c>
      <c r="E296" s="4">
        <v>-74.883330999999998</v>
      </c>
      <c r="F296" s="14" t="s">
        <v>15</v>
      </c>
      <c r="G296" s="18" t="s">
        <v>16</v>
      </c>
      <c r="H296" s="7">
        <v>4800</v>
      </c>
      <c r="I296" s="7">
        <v>415000</v>
      </c>
      <c r="J296" s="8">
        <v>2400000</v>
      </c>
      <c r="K296" s="9">
        <v>0.60599999999999998</v>
      </c>
      <c r="L296" s="8">
        <f t="shared" si="12"/>
        <v>3960396.0396039607</v>
      </c>
      <c r="Q296" s="10"/>
      <c r="R296" s="10"/>
      <c r="S296" s="10"/>
      <c r="T296" s="10"/>
      <c r="U296" s="10"/>
      <c r="V296" s="10"/>
      <c r="W296" s="10"/>
      <c r="X296" s="10"/>
      <c r="Y296" s="10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spans="1:34" x14ac:dyDescent="0.25">
      <c r="A297" s="2" t="s">
        <v>38</v>
      </c>
      <c r="B297" s="3" t="s">
        <v>13</v>
      </c>
      <c r="C297" s="3">
        <v>1993</v>
      </c>
      <c r="D297" s="4">
        <v>38.941653000000002</v>
      </c>
      <c r="E297" s="4">
        <v>-74.883330999999998</v>
      </c>
      <c r="F297" s="14" t="s">
        <v>15</v>
      </c>
      <c r="G297" s="18" t="s">
        <v>17</v>
      </c>
      <c r="H297" s="6">
        <v>0</v>
      </c>
      <c r="I297" s="7">
        <v>300000</v>
      </c>
      <c r="J297" s="8">
        <v>2200000</v>
      </c>
      <c r="K297" s="9">
        <v>0.60599999999999998</v>
      </c>
      <c r="L297" s="8">
        <f t="shared" si="12"/>
        <v>3630363.0363036306</v>
      </c>
      <c r="Q297" s="10"/>
      <c r="R297" s="10"/>
      <c r="S297" s="10"/>
      <c r="T297" s="10"/>
      <c r="U297" s="10"/>
      <c r="V297" s="10"/>
      <c r="W297" s="10"/>
      <c r="X297" s="10"/>
      <c r="Y297" s="10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spans="1:34" x14ac:dyDescent="0.25">
      <c r="A298" s="2" t="s">
        <v>38</v>
      </c>
      <c r="B298" s="3" t="s">
        <v>13</v>
      </c>
      <c r="C298" s="3">
        <v>1995</v>
      </c>
      <c r="D298" s="4">
        <v>38.941653000000002</v>
      </c>
      <c r="E298" s="4">
        <v>-74.883330999999998</v>
      </c>
      <c r="F298" s="14" t="s">
        <v>15</v>
      </c>
      <c r="G298" s="18" t="s">
        <v>16</v>
      </c>
      <c r="H298" s="7">
        <v>4800</v>
      </c>
      <c r="I298" s="7">
        <v>330000</v>
      </c>
      <c r="J298" s="8">
        <v>2605000</v>
      </c>
      <c r="K298" s="20">
        <v>0.64100000000000001</v>
      </c>
      <c r="L298" s="8">
        <f t="shared" si="12"/>
        <v>4063962.5585023402</v>
      </c>
      <c r="Q298" s="10"/>
      <c r="R298" s="10"/>
      <c r="S298" s="10"/>
      <c r="T298" s="10"/>
      <c r="U298" s="10"/>
      <c r="V298" s="10"/>
      <c r="W298" s="10"/>
      <c r="X298" s="10"/>
      <c r="Y298" s="10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spans="1:34" x14ac:dyDescent="0.25">
      <c r="A299" s="2" t="s">
        <v>38</v>
      </c>
      <c r="B299" s="3" t="s">
        <v>13</v>
      </c>
      <c r="C299" s="11">
        <v>1997</v>
      </c>
      <c r="D299" s="4">
        <v>38.941653000000002</v>
      </c>
      <c r="E299" s="4">
        <v>-74.883330999999998</v>
      </c>
      <c r="F299" s="14" t="s">
        <v>15</v>
      </c>
      <c r="G299" s="18" t="s">
        <v>16</v>
      </c>
      <c r="H299" s="6">
        <v>0</v>
      </c>
      <c r="I299" s="12">
        <v>366000</v>
      </c>
      <c r="J299" s="19">
        <v>2400000</v>
      </c>
      <c r="K299" s="9">
        <v>0.67600000000000005</v>
      </c>
      <c r="L299" s="8">
        <f t="shared" si="12"/>
        <v>3550295.8579881652</v>
      </c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spans="1:34" x14ac:dyDescent="0.25">
      <c r="A300" s="2" t="s">
        <v>38</v>
      </c>
      <c r="B300" s="3" t="s">
        <v>13</v>
      </c>
      <c r="C300" s="11">
        <v>1999</v>
      </c>
      <c r="D300" s="4">
        <v>38.941653000000002</v>
      </c>
      <c r="E300" s="4">
        <v>-74.883330999999998</v>
      </c>
      <c r="F300" s="14" t="s">
        <v>15</v>
      </c>
      <c r="G300" s="18" t="s">
        <v>16</v>
      </c>
      <c r="H300" s="6">
        <v>0</v>
      </c>
      <c r="I300" s="12">
        <v>400000</v>
      </c>
      <c r="J300" s="19">
        <v>3400000</v>
      </c>
      <c r="K300" s="9">
        <v>0.69899999999999995</v>
      </c>
      <c r="L300" s="8">
        <f t="shared" si="12"/>
        <v>4864091.5593705298</v>
      </c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spans="1:34" x14ac:dyDescent="0.25">
      <c r="A301" s="2" t="s">
        <v>38</v>
      </c>
      <c r="B301" s="3" t="s">
        <v>13</v>
      </c>
      <c r="C301" s="3">
        <v>2003</v>
      </c>
      <c r="D301" s="4">
        <v>38.941653000000002</v>
      </c>
      <c r="E301" s="4">
        <v>-74.883330999999998</v>
      </c>
      <c r="F301" s="14" t="s">
        <v>15</v>
      </c>
      <c r="G301" s="18" t="s">
        <v>16</v>
      </c>
      <c r="H301" s="6">
        <v>0</v>
      </c>
      <c r="I301" s="7">
        <v>267000</v>
      </c>
      <c r="J301" s="8">
        <v>2435000</v>
      </c>
      <c r="K301" s="20">
        <v>0.77500000000000002</v>
      </c>
      <c r="L301" s="8">
        <f t="shared" si="12"/>
        <v>3141935.4838709678</v>
      </c>
      <c r="Q301" s="10"/>
      <c r="R301" s="10"/>
      <c r="S301" s="10"/>
      <c r="T301" s="10"/>
      <c r="U301" s="10"/>
      <c r="V301" s="10"/>
      <c r="W301" s="10"/>
      <c r="X301" s="10"/>
      <c r="Y301" s="10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spans="1:34" x14ac:dyDescent="0.25">
      <c r="A302" s="2" t="s">
        <v>38</v>
      </c>
      <c r="B302" s="3" t="s">
        <v>13</v>
      </c>
      <c r="C302" s="11">
        <v>2004</v>
      </c>
      <c r="D302" s="4">
        <v>38.941653000000002</v>
      </c>
      <c r="E302" s="4">
        <v>-74.883330999999998</v>
      </c>
      <c r="F302" s="14" t="s">
        <v>15</v>
      </c>
      <c r="G302" s="18" t="s">
        <v>16</v>
      </c>
      <c r="H302" s="6">
        <v>14000</v>
      </c>
      <c r="I302" s="12">
        <v>290000</v>
      </c>
      <c r="J302" s="19">
        <v>2364000</v>
      </c>
      <c r="K302" s="9">
        <v>0.79300000000000004</v>
      </c>
      <c r="L302" s="8">
        <f t="shared" si="12"/>
        <v>2981084.4892812106</v>
      </c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spans="1:34" x14ac:dyDescent="0.25">
      <c r="A303" s="2" t="s">
        <v>38</v>
      </c>
      <c r="B303" s="3" t="s">
        <v>13</v>
      </c>
      <c r="C303" s="11">
        <v>2005</v>
      </c>
      <c r="D303" s="4">
        <v>38.941653000000002</v>
      </c>
      <c r="E303" s="4">
        <v>-74.883330999999998</v>
      </c>
      <c r="F303" s="14" t="s">
        <v>15</v>
      </c>
      <c r="G303" s="50" t="s">
        <v>16</v>
      </c>
      <c r="H303" s="6">
        <v>12000</v>
      </c>
      <c r="I303" s="12">
        <v>800673</v>
      </c>
      <c r="J303" s="13">
        <v>0</v>
      </c>
      <c r="K303" s="9">
        <v>0.82</v>
      </c>
      <c r="L303" s="8">
        <f t="shared" si="12"/>
        <v>0</v>
      </c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spans="1:34" x14ac:dyDescent="0.25">
      <c r="A304" s="2" t="s">
        <v>38</v>
      </c>
      <c r="B304" s="3" t="s">
        <v>13</v>
      </c>
      <c r="C304" s="11">
        <v>2007</v>
      </c>
      <c r="D304" s="4">
        <v>38.941653000000002</v>
      </c>
      <c r="E304" s="4">
        <v>-74.883330999999998</v>
      </c>
      <c r="F304" s="14" t="s">
        <v>15</v>
      </c>
      <c r="G304" s="50" t="s">
        <v>16</v>
      </c>
      <c r="H304" s="6">
        <v>0</v>
      </c>
      <c r="I304" s="12">
        <v>230000</v>
      </c>
      <c r="J304" s="13">
        <v>3995500</v>
      </c>
      <c r="K304" s="20">
        <v>0.871</v>
      </c>
      <c r="L304" s="8">
        <f t="shared" si="12"/>
        <v>4587256.0275545353</v>
      </c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spans="1:34" x14ac:dyDescent="0.25">
      <c r="A305" s="2" t="s">
        <v>38</v>
      </c>
      <c r="B305" s="3" t="s">
        <v>13</v>
      </c>
      <c r="C305" s="21">
        <v>2009</v>
      </c>
      <c r="D305" s="4">
        <v>38.941653000000002</v>
      </c>
      <c r="E305" s="4">
        <v>-74.883330999999998</v>
      </c>
      <c r="F305" s="23" t="s">
        <v>15</v>
      </c>
      <c r="G305" s="18" t="s">
        <v>16</v>
      </c>
      <c r="H305" s="6">
        <v>4500</v>
      </c>
      <c r="I305" s="25">
        <v>375000</v>
      </c>
      <c r="J305" s="26">
        <v>4125000</v>
      </c>
      <c r="K305" s="20">
        <v>0.90100000000000002</v>
      </c>
      <c r="L305" s="8">
        <f t="shared" si="12"/>
        <v>4578246.3928967817</v>
      </c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spans="1:34" x14ac:dyDescent="0.25">
      <c r="A306" s="2" t="s">
        <v>38</v>
      </c>
      <c r="B306" s="3" t="s">
        <v>13</v>
      </c>
      <c r="C306" s="21">
        <v>2009</v>
      </c>
      <c r="D306" s="4">
        <v>38.941653000000002</v>
      </c>
      <c r="E306" s="4">
        <v>-74.883330999999998</v>
      </c>
      <c r="F306" s="23" t="s">
        <v>15</v>
      </c>
      <c r="G306" s="18" t="s">
        <v>16</v>
      </c>
      <c r="H306" s="6">
        <v>4400</v>
      </c>
      <c r="I306" s="25">
        <v>425000</v>
      </c>
      <c r="J306" s="26">
        <v>3375000</v>
      </c>
      <c r="K306" s="20">
        <v>0.90100000000000002</v>
      </c>
      <c r="L306" s="8">
        <f t="shared" si="12"/>
        <v>3745837.957824639</v>
      </c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spans="1:34" x14ac:dyDescent="0.25">
      <c r="A307" s="29" t="s">
        <v>38</v>
      </c>
      <c r="B307" s="3" t="s">
        <v>13</v>
      </c>
      <c r="C307" s="21">
        <v>2011</v>
      </c>
      <c r="D307" s="4">
        <v>38.941653000000002</v>
      </c>
      <c r="E307" s="4">
        <v>-74.883330999999998</v>
      </c>
      <c r="F307" s="23" t="s">
        <v>15</v>
      </c>
      <c r="G307" s="18" t="s">
        <v>16</v>
      </c>
      <c r="H307" s="6">
        <v>0</v>
      </c>
      <c r="I307" s="12">
        <v>440000</v>
      </c>
      <c r="J307" s="13">
        <v>8320000</v>
      </c>
      <c r="K307" s="20">
        <v>0.96399999999999997</v>
      </c>
      <c r="L307" s="8">
        <f t="shared" si="12"/>
        <v>8630705.3941908721</v>
      </c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spans="1:34" x14ac:dyDescent="0.25">
      <c r="A308" s="2" t="s">
        <v>38</v>
      </c>
      <c r="B308" s="3" t="s">
        <v>13</v>
      </c>
      <c r="C308" s="21">
        <v>2012</v>
      </c>
      <c r="D308" s="4">
        <v>38.941653000000002</v>
      </c>
      <c r="E308" s="4">
        <v>-74.883330999999998</v>
      </c>
      <c r="F308" s="23" t="s">
        <v>15</v>
      </c>
      <c r="G308" s="18" t="s">
        <v>16</v>
      </c>
      <c r="H308" s="6">
        <v>13471</v>
      </c>
      <c r="I308" s="25">
        <v>770000</v>
      </c>
      <c r="J308" s="13">
        <v>9000000</v>
      </c>
      <c r="K308" s="20">
        <v>0.96399999999999997</v>
      </c>
      <c r="L308" s="8">
        <f t="shared" si="12"/>
        <v>9336099.5850622412</v>
      </c>
      <c r="Q308" s="10"/>
      <c r="R308" s="10"/>
      <c r="S308" s="10"/>
      <c r="T308" s="10"/>
      <c r="U308" s="10"/>
      <c r="V308" s="10"/>
      <c r="W308" s="10"/>
      <c r="X308" s="10"/>
      <c r="Y308" s="10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spans="1:34" x14ac:dyDescent="0.25">
      <c r="A309" s="51" t="s">
        <v>38</v>
      </c>
      <c r="B309" s="3" t="s">
        <v>13</v>
      </c>
      <c r="C309" s="52">
        <v>2014</v>
      </c>
      <c r="D309" s="4">
        <v>38.941653000000002</v>
      </c>
      <c r="E309" s="4">
        <v>-74.883330999999998</v>
      </c>
      <c r="F309" s="14" t="s">
        <v>15</v>
      </c>
      <c r="G309" s="14" t="s">
        <v>17</v>
      </c>
      <c r="H309" s="6"/>
      <c r="I309" s="6">
        <v>585000</v>
      </c>
      <c r="J309" s="13">
        <v>9744500</v>
      </c>
      <c r="K309" s="9">
        <v>0.99399999999999999</v>
      </c>
      <c r="L309" s="8">
        <f t="shared" si="12"/>
        <v>9803319.9195171036</v>
      </c>
      <c r="Q309" s="10"/>
      <c r="R309" s="10"/>
      <c r="S309" s="10"/>
      <c r="T309" s="10"/>
      <c r="U309" s="10"/>
      <c r="V309" s="10"/>
      <c r="W309" s="10"/>
      <c r="X309" s="10"/>
      <c r="Y309" s="10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spans="1:34" x14ac:dyDescent="0.25">
      <c r="A310" s="2" t="s">
        <v>63</v>
      </c>
      <c r="B310" s="3" t="s">
        <v>13</v>
      </c>
      <c r="C310" s="11">
        <v>2001</v>
      </c>
      <c r="D310" s="4">
        <v>38.931947999999998</v>
      </c>
      <c r="E310" s="4">
        <v>-74.965845000000002</v>
      </c>
      <c r="F310" s="5" t="s">
        <v>15</v>
      </c>
      <c r="G310" s="18" t="s">
        <v>16</v>
      </c>
      <c r="H310" s="6">
        <v>1200</v>
      </c>
      <c r="I310" s="25">
        <v>30000</v>
      </c>
      <c r="J310" s="13">
        <v>0</v>
      </c>
      <c r="K310" s="9">
        <v>0.746</v>
      </c>
      <c r="L310" s="8">
        <f t="shared" si="12"/>
        <v>0</v>
      </c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spans="1:34" x14ac:dyDescent="0.25">
      <c r="A311" s="2" t="s">
        <v>63</v>
      </c>
      <c r="B311" s="3" t="s">
        <v>13</v>
      </c>
      <c r="C311" s="11">
        <v>2004</v>
      </c>
      <c r="D311" s="4">
        <v>38.931947999999998</v>
      </c>
      <c r="E311" s="4">
        <v>-74.965845000000002</v>
      </c>
      <c r="F311" s="5" t="s">
        <v>15</v>
      </c>
      <c r="G311" s="18" t="s">
        <v>16</v>
      </c>
      <c r="H311" s="6">
        <v>675</v>
      </c>
      <c r="I311" s="12">
        <v>9623</v>
      </c>
      <c r="J311" s="13">
        <v>0</v>
      </c>
      <c r="K311" s="9">
        <v>0.79300000000000004</v>
      </c>
      <c r="L311" s="8">
        <f t="shared" si="12"/>
        <v>0</v>
      </c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spans="1:34" x14ac:dyDescent="0.25">
      <c r="A312" s="2" t="s">
        <v>63</v>
      </c>
      <c r="B312" s="3" t="s">
        <v>13</v>
      </c>
      <c r="C312" s="21">
        <v>2005</v>
      </c>
      <c r="D312" s="4">
        <v>38.931038000000001</v>
      </c>
      <c r="E312" s="4">
        <v>-74.958100000000002</v>
      </c>
      <c r="F312" s="23" t="s">
        <v>15</v>
      </c>
      <c r="G312" s="18" t="s">
        <v>16</v>
      </c>
      <c r="H312" s="24">
        <v>0</v>
      </c>
      <c r="I312" s="25">
        <v>1406000</v>
      </c>
      <c r="J312" s="13">
        <v>0</v>
      </c>
      <c r="K312" s="9">
        <v>0.82</v>
      </c>
      <c r="L312" s="8">
        <f t="shared" si="12"/>
        <v>0</v>
      </c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spans="1:34" x14ac:dyDescent="0.25">
      <c r="A313" s="2" t="s">
        <v>63</v>
      </c>
      <c r="B313" s="3" t="s">
        <v>13</v>
      </c>
      <c r="C313" s="21">
        <v>2009</v>
      </c>
      <c r="D313" s="4">
        <v>38.931038000000001</v>
      </c>
      <c r="E313" s="4">
        <v>-74.958100000000002</v>
      </c>
      <c r="F313" s="23" t="s">
        <v>15</v>
      </c>
      <c r="G313" s="18" t="s">
        <v>16</v>
      </c>
      <c r="H313" s="24">
        <v>7000</v>
      </c>
      <c r="I313" s="25">
        <v>375000</v>
      </c>
      <c r="J313" s="26">
        <v>0</v>
      </c>
      <c r="K313" s="20">
        <v>0.90100000000000002</v>
      </c>
      <c r="L313" s="8">
        <f t="shared" si="12"/>
        <v>0</v>
      </c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spans="1:34" x14ac:dyDescent="0.25">
      <c r="A314" s="29" t="s">
        <v>63</v>
      </c>
      <c r="B314" s="3" t="s">
        <v>13</v>
      </c>
      <c r="C314" s="21">
        <v>2011</v>
      </c>
      <c r="D314" s="4">
        <v>38.931038000000001</v>
      </c>
      <c r="E314" s="4">
        <v>-74.958100000000002</v>
      </c>
      <c r="F314" s="23" t="s">
        <v>15</v>
      </c>
      <c r="G314" s="18" t="s">
        <v>16</v>
      </c>
      <c r="H314" s="24">
        <v>7000</v>
      </c>
      <c r="I314" s="25">
        <v>300000</v>
      </c>
      <c r="J314" s="26">
        <v>9400000</v>
      </c>
      <c r="K314" s="20">
        <v>0.96399999999999997</v>
      </c>
      <c r="L314" s="8">
        <f t="shared" si="12"/>
        <v>9751037.3443983402</v>
      </c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spans="1:34" x14ac:dyDescent="0.25">
      <c r="A315" s="29" t="s">
        <v>63</v>
      </c>
      <c r="B315" s="34" t="s">
        <v>13</v>
      </c>
      <c r="C315" s="21">
        <v>2013</v>
      </c>
      <c r="D315" s="4">
        <v>38.931038000000001</v>
      </c>
      <c r="E315" s="4">
        <v>-74.958100000000002</v>
      </c>
      <c r="F315" s="23" t="s">
        <v>15</v>
      </c>
      <c r="G315" s="18" t="s">
        <v>16</v>
      </c>
      <c r="H315" s="24">
        <v>7000</v>
      </c>
      <c r="I315" s="25">
        <v>300000</v>
      </c>
      <c r="J315" s="36">
        <v>7497000</v>
      </c>
      <c r="K315" s="20">
        <v>0.97799999999999998</v>
      </c>
      <c r="L315" s="8">
        <f t="shared" si="12"/>
        <v>7665644.1717791408</v>
      </c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spans="1:34" x14ac:dyDescent="0.25">
      <c r="A316" s="2" t="s">
        <v>36</v>
      </c>
      <c r="B316" s="3" t="s">
        <v>13</v>
      </c>
      <c r="C316" s="3">
        <v>1967</v>
      </c>
      <c r="D316" s="4">
        <v>38.929501999999999</v>
      </c>
      <c r="E316" s="4">
        <v>-74.924211999999997</v>
      </c>
      <c r="F316" s="14" t="s">
        <v>1</v>
      </c>
      <c r="G316" s="5" t="s">
        <v>14</v>
      </c>
      <c r="H316" s="6">
        <v>0</v>
      </c>
      <c r="I316" s="7">
        <v>300000</v>
      </c>
      <c r="J316" s="19">
        <v>161659</v>
      </c>
      <c r="K316" s="9">
        <v>0.14000000000000001</v>
      </c>
      <c r="L316" s="8">
        <f t="shared" si="12"/>
        <v>1154707.1428571427</v>
      </c>
      <c r="Q316" s="10"/>
      <c r="R316" s="10"/>
      <c r="S316" s="10"/>
      <c r="T316" s="10"/>
      <c r="U316" s="10"/>
      <c r="V316" s="10"/>
      <c r="W316" s="10"/>
      <c r="X316" s="10"/>
      <c r="Y316" s="10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spans="1:34" x14ac:dyDescent="0.25">
      <c r="A317" s="2" t="s">
        <v>36</v>
      </c>
      <c r="B317" s="3" t="s">
        <v>13</v>
      </c>
      <c r="C317" s="3">
        <v>1967</v>
      </c>
      <c r="D317" s="4">
        <v>38.929501999999999</v>
      </c>
      <c r="E317" s="4">
        <v>-74.924211999999997</v>
      </c>
      <c r="F317" s="5" t="s">
        <v>14</v>
      </c>
      <c r="G317" s="5" t="s">
        <v>14</v>
      </c>
      <c r="H317" s="6">
        <v>0</v>
      </c>
      <c r="I317" s="7">
        <v>15000</v>
      </c>
      <c r="J317" s="13">
        <v>0</v>
      </c>
      <c r="K317" s="9">
        <v>0.14000000000000001</v>
      </c>
      <c r="L317" s="8">
        <f t="shared" si="12"/>
        <v>0</v>
      </c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spans="1:34" x14ac:dyDescent="0.25">
      <c r="A318" s="2" t="s">
        <v>36</v>
      </c>
      <c r="B318" s="3" t="s">
        <v>13</v>
      </c>
      <c r="C318" s="3">
        <v>1967</v>
      </c>
      <c r="D318" s="4">
        <v>38.929501999999999</v>
      </c>
      <c r="E318" s="4">
        <v>-74.924211999999997</v>
      </c>
      <c r="F318" s="5" t="s">
        <v>14</v>
      </c>
      <c r="G318" s="5" t="s">
        <v>14</v>
      </c>
      <c r="H318" s="6">
        <v>0</v>
      </c>
      <c r="I318" s="7">
        <v>2500</v>
      </c>
      <c r="J318" s="13">
        <v>0</v>
      </c>
      <c r="K318" s="9">
        <v>0.14000000000000001</v>
      </c>
      <c r="L318" s="8">
        <f t="shared" si="12"/>
        <v>0</v>
      </c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spans="1:34" x14ac:dyDescent="0.25">
      <c r="A319" s="2" t="s">
        <v>36</v>
      </c>
      <c r="B319" s="3" t="s">
        <v>13</v>
      </c>
      <c r="C319" s="3">
        <v>1969</v>
      </c>
      <c r="D319" s="4">
        <v>38.929501999999999</v>
      </c>
      <c r="E319" s="4">
        <v>-74.924211999999997</v>
      </c>
      <c r="F319" s="14" t="s">
        <v>1</v>
      </c>
      <c r="G319" s="5" t="s">
        <v>14</v>
      </c>
      <c r="H319" s="6">
        <v>0</v>
      </c>
      <c r="I319" s="7">
        <v>253851</v>
      </c>
      <c r="J319" s="8">
        <v>256495</v>
      </c>
      <c r="K319" s="9">
        <v>0.154</v>
      </c>
      <c r="L319" s="8">
        <f t="shared" si="12"/>
        <v>1665551.9480519481</v>
      </c>
      <c r="Q319" s="10"/>
      <c r="R319" s="10"/>
      <c r="S319" s="10"/>
      <c r="T319" s="10"/>
      <c r="U319" s="10"/>
      <c r="V319" s="10"/>
      <c r="W319" s="10"/>
      <c r="X319" s="10"/>
      <c r="Y319" s="10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spans="1:34" x14ac:dyDescent="0.25">
      <c r="A320" s="2" t="s">
        <v>36</v>
      </c>
      <c r="B320" s="3" t="s">
        <v>13</v>
      </c>
      <c r="C320" s="3">
        <v>1981</v>
      </c>
      <c r="D320" s="4">
        <v>38.929501999999999</v>
      </c>
      <c r="E320" s="4">
        <v>-74.924211999999997</v>
      </c>
      <c r="F320" s="5" t="s">
        <v>14</v>
      </c>
      <c r="G320" s="5" t="s">
        <v>14</v>
      </c>
      <c r="H320" s="6">
        <v>0</v>
      </c>
      <c r="I320" s="7">
        <v>36000</v>
      </c>
      <c r="J320" s="8">
        <v>93000</v>
      </c>
      <c r="K320" s="9">
        <v>0.38200000000000001</v>
      </c>
      <c r="L320" s="8">
        <f t="shared" si="12"/>
        <v>243455.49738219896</v>
      </c>
      <c r="Q320" s="10"/>
      <c r="R320" s="10"/>
      <c r="S320" s="10"/>
      <c r="T320" s="10"/>
      <c r="U320" s="10"/>
      <c r="V320" s="10"/>
      <c r="W320" s="10"/>
      <c r="X320" s="10"/>
      <c r="Y320" s="10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spans="1:34" x14ac:dyDescent="0.25">
      <c r="A321" s="2" t="s">
        <v>36</v>
      </c>
      <c r="B321" s="3" t="s">
        <v>13</v>
      </c>
      <c r="C321" s="11">
        <v>1986</v>
      </c>
      <c r="D321" s="4">
        <v>38.929501999999999</v>
      </c>
      <c r="E321" s="4">
        <v>-74.924211999999997</v>
      </c>
      <c r="F321" s="5" t="s">
        <v>15</v>
      </c>
      <c r="G321" s="18" t="s">
        <v>17</v>
      </c>
      <c r="H321" s="6">
        <v>0</v>
      </c>
      <c r="I321" s="12">
        <v>15000</v>
      </c>
      <c r="J321" s="19">
        <v>272000</v>
      </c>
      <c r="K321" s="9">
        <v>0.46100000000000002</v>
      </c>
      <c r="L321" s="8">
        <f t="shared" si="12"/>
        <v>590021.69197396957</v>
      </c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spans="1:34" x14ac:dyDescent="0.25">
      <c r="A322" s="2" t="s">
        <v>36</v>
      </c>
      <c r="B322" s="3" t="s">
        <v>13</v>
      </c>
      <c r="C322" s="3">
        <v>1989</v>
      </c>
      <c r="D322" s="4">
        <v>38.929501999999999</v>
      </c>
      <c r="E322" s="4">
        <v>-74.924211999999997</v>
      </c>
      <c r="F322" s="14" t="s">
        <v>15</v>
      </c>
      <c r="G322" s="18" t="s">
        <v>16</v>
      </c>
      <c r="H322" s="7">
        <v>3600</v>
      </c>
      <c r="I322" s="7">
        <v>465000</v>
      </c>
      <c r="J322" s="8">
        <v>3158000</v>
      </c>
      <c r="K322" s="9">
        <v>0.52100000000000002</v>
      </c>
      <c r="L322" s="8">
        <f t="shared" si="12"/>
        <v>6061420.3454894433</v>
      </c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spans="1:34" x14ac:dyDescent="0.25">
      <c r="A323" s="2" t="s">
        <v>36</v>
      </c>
      <c r="B323" s="3" t="s">
        <v>13</v>
      </c>
      <c r="C323" s="3">
        <v>1992</v>
      </c>
      <c r="D323" s="4">
        <v>38.929501999999999</v>
      </c>
      <c r="E323" s="4">
        <v>-74.924211999999997</v>
      </c>
      <c r="F323" s="5" t="s">
        <v>14</v>
      </c>
      <c r="G323" s="5" t="s">
        <v>14</v>
      </c>
      <c r="H323" s="6">
        <v>0</v>
      </c>
      <c r="I323" s="7">
        <v>200000</v>
      </c>
      <c r="J323" s="8">
        <v>261905</v>
      </c>
      <c r="K323" s="9">
        <v>0.58799999999999997</v>
      </c>
      <c r="L323" s="8">
        <f t="shared" si="12"/>
        <v>445416.66666666669</v>
      </c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spans="1:34" x14ac:dyDescent="0.25">
      <c r="A324" s="2" t="s">
        <v>36</v>
      </c>
      <c r="B324" s="3" t="s">
        <v>13</v>
      </c>
      <c r="C324" s="3">
        <v>1992</v>
      </c>
      <c r="D324" s="4">
        <v>38.929501999999999</v>
      </c>
      <c r="E324" s="4">
        <v>-74.924211999999997</v>
      </c>
      <c r="F324" s="14" t="s">
        <v>1</v>
      </c>
      <c r="G324" s="5" t="s">
        <v>14</v>
      </c>
      <c r="H324" s="6">
        <v>0</v>
      </c>
      <c r="I324" s="7">
        <v>42000</v>
      </c>
      <c r="J324" s="8">
        <v>187500</v>
      </c>
      <c r="K324" s="9">
        <v>0.58799999999999997</v>
      </c>
      <c r="L324" s="8">
        <f>+J324/K325</f>
        <v>309405.94059405942</v>
      </c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spans="1:34" x14ac:dyDescent="0.25">
      <c r="A325" s="2" t="s">
        <v>36</v>
      </c>
      <c r="B325" s="3" t="s">
        <v>13</v>
      </c>
      <c r="C325" s="3">
        <v>1993</v>
      </c>
      <c r="D325" s="4">
        <v>38.929501999999999</v>
      </c>
      <c r="E325" s="4">
        <v>-74.924211999999997</v>
      </c>
      <c r="F325" s="14" t="s">
        <v>15</v>
      </c>
      <c r="G325" s="23" t="s">
        <v>17</v>
      </c>
      <c r="H325" s="6">
        <v>0</v>
      </c>
      <c r="I325" s="7">
        <v>300000</v>
      </c>
      <c r="J325" s="8">
        <v>2135000</v>
      </c>
      <c r="K325" s="9">
        <v>0.60599999999999998</v>
      </c>
      <c r="L325" s="8">
        <f>+J325/K325</f>
        <v>3523102.310231023</v>
      </c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spans="1:34" x14ac:dyDescent="0.25">
      <c r="A326" s="2" t="s">
        <v>36</v>
      </c>
      <c r="B326" s="3" t="s">
        <v>13</v>
      </c>
      <c r="C326" s="11">
        <v>1999</v>
      </c>
      <c r="D326" s="4">
        <v>38.929501999999999</v>
      </c>
      <c r="E326" s="4">
        <v>-74.924211999999997</v>
      </c>
      <c r="F326" s="5" t="s">
        <v>15</v>
      </c>
      <c r="G326" s="5" t="s">
        <v>37</v>
      </c>
      <c r="H326" s="12">
        <v>10032</v>
      </c>
      <c r="I326" s="12">
        <v>2372000</v>
      </c>
      <c r="J326" s="19">
        <v>73571000</v>
      </c>
      <c r="K326" s="9">
        <v>0.69899999999999995</v>
      </c>
      <c r="L326" s="8">
        <f>+J326/K326</f>
        <v>105251788.26895566</v>
      </c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spans="1:34" x14ac:dyDescent="0.25">
      <c r="M327" t="s">
        <v>179</v>
      </c>
      <c r="N327" t="s">
        <v>180</v>
      </c>
    </row>
    <row r="328" spans="1:34" x14ac:dyDescent="0.25">
      <c r="B328" s="3" t="s">
        <v>160</v>
      </c>
      <c r="C328">
        <f>MIN(C2:C326)</f>
        <v>1936</v>
      </c>
      <c r="H328" t="s">
        <v>178</v>
      </c>
      <c r="I328" s="174">
        <f>SUM(I2:I326)</f>
        <v>174100544</v>
      </c>
      <c r="K328" t="s">
        <v>178</v>
      </c>
      <c r="L328" s="173">
        <f>SUM(L2:L326)</f>
        <v>1522629270.5452867</v>
      </c>
      <c r="M328">
        <f>L328/I328</f>
        <v>8.7456893330860961</v>
      </c>
      <c r="N328">
        <f>L328/I329</f>
        <v>11.438927654761393</v>
      </c>
    </row>
    <row r="329" spans="1:34" x14ac:dyDescent="0.25">
      <c r="B329" s="3" t="s">
        <v>161</v>
      </c>
      <c r="C329">
        <f>MAX(C2:C326)</f>
        <v>2015</v>
      </c>
      <c r="I329">
        <f>I328*0.764555</f>
        <v>133109441.41791999</v>
      </c>
    </row>
    <row r="330" spans="1:34" x14ac:dyDescent="0.25">
      <c r="B330" s="3" t="s">
        <v>162</v>
      </c>
      <c r="C330">
        <f>C329-C328</f>
        <v>79</v>
      </c>
    </row>
  </sheetData>
  <sortState ref="A1:AH326">
    <sortCondition descending="1" ref="D1:D326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02"/>
  <sheetViews>
    <sheetView workbookViewId="0">
      <selection activeCell="V2" sqref="V2:V22"/>
    </sheetView>
  </sheetViews>
  <sheetFormatPr defaultRowHeight="12.5" x14ac:dyDescent="0.25"/>
  <cols>
    <col min="1" max="1" width="35.1796875" customWidth="1"/>
    <col min="20" max="20" width="19" customWidth="1"/>
  </cols>
  <sheetData>
    <row r="1" spans="1:42" s="133" customFormat="1" ht="52" x14ac:dyDescent="0.3">
      <c r="A1" s="1" t="s">
        <v>0</v>
      </c>
      <c r="B1" s="1" t="s">
        <v>1</v>
      </c>
      <c r="C1" s="1" t="s">
        <v>2</v>
      </c>
      <c r="D1" s="1" t="s">
        <v>135</v>
      </c>
      <c r="E1" s="1" t="s">
        <v>133</v>
      </c>
      <c r="F1" s="1" t="s">
        <v>134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98</v>
      </c>
      <c r="M1" s="1" t="s">
        <v>8</v>
      </c>
      <c r="N1" s="1" t="s">
        <v>99</v>
      </c>
      <c r="O1" s="1" t="s">
        <v>231</v>
      </c>
      <c r="P1" s="1" t="s">
        <v>126</v>
      </c>
      <c r="Q1" s="1" t="s">
        <v>230</v>
      </c>
      <c r="R1" s="1" t="s">
        <v>9</v>
      </c>
      <c r="S1" s="1" t="s">
        <v>10</v>
      </c>
      <c r="T1" s="1" t="s">
        <v>11</v>
      </c>
      <c r="U1" s="125" t="s">
        <v>127</v>
      </c>
    </row>
    <row r="2" spans="1:42" s="133" customFormat="1" x14ac:dyDescent="0.25">
      <c r="A2" s="74" t="s">
        <v>84</v>
      </c>
      <c r="B2" s="75" t="s">
        <v>13</v>
      </c>
      <c r="C2" s="75">
        <v>1996</v>
      </c>
      <c r="D2" s="75"/>
      <c r="E2" s="75"/>
      <c r="F2" s="75"/>
      <c r="G2" s="77">
        <v>40.390847999999998</v>
      </c>
      <c r="H2" s="77">
        <v>-73.975289000000004</v>
      </c>
      <c r="I2" s="84" t="s">
        <v>15</v>
      </c>
      <c r="J2" s="84" t="s">
        <v>16</v>
      </c>
      <c r="K2" s="89">
        <v>12672</v>
      </c>
      <c r="L2" s="12">
        <f>K2*0.3048</f>
        <v>3862.4256</v>
      </c>
      <c r="M2" s="89">
        <v>3800000</v>
      </c>
      <c r="N2" s="12">
        <f t="shared" ref="N2:N16" si="0">M2*0.764555</f>
        <v>2905309</v>
      </c>
      <c r="O2" s="12"/>
      <c r="P2" s="12">
        <f t="shared" ref="P2:P3" si="1">N2/L2</f>
        <v>752.1980488116069</v>
      </c>
      <c r="Q2" s="192">
        <f t="shared" ref="Q2:Q3" si="2">P2/10</f>
        <v>75.219804881160684</v>
      </c>
      <c r="R2" s="82">
        <v>24307692</v>
      </c>
      <c r="S2" s="81">
        <v>0.65800000000000003</v>
      </c>
      <c r="T2" s="82">
        <f>+R2/S2</f>
        <v>36941781.155015193</v>
      </c>
      <c r="U2" s="133">
        <f>T2/N2</f>
        <v>12.715267517160891</v>
      </c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</row>
    <row r="3" spans="1:42" s="133" customFormat="1" x14ac:dyDescent="0.25">
      <c r="A3" s="2" t="s">
        <v>87</v>
      </c>
      <c r="B3" s="3" t="s">
        <v>13</v>
      </c>
      <c r="C3" s="3">
        <v>1963</v>
      </c>
      <c r="D3" s="3"/>
      <c r="E3" s="3"/>
      <c r="F3" s="3"/>
      <c r="G3" s="4">
        <v>40.349684000000003</v>
      </c>
      <c r="H3" s="4">
        <v>-73.973408000000006</v>
      </c>
      <c r="I3" s="14" t="s">
        <v>15</v>
      </c>
      <c r="J3" s="18" t="s">
        <v>17</v>
      </c>
      <c r="K3" s="7">
        <v>26928</v>
      </c>
      <c r="L3" s="12">
        <f>K3*0.3048</f>
        <v>8207.6544000000013</v>
      </c>
      <c r="M3" s="7">
        <v>1433000</v>
      </c>
      <c r="N3" s="12">
        <f t="shared" si="0"/>
        <v>1095607.3149999999</v>
      </c>
      <c r="O3" s="12"/>
      <c r="P3" s="12">
        <f t="shared" si="1"/>
        <v>133.48604383244984</v>
      </c>
      <c r="Q3" s="192">
        <f t="shared" si="2"/>
        <v>13.348604383244984</v>
      </c>
      <c r="R3" s="8">
        <v>1418400</v>
      </c>
      <c r="S3" s="9">
        <v>0.129</v>
      </c>
      <c r="T3" s="8">
        <f>+R3/S3</f>
        <v>10995348.837209303</v>
      </c>
      <c r="U3" s="133">
        <f>T3/N3</f>
        <v>10.035848325099311</v>
      </c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s="133" customFormat="1" x14ac:dyDescent="0.25">
      <c r="A4" s="2" t="s">
        <v>86</v>
      </c>
      <c r="B4" s="3" t="s">
        <v>13</v>
      </c>
      <c r="C4" s="3">
        <v>1966</v>
      </c>
      <c r="D4" s="3"/>
      <c r="E4" s="3"/>
      <c r="F4" s="3"/>
      <c r="G4" s="4">
        <v>40.349684000000003</v>
      </c>
      <c r="H4" s="4">
        <v>-73.973408000000006</v>
      </c>
      <c r="I4" s="5" t="s">
        <v>14</v>
      </c>
      <c r="J4" s="5" t="s">
        <v>14</v>
      </c>
      <c r="K4" s="6"/>
      <c r="L4" s="12"/>
      <c r="M4" s="7">
        <v>425000</v>
      </c>
      <c r="N4" s="12">
        <f t="shared" si="0"/>
        <v>324935.875</v>
      </c>
      <c r="O4" s="12"/>
      <c r="P4" s="12"/>
      <c r="Q4" s="12"/>
      <c r="R4" s="13"/>
      <c r="S4" s="9">
        <v>0.13600000000000001</v>
      </c>
      <c r="T4" s="8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spans="1:42" s="133" customFormat="1" x14ac:dyDescent="0.25">
      <c r="A5" s="2" t="s">
        <v>86</v>
      </c>
      <c r="B5" s="3" t="s">
        <v>13</v>
      </c>
      <c r="C5" s="11">
        <v>1983</v>
      </c>
      <c r="D5" s="11"/>
      <c r="E5" s="11"/>
      <c r="F5" s="11"/>
      <c r="G5" s="4">
        <v>40.349684000000003</v>
      </c>
      <c r="H5" s="4">
        <v>-73.973408000000006</v>
      </c>
      <c r="I5" s="5" t="s">
        <v>14</v>
      </c>
      <c r="J5" s="5" t="s">
        <v>14</v>
      </c>
      <c r="K5" s="6"/>
      <c r="L5" s="12"/>
      <c r="M5" s="12">
        <v>1433000</v>
      </c>
      <c r="N5" s="12">
        <f t="shared" si="0"/>
        <v>1095607.3149999999</v>
      </c>
      <c r="O5" s="12"/>
      <c r="P5" s="12"/>
      <c r="Q5" s="12"/>
      <c r="R5" s="13"/>
      <c r="S5" s="9">
        <v>0.41799999999999998</v>
      </c>
      <c r="T5" s="8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spans="1:42" s="133" customFormat="1" x14ac:dyDescent="0.25">
      <c r="A6" s="2" t="s">
        <v>86</v>
      </c>
      <c r="B6" s="3" t="s">
        <v>13</v>
      </c>
      <c r="C6" s="139">
        <v>2015</v>
      </c>
      <c r="G6" s="4"/>
      <c r="H6" s="4"/>
      <c r="I6" s="5"/>
      <c r="J6" s="5"/>
      <c r="K6" s="140">
        <v>80783</v>
      </c>
      <c r="L6" s="12">
        <f>K6*0.3048</f>
        <v>24622.6584</v>
      </c>
      <c r="M6" s="140">
        <v>1370000</v>
      </c>
      <c r="N6" s="12">
        <f t="shared" si="0"/>
        <v>1047440.35</v>
      </c>
      <c r="O6" s="12"/>
      <c r="P6" s="195">
        <f>AVERAGE(N6:N7)/AVERAGE(L6:L7)</f>
        <v>67.846154052967734</v>
      </c>
      <c r="Q6" s="196">
        <f>P6/10</f>
        <v>6.7846154052967735</v>
      </c>
      <c r="R6" s="141">
        <v>38283230</v>
      </c>
      <c r="S6" s="133">
        <v>0.995</v>
      </c>
      <c r="T6" s="8">
        <f t="shared" ref="T6:T13" si="3">+R6/S6</f>
        <v>38475608.040201008</v>
      </c>
      <c r="U6" s="133">
        <f t="shared" ref="U6:U13" si="4">T6/N6</f>
        <v>36.732982494135356</v>
      </c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 s="133" customFormat="1" x14ac:dyDescent="0.25">
      <c r="A7" s="2" t="s">
        <v>86</v>
      </c>
      <c r="B7" s="3" t="s">
        <v>13</v>
      </c>
      <c r="C7" s="139">
        <v>2015</v>
      </c>
      <c r="G7" s="4"/>
      <c r="H7" s="4"/>
      <c r="I7" s="5"/>
      <c r="J7" s="5"/>
      <c r="K7" s="140">
        <v>80783</v>
      </c>
      <c r="L7" s="12">
        <f>K7*0.3048</f>
        <v>24622.6584</v>
      </c>
      <c r="M7" s="140">
        <v>3000000</v>
      </c>
      <c r="N7" s="12">
        <f t="shared" si="0"/>
        <v>2293665</v>
      </c>
      <c r="O7" s="12"/>
      <c r="P7" s="195"/>
      <c r="Q7" s="196"/>
      <c r="R7" s="141">
        <v>87047210</v>
      </c>
      <c r="S7" s="133">
        <v>0.995</v>
      </c>
      <c r="T7" s="8">
        <f t="shared" si="3"/>
        <v>87484633.165829152</v>
      </c>
      <c r="U7" s="133">
        <f t="shared" si="4"/>
        <v>38.141852958400271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 spans="1:42" s="133" customFormat="1" x14ac:dyDescent="0.25">
      <c r="A8" s="2" t="s">
        <v>86</v>
      </c>
      <c r="B8" s="3" t="s">
        <v>13</v>
      </c>
      <c r="C8" s="139">
        <v>2013</v>
      </c>
      <c r="G8" s="4"/>
      <c r="H8" s="4"/>
      <c r="I8" s="5"/>
      <c r="J8" s="5"/>
      <c r="K8" s="140">
        <v>4224</v>
      </c>
      <c r="L8" s="12">
        <f>K8*0.3048</f>
        <v>1287.4752000000001</v>
      </c>
      <c r="M8" s="140">
        <v>3300000</v>
      </c>
      <c r="N8" s="12">
        <f t="shared" si="0"/>
        <v>2523031.5</v>
      </c>
      <c r="O8" s="12"/>
      <c r="P8" s="12">
        <f>N8/L8</f>
        <v>1959.6738640091862</v>
      </c>
      <c r="Q8" s="192">
        <f>P8/10</f>
        <v>195.96738640091863</v>
      </c>
      <c r="R8" s="141">
        <v>40067500</v>
      </c>
      <c r="S8" s="81">
        <v>0.97799999999999998</v>
      </c>
      <c r="T8" s="8">
        <f t="shared" si="3"/>
        <v>40968813.905930474</v>
      </c>
      <c r="U8" s="133">
        <f t="shared" si="4"/>
        <v>16.237931990120011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spans="1:42" s="133" customFormat="1" x14ac:dyDescent="0.25">
      <c r="A9" s="2" t="s">
        <v>86</v>
      </c>
      <c r="B9" s="3" t="s">
        <v>13</v>
      </c>
      <c r="C9" s="139">
        <v>2011</v>
      </c>
      <c r="G9" s="4"/>
      <c r="H9" s="4"/>
      <c r="I9" s="5"/>
      <c r="J9" s="5"/>
      <c r="K9" s="139"/>
      <c r="L9" s="12"/>
      <c r="M9" s="140">
        <v>813323</v>
      </c>
      <c r="N9" s="12">
        <f t="shared" si="0"/>
        <v>621830.16626500001</v>
      </c>
      <c r="O9" s="12"/>
      <c r="P9" s="12">
        <f>N9/5630</f>
        <v>110.44940786234459</v>
      </c>
      <c r="Q9" s="192">
        <f>P9/10</f>
        <v>11.044940786234459</v>
      </c>
      <c r="R9" s="141">
        <v>16638307</v>
      </c>
      <c r="S9" s="20">
        <v>0.96399999999999997</v>
      </c>
      <c r="T9" s="8">
        <f t="shared" si="3"/>
        <v>17259654.564315353</v>
      </c>
      <c r="U9" s="133">
        <f t="shared" si="4"/>
        <v>27.756219464206492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 spans="1:42" s="133" customFormat="1" x14ac:dyDescent="0.25">
      <c r="A10" s="2" t="s">
        <v>86</v>
      </c>
      <c r="B10" s="3" t="s">
        <v>13</v>
      </c>
      <c r="C10" s="139">
        <v>2009</v>
      </c>
      <c r="G10" s="4"/>
      <c r="H10" s="4"/>
      <c r="I10" s="5"/>
      <c r="J10" s="5"/>
      <c r="K10" s="140">
        <v>17423</v>
      </c>
      <c r="L10" s="12">
        <f>K10*0.3048</f>
        <v>5310.5304000000006</v>
      </c>
      <c r="M10" s="140">
        <v>959999</v>
      </c>
      <c r="N10" s="12">
        <f t="shared" si="0"/>
        <v>733972.03544499993</v>
      </c>
      <c r="O10" s="12"/>
      <c r="P10" s="12">
        <f>N10/L10</f>
        <v>138.21068333306215</v>
      </c>
      <c r="Q10" s="192">
        <f>P10/10</f>
        <v>13.821068333306215</v>
      </c>
      <c r="R10" s="141">
        <v>10989550</v>
      </c>
      <c r="S10" s="20">
        <v>0.90100000000000002</v>
      </c>
      <c r="T10" s="8">
        <f t="shared" si="3"/>
        <v>12197058.823529411</v>
      </c>
      <c r="U10" s="133">
        <f t="shared" si="4"/>
        <v>16.617879475659389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 spans="1:42" s="133" customFormat="1" x14ac:dyDescent="0.25">
      <c r="A11" s="2" t="s">
        <v>86</v>
      </c>
      <c r="B11" s="3" t="s">
        <v>13</v>
      </c>
      <c r="C11" s="139">
        <v>2002</v>
      </c>
      <c r="G11" s="4"/>
      <c r="H11" s="4"/>
      <c r="I11" s="5"/>
      <c r="J11" s="5"/>
      <c r="K11" s="140">
        <v>63360</v>
      </c>
      <c r="L11" s="12">
        <f>K11*0.3048</f>
        <v>19312.128000000001</v>
      </c>
      <c r="M11" s="140">
        <v>2492908</v>
      </c>
      <c r="N11" s="12">
        <f t="shared" si="0"/>
        <v>1905965.2759399998</v>
      </c>
      <c r="O11" s="12"/>
      <c r="P11" s="12">
        <f t="shared" ref="P11:P13" si="5">N11/L11</f>
        <v>98.692659656149743</v>
      </c>
      <c r="Q11" s="192">
        <f t="shared" ref="Q11:Q13" si="6">P11/10</f>
        <v>9.869265965614975</v>
      </c>
      <c r="R11" s="141">
        <v>13910479</v>
      </c>
      <c r="S11" s="81">
        <v>0.75800000000000001</v>
      </c>
      <c r="T11" s="8">
        <f t="shared" si="3"/>
        <v>18351555.408970974</v>
      </c>
      <c r="U11" s="133">
        <f t="shared" si="4"/>
        <v>9.6284836038894781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 spans="1:42" s="133" customFormat="1" x14ac:dyDescent="0.25">
      <c r="A12" s="2" t="s">
        <v>86</v>
      </c>
      <c r="B12" s="3" t="s">
        <v>13</v>
      </c>
      <c r="C12" s="139">
        <v>1999</v>
      </c>
      <c r="G12" s="4"/>
      <c r="H12" s="4"/>
      <c r="I12" s="5"/>
      <c r="J12" s="5"/>
      <c r="K12" s="140">
        <v>17423</v>
      </c>
      <c r="L12" s="12">
        <f>K12*0.3048</f>
        <v>5310.5304000000006</v>
      </c>
      <c r="M12" s="140">
        <v>3800000</v>
      </c>
      <c r="N12" s="12">
        <f t="shared" si="0"/>
        <v>2905309</v>
      </c>
      <c r="O12" s="12"/>
      <c r="P12" s="12">
        <f t="shared" si="5"/>
        <v>547.08452473975103</v>
      </c>
      <c r="Q12" s="192">
        <f t="shared" si="6"/>
        <v>54.7084524739751</v>
      </c>
      <c r="R12" s="141">
        <v>28814290</v>
      </c>
      <c r="S12" s="81">
        <v>0.69899999999999995</v>
      </c>
      <c r="T12" s="8">
        <f t="shared" si="3"/>
        <v>41222160.228898428</v>
      </c>
      <c r="U12" s="133">
        <f t="shared" si="4"/>
        <v>14.188563154176864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 spans="1:42" s="133" customFormat="1" x14ac:dyDescent="0.25">
      <c r="A13" s="2" t="s">
        <v>86</v>
      </c>
      <c r="B13" s="3" t="s">
        <v>13</v>
      </c>
      <c r="C13" s="139">
        <v>1995</v>
      </c>
      <c r="G13" s="4"/>
      <c r="H13" s="4"/>
      <c r="I13" s="5"/>
      <c r="J13" s="5"/>
      <c r="K13" s="140">
        <v>63360</v>
      </c>
      <c r="L13" s="12">
        <f>K13*0.3048</f>
        <v>19312.128000000001</v>
      </c>
      <c r="M13" s="140">
        <v>4898834</v>
      </c>
      <c r="N13" s="12">
        <f t="shared" si="0"/>
        <v>3745428.02887</v>
      </c>
      <c r="O13" s="12"/>
      <c r="P13" s="12">
        <f t="shared" si="5"/>
        <v>193.94175664483996</v>
      </c>
      <c r="Q13" s="192">
        <f t="shared" si="6"/>
        <v>19.394175664483996</v>
      </c>
      <c r="R13" s="141">
        <v>14795291</v>
      </c>
      <c r="S13" s="20">
        <v>0.64100000000000001</v>
      </c>
      <c r="T13" s="8">
        <f t="shared" si="3"/>
        <v>23081577.223088924</v>
      </c>
      <c r="U13" s="133">
        <f t="shared" si="4"/>
        <v>6.1626006547648604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 spans="1:42" s="133" customFormat="1" x14ac:dyDescent="0.25">
      <c r="A14" s="2" t="s">
        <v>86</v>
      </c>
      <c r="B14" s="3" t="s">
        <v>13</v>
      </c>
      <c r="C14" s="139">
        <v>1962</v>
      </c>
      <c r="D14" s="139"/>
      <c r="G14" s="4"/>
      <c r="H14" s="4"/>
      <c r="I14" s="5"/>
      <c r="J14" s="5"/>
      <c r="K14" s="6"/>
      <c r="L14" s="12"/>
      <c r="M14" s="140">
        <v>25000</v>
      </c>
      <c r="N14" s="12">
        <f t="shared" si="0"/>
        <v>19113.875</v>
      </c>
      <c r="O14" s="12"/>
      <c r="P14" s="12"/>
      <c r="Q14" s="12"/>
      <c r="R14" s="139"/>
      <c r="S14" s="9">
        <v>0.127</v>
      </c>
      <c r="T14" s="8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 spans="1:42" s="133" customFormat="1" x14ac:dyDescent="0.25">
      <c r="A15" s="74" t="s">
        <v>85</v>
      </c>
      <c r="B15" s="75" t="s">
        <v>13</v>
      </c>
      <c r="C15" s="76">
        <v>2002</v>
      </c>
      <c r="D15" s="76"/>
      <c r="E15" s="76"/>
      <c r="F15" s="76"/>
      <c r="G15" s="77">
        <v>40.346151999999996</v>
      </c>
      <c r="H15" s="77">
        <v>-73.973207000000002</v>
      </c>
      <c r="I15" s="78" t="s">
        <v>15</v>
      </c>
      <c r="J15" s="78" t="s">
        <v>16</v>
      </c>
      <c r="K15" s="140">
        <v>30094</v>
      </c>
      <c r="L15" s="12">
        <f t="shared" ref="L15:L20" si="7">K15*0.3048</f>
        <v>9172.6512000000002</v>
      </c>
      <c r="M15" s="79">
        <v>2100000</v>
      </c>
      <c r="N15" s="12">
        <f t="shared" si="0"/>
        <v>1605565.5</v>
      </c>
      <c r="O15" s="12"/>
      <c r="P15" s="12">
        <f>N15/L15</f>
        <v>175.03832479752418</v>
      </c>
      <c r="Q15" s="192">
        <f t="shared" ref="Q15:Q20" si="8">P15/10</f>
        <v>17.503832479752418</v>
      </c>
      <c r="R15" s="80"/>
      <c r="S15" s="81">
        <v>0.75800000000000001</v>
      </c>
      <c r="T15" s="82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</row>
    <row r="16" spans="1:42" s="133" customFormat="1" ht="25" x14ac:dyDescent="0.25">
      <c r="A16" s="57" t="s">
        <v>85</v>
      </c>
      <c r="B16" s="75" t="s">
        <v>13</v>
      </c>
      <c r="C16" s="83">
        <v>2013</v>
      </c>
      <c r="D16" s="83"/>
      <c r="E16" s="83"/>
      <c r="F16" s="83"/>
      <c r="G16" s="77">
        <v>40.346151999999996</v>
      </c>
      <c r="H16" s="77">
        <v>-73.973207000000002</v>
      </c>
      <c r="I16" s="84" t="s">
        <v>15</v>
      </c>
      <c r="J16" s="77" t="s">
        <v>17</v>
      </c>
      <c r="K16" s="140">
        <v>30094</v>
      </c>
      <c r="L16" s="12">
        <f t="shared" si="7"/>
        <v>9172.6512000000002</v>
      </c>
      <c r="M16" s="140">
        <v>2175000</v>
      </c>
      <c r="N16" s="12">
        <f t="shared" si="0"/>
        <v>1662907.125</v>
      </c>
      <c r="O16" s="12"/>
      <c r="P16" s="12">
        <f>N16/L16</f>
        <v>181.28969354029292</v>
      </c>
      <c r="Q16" s="192">
        <f t="shared" si="8"/>
        <v>18.128969354029291</v>
      </c>
      <c r="R16" s="86">
        <v>25590800</v>
      </c>
      <c r="S16" s="81">
        <v>0.97799999999999998</v>
      </c>
      <c r="T16" s="82">
        <f>+R16/S16</f>
        <v>26166462.167689163</v>
      </c>
      <c r="U16" s="133">
        <f>T16/N16</f>
        <v>15.735371972556292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 spans="1:42" s="133" customFormat="1" x14ac:dyDescent="0.25">
      <c r="A17" s="74" t="s">
        <v>83</v>
      </c>
      <c r="B17" s="75" t="s">
        <v>13</v>
      </c>
      <c r="C17" s="75">
        <v>1995</v>
      </c>
      <c r="D17" s="75"/>
      <c r="E17" s="75"/>
      <c r="F17" s="75"/>
      <c r="G17" s="77">
        <v>40.335357000000002</v>
      </c>
      <c r="H17" s="77">
        <v>-73.973708000000002</v>
      </c>
      <c r="I17" s="84" t="s">
        <v>15</v>
      </c>
      <c r="J17" s="84" t="s">
        <v>16</v>
      </c>
      <c r="K17" s="89">
        <v>16368</v>
      </c>
      <c r="L17" s="12">
        <f t="shared" si="7"/>
        <v>4988.9664000000002</v>
      </c>
      <c r="M17" s="89">
        <v>4600000</v>
      </c>
      <c r="N17" s="12">
        <f>M17*0.764555</f>
        <v>3516953</v>
      </c>
      <c r="O17" s="12"/>
      <c r="P17" s="12">
        <f>N17/L17</f>
        <v>704.94621892021553</v>
      </c>
      <c r="Q17" s="192">
        <f t="shared" si="8"/>
        <v>70.494621892021556</v>
      </c>
      <c r="R17" s="82">
        <v>32307692</v>
      </c>
      <c r="S17" s="81">
        <v>0.64100000000000001</v>
      </c>
      <c r="T17" s="82">
        <f>+R17/S17</f>
        <v>50402015.600624025</v>
      </c>
      <c r="U17" s="133">
        <f t="shared" ref="U17:U19" si="9">T17/N17</f>
        <v>14.331159842233895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 spans="1:42" s="133" customFormat="1" x14ac:dyDescent="0.25">
      <c r="A18" s="29" t="s">
        <v>68</v>
      </c>
      <c r="B18" s="34" t="s">
        <v>13</v>
      </c>
      <c r="C18" s="34">
        <v>2009</v>
      </c>
      <c r="D18" s="34"/>
      <c r="E18" s="34"/>
      <c r="F18" s="34"/>
      <c r="G18" s="22">
        <v>40.335357000000002</v>
      </c>
      <c r="H18" s="22">
        <v>-73.973708000000002</v>
      </c>
      <c r="I18" s="23" t="s">
        <v>15</v>
      </c>
      <c r="J18" s="18" t="s">
        <v>19</v>
      </c>
      <c r="K18" s="24">
        <v>1200</v>
      </c>
      <c r="L18" s="12">
        <f t="shared" si="7"/>
        <v>365.76</v>
      </c>
      <c r="M18" s="25">
        <v>60000</v>
      </c>
      <c r="N18" s="12">
        <f>M18*0.764555</f>
        <v>45873.299999999996</v>
      </c>
      <c r="O18" s="12"/>
      <c r="P18" s="12">
        <f>N18/L18</f>
        <v>125.41912729658792</v>
      </c>
      <c r="Q18" s="192">
        <f t="shared" si="8"/>
        <v>12.541912729658792</v>
      </c>
      <c r="R18" s="26">
        <v>2550000</v>
      </c>
      <c r="S18" s="20">
        <v>0.90100000000000002</v>
      </c>
      <c r="T18" s="8">
        <f>+R18/S18</f>
        <v>2830188.6792452829</v>
      </c>
      <c r="U18" s="133">
        <f t="shared" si="9"/>
        <v>61.695772469939662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 spans="1:42" s="133" customFormat="1" x14ac:dyDescent="0.25">
      <c r="A19" s="74" t="s">
        <v>83</v>
      </c>
      <c r="B19" s="75" t="s">
        <v>13</v>
      </c>
      <c r="C19" s="75">
        <v>2012</v>
      </c>
      <c r="D19" s="75"/>
      <c r="E19" s="75"/>
      <c r="F19" s="75"/>
      <c r="G19" s="77">
        <v>40.335357000000002</v>
      </c>
      <c r="H19" s="77">
        <v>-73.973708000000002</v>
      </c>
      <c r="I19" s="84" t="s">
        <v>15</v>
      </c>
      <c r="J19" s="84" t="s">
        <v>16</v>
      </c>
      <c r="K19" s="89">
        <v>5000</v>
      </c>
      <c r="L19" s="12">
        <f t="shared" si="7"/>
        <v>1524</v>
      </c>
      <c r="M19" s="89">
        <v>800000</v>
      </c>
      <c r="N19" s="12">
        <f>M19*0.764555</f>
        <v>611644</v>
      </c>
      <c r="O19" s="12"/>
      <c r="P19" s="12">
        <f>(AVERAGE(N19,N16)/AVERAGE(L19,L16))</f>
        <v>212.64142229859752</v>
      </c>
      <c r="Q19" s="192">
        <f t="shared" si="8"/>
        <v>21.26414222985975</v>
      </c>
      <c r="R19" s="82">
        <v>18461538</v>
      </c>
      <c r="S19" s="81">
        <v>0.96399999999999997</v>
      </c>
      <c r="T19" s="82">
        <f>+R19/S19</f>
        <v>19150973.029045645</v>
      </c>
      <c r="U19" s="133">
        <f t="shared" si="9"/>
        <v>31.310652976315708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 spans="1:42" s="133" customFormat="1" x14ac:dyDescent="0.25">
      <c r="A20" s="2" t="s">
        <v>62</v>
      </c>
      <c r="B20" s="3" t="s">
        <v>13</v>
      </c>
      <c r="C20" s="3">
        <v>1943</v>
      </c>
      <c r="D20" s="3"/>
      <c r="E20" s="3"/>
      <c r="F20" s="3"/>
      <c r="G20" s="22">
        <v>40.303224999999998</v>
      </c>
      <c r="H20" s="22">
        <v>-73.978014000000002</v>
      </c>
      <c r="I20" s="5" t="s">
        <v>14</v>
      </c>
      <c r="J20" s="5" t="s">
        <v>14</v>
      </c>
      <c r="K20" s="6">
        <v>1800</v>
      </c>
      <c r="L20" s="12">
        <f t="shared" si="7"/>
        <v>548.64</v>
      </c>
      <c r="M20" s="7">
        <v>15000</v>
      </c>
      <c r="N20" s="12">
        <f t="shared" ref="N20:N27" si="10">M20*0.764555</f>
        <v>11468.324999999999</v>
      </c>
      <c r="O20" s="12"/>
      <c r="P20" s="12">
        <f>N20/L20</f>
        <v>20.903187882764652</v>
      </c>
      <c r="Q20" s="192">
        <f t="shared" si="8"/>
        <v>2.0903187882764653</v>
      </c>
      <c r="R20" s="13"/>
      <c r="S20" s="9">
        <v>7.2999999999999995E-2</v>
      </c>
      <c r="T20" s="8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1:42" s="133" customFormat="1" x14ac:dyDescent="0.25">
      <c r="A21" s="2" t="s">
        <v>62</v>
      </c>
      <c r="B21" s="3" t="s">
        <v>13</v>
      </c>
      <c r="C21" s="3">
        <v>1945</v>
      </c>
      <c r="D21" s="3"/>
      <c r="E21" s="3"/>
      <c r="F21" s="3"/>
      <c r="G21" s="22">
        <v>40.303224999999998</v>
      </c>
      <c r="H21" s="22">
        <v>-73.978014000000002</v>
      </c>
      <c r="I21" s="5" t="s">
        <v>14</v>
      </c>
      <c r="J21" s="5" t="s">
        <v>14</v>
      </c>
      <c r="K21" s="6"/>
      <c r="L21" s="12"/>
      <c r="M21" s="7">
        <v>18732</v>
      </c>
      <c r="N21" s="12">
        <f t="shared" si="10"/>
        <v>14321.644259999999</v>
      </c>
      <c r="O21" s="12"/>
      <c r="P21" s="12"/>
      <c r="Q21" s="12"/>
      <c r="R21" s="13"/>
      <c r="S21" s="9">
        <v>7.5999999999999998E-2</v>
      </c>
      <c r="T21" s="8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1:42" s="133" customFormat="1" x14ac:dyDescent="0.25">
      <c r="A22" s="2" t="s">
        <v>62</v>
      </c>
      <c r="B22" s="3" t="s">
        <v>13</v>
      </c>
      <c r="C22" s="3">
        <v>1948</v>
      </c>
      <c r="D22" s="3"/>
      <c r="E22" s="3"/>
      <c r="F22" s="3"/>
      <c r="G22" s="22">
        <v>40.303224999999998</v>
      </c>
      <c r="H22" s="22">
        <v>-73.978014000000002</v>
      </c>
      <c r="I22" s="14" t="s">
        <v>15</v>
      </c>
      <c r="J22" s="5" t="s">
        <v>14</v>
      </c>
      <c r="K22" s="6"/>
      <c r="L22" s="12"/>
      <c r="M22" s="7">
        <v>600000</v>
      </c>
      <c r="N22" s="12">
        <f t="shared" si="10"/>
        <v>458733</v>
      </c>
      <c r="O22" s="12"/>
      <c r="P22" s="12"/>
      <c r="Q22" s="12"/>
      <c r="R22" s="13"/>
      <c r="S22" s="9">
        <v>0.10100000000000001</v>
      </c>
      <c r="T22" s="8"/>
      <c r="Y22" s="46"/>
      <c r="Z22" s="46"/>
      <c r="AA22" s="46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 spans="1:42" s="133" customFormat="1" x14ac:dyDescent="0.25">
      <c r="A23" s="2" t="s">
        <v>62</v>
      </c>
      <c r="B23" s="3" t="s">
        <v>13</v>
      </c>
      <c r="C23" s="3">
        <v>1962</v>
      </c>
      <c r="D23" s="3"/>
      <c r="E23" s="3"/>
      <c r="F23" s="3"/>
      <c r="G23" s="22">
        <v>40.303224999999998</v>
      </c>
      <c r="H23" s="22">
        <v>-73.978014000000002</v>
      </c>
      <c r="I23" s="5" t="s">
        <v>14</v>
      </c>
      <c r="J23" s="5" t="s">
        <v>14</v>
      </c>
      <c r="K23" s="6"/>
      <c r="L23" s="12"/>
      <c r="M23" s="7">
        <v>25000</v>
      </c>
      <c r="N23" s="12">
        <f t="shared" si="10"/>
        <v>19113.875</v>
      </c>
      <c r="O23" s="12"/>
      <c r="P23" s="12"/>
      <c r="Q23" s="12"/>
      <c r="R23" s="13"/>
      <c r="S23" s="9">
        <v>0.127</v>
      </c>
      <c r="T23" s="8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 spans="1:42" s="133" customFormat="1" x14ac:dyDescent="0.25">
      <c r="A24" s="2" t="s">
        <v>62</v>
      </c>
      <c r="B24" s="3" t="s">
        <v>13</v>
      </c>
      <c r="C24" s="3">
        <v>1963</v>
      </c>
      <c r="D24" s="3"/>
      <c r="E24" s="3"/>
      <c r="F24" s="3"/>
      <c r="G24" s="22">
        <v>40.303224999999998</v>
      </c>
      <c r="H24" s="22">
        <v>-73.978014000000002</v>
      </c>
      <c r="I24" s="5" t="s">
        <v>14</v>
      </c>
      <c r="J24" s="5" t="s">
        <v>14</v>
      </c>
      <c r="K24" s="6"/>
      <c r="L24" s="12"/>
      <c r="M24" s="7">
        <v>27100</v>
      </c>
      <c r="N24" s="12">
        <f t="shared" si="10"/>
        <v>20719.440500000001</v>
      </c>
      <c r="O24" s="12"/>
      <c r="P24" s="12"/>
      <c r="Q24" s="12"/>
      <c r="R24" s="13"/>
      <c r="S24" s="9">
        <v>0.129</v>
      </c>
      <c r="T24" s="8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 spans="1:42" s="133" customFormat="1" x14ac:dyDescent="0.25">
      <c r="A25" s="74" t="s">
        <v>82</v>
      </c>
      <c r="B25" s="75" t="s">
        <v>13</v>
      </c>
      <c r="C25" s="76">
        <v>1999</v>
      </c>
      <c r="D25" s="76"/>
      <c r="E25" s="76"/>
      <c r="F25" s="76"/>
      <c r="G25" s="77">
        <v>40.303224999999998</v>
      </c>
      <c r="H25" s="77">
        <v>-73.978014000000002</v>
      </c>
      <c r="I25" s="78" t="s">
        <v>15</v>
      </c>
      <c r="J25" s="78" t="s">
        <v>16</v>
      </c>
      <c r="K25" s="79">
        <v>17423</v>
      </c>
      <c r="L25" s="12">
        <f>K25*0.3048</f>
        <v>5310.5304000000006</v>
      </c>
      <c r="M25" s="79">
        <v>4300000</v>
      </c>
      <c r="N25" s="12">
        <f t="shared" si="10"/>
        <v>3287586.5</v>
      </c>
      <c r="O25" s="12"/>
      <c r="P25" s="12">
        <f>N25/L25</f>
        <v>619.06933062656037</v>
      </c>
      <c r="Q25" s="192">
        <f>P25/10</f>
        <v>61.906933062656037</v>
      </c>
      <c r="R25" s="86">
        <v>45454545</v>
      </c>
      <c r="S25" s="81">
        <v>0.69899999999999995</v>
      </c>
      <c r="T25" s="82">
        <f>+R25/S25</f>
        <v>65027961.373390563</v>
      </c>
      <c r="U25" s="133">
        <f t="shared" ref="U25:U27" si="11">T25/N25</f>
        <v>19.779848035448058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 spans="1:42" s="133" customFormat="1" x14ac:dyDescent="0.25">
      <c r="A26" s="74" t="s">
        <v>82</v>
      </c>
      <c r="B26" s="75" t="s">
        <v>13</v>
      </c>
      <c r="C26" s="83">
        <v>2009</v>
      </c>
      <c r="D26" s="83"/>
      <c r="E26" s="83"/>
      <c r="F26" s="83"/>
      <c r="G26" s="77">
        <v>40.303224999999998</v>
      </c>
      <c r="H26" s="77">
        <v>-73.978014000000002</v>
      </c>
      <c r="I26" s="78" t="s">
        <v>15</v>
      </c>
      <c r="J26" s="78" t="s">
        <v>16</v>
      </c>
      <c r="K26" s="88">
        <v>3000</v>
      </c>
      <c r="L26" s="12">
        <f>K26*0.3048</f>
        <v>914.40000000000009</v>
      </c>
      <c r="M26" s="89">
        <v>700000</v>
      </c>
      <c r="N26" s="12">
        <f t="shared" si="10"/>
        <v>535188.5</v>
      </c>
      <c r="O26" s="12"/>
      <c r="P26" s="12">
        <f>N26/L26</f>
        <v>585.28926071741023</v>
      </c>
      <c r="Q26" s="192">
        <f>P26/10</f>
        <v>58.528926071741026</v>
      </c>
      <c r="R26" s="80">
        <v>18539000</v>
      </c>
      <c r="S26" s="81">
        <v>0.90100000000000002</v>
      </c>
      <c r="T26" s="82">
        <f>+R26/S26</f>
        <v>20576026.637069922</v>
      </c>
      <c r="U26" s="133">
        <f t="shared" si="11"/>
        <v>38.446316834292816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 spans="1:42" s="133" customFormat="1" ht="25" x14ac:dyDescent="0.25">
      <c r="A27" s="57" t="s">
        <v>82</v>
      </c>
      <c r="B27" s="75" t="s">
        <v>13</v>
      </c>
      <c r="C27" s="83">
        <v>2014</v>
      </c>
      <c r="D27" s="83"/>
      <c r="E27" s="83"/>
      <c r="F27" s="83"/>
      <c r="G27" s="77">
        <v>40.303224999999998</v>
      </c>
      <c r="H27" s="77">
        <v>-73.978014000000002</v>
      </c>
      <c r="I27" s="84" t="s">
        <v>15</v>
      </c>
      <c r="J27" s="77" t="s">
        <v>17</v>
      </c>
      <c r="K27" s="85"/>
      <c r="L27" s="12"/>
      <c r="M27" s="79">
        <v>3303000</v>
      </c>
      <c r="N27" s="12">
        <f t="shared" si="10"/>
        <v>2525325.165</v>
      </c>
      <c r="O27" s="12"/>
      <c r="P27" s="12">
        <f>N27/6950</f>
        <v>363.35613884892086</v>
      </c>
      <c r="Q27" s="192">
        <f>P27/10</f>
        <v>36.335613884892084</v>
      </c>
      <c r="R27" s="86">
        <v>40067500</v>
      </c>
      <c r="S27" s="81">
        <v>0.99399999999999999</v>
      </c>
      <c r="T27" s="82">
        <f>+R27/S27</f>
        <v>40309356.136820927</v>
      </c>
      <c r="U27" s="133">
        <f t="shared" si="11"/>
        <v>15.962045876504353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spans="1:42" s="133" customFormat="1" x14ac:dyDescent="0.25">
      <c r="A28" s="133" t="s">
        <v>182</v>
      </c>
      <c r="C28" s="161">
        <v>2016</v>
      </c>
      <c r="K28" s="133">
        <f>3.5*5280</f>
        <v>18480</v>
      </c>
      <c r="L28" s="12">
        <f>K28*0.3048</f>
        <v>5632.7040000000006</v>
      </c>
      <c r="M28" s="133">
        <v>1400000</v>
      </c>
      <c r="N28" s="12">
        <f>M28*0.764555</f>
        <v>1070377</v>
      </c>
      <c r="O28" s="12"/>
      <c r="R28" s="133">
        <v>38000000</v>
      </c>
      <c r="S28" s="175">
        <v>1</v>
      </c>
      <c r="T28" s="8">
        <f>+R28/S28</f>
        <v>38000000</v>
      </c>
      <c r="U28" s="133">
        <f t="shared" ref="U28:U29" si="12">T28/N28</f>
        <v>35.501510215559563</v>
      </c>
    </row>
    <row r="29" spans="1:42" s="133" customFormat="1" x14ac:dyDescent="0.25">
      <c r="A29" s="133" t="s">
        <v>182</v>
      </c>
      <c r="C29" s="161">
        <v>2016</v>
      </c>
      <c r="K29" s="133">
        <v>7920</v>
      </c>
      <c r="L29" s="12">
        <f>K29*0.3048</f>
        <v>2414.0160000000001</v>
      </c>
      <c r="M29" s="133">
        <v>3000000</v>
      </c>
      <c r="N29" s="12">
        <f>M29*0.764555</f>
        <v>2293665</v>
      </c>
      <c r="O29" s="12"/>
      <c r="P29" s="133">
        <f>(AVERAGE(N28:N29))/(AVERAGE(L28:L29))</f>
        <v>418.06375765529305</v>
      </c>
      <c r="Q29" s="133">
        <f>P29/10</f>
        <v>41.806375765529303</v>
      </c>
      <c r="R29" s="133">
        <v>87006410</v>
      </c>
      <c r="S29" s="175">
        <v>1</v>
      </c>
      <c r="T29" s="8">
        <f>+R29/S29</f>
        <v>87006410</v>
      </c>
      <c r="U29" s="133">
        <f t="shared" si="12"/>
        <v>37.933355568489731</v>
      </c>
    </row>
    <row r="30" spans="1:42" s="133" customFormat="1" ht="25" x14ac:dyDescent="0.25">
      <c r="A30" s="57" t="s">
        <v>80</v>
      </c>
      <c r="B30" s="75" t="s">
        <v>13</v>
      </c>
      <c r="C30" s="83">
        <v>2014</v>
      </c>
      <c r="D30" s="83"/>
      <c r="E30" s="83"/>
      <c r="F30" s="83"/>
      <c r="G30" s="77">
        <v>40.210737000000002</v>
      </c>
      <c r="H30" s="77">
        <v>-74.002733000000006</v>
      </c>
      <c r="I30" s="84" t="s">
        <v>15</v>
      </c>
      <c r="J30" s="77" t="s">
        <v>17</v>
      </c>
      <c r="K30" s="85">
        <v>16157</v>
      </c>
      <c r="L30" s="12">
        <f>K30*0.3048</f>
        <v>4924.6536000000006</v>
      </c>
      <c r="M30" s="79">
        <v>1200000</v>
      </c>
      <c r="N30" s="12">
        <f t="shared" ref="N30:N33" si="13">M30*0.764555</f>
        <v>917466</v>
      </c>
      <c r="O30" s="12"/>
      <c r="P30" s="12">
        <f>N30/L30</f>
        <v>186.3006161489206</v>
      </c>
      <c r="Q30" s="192">
        <f>P30/10</f>
        <v>18.63006161489206</v>
      </c>
      <c r="R30" s="86">
        <v>18300000</v>
      </c>
      <c r="S30" s="81">
        <v>0.99399999999999999</v>
      </c>
      <c r="T30" s="82">
        <f t="shared" ref="T30:T31" si="14">+R30/S30</f>
        <v>18410462.776659958</v>
      </c>
      <c r="U30" s="133">
        <f t="shared" ref="U30:U31" si="15">T30/N30</f>
        <v>20.066643098120213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 spans="1:42" s="133" customFormat="1" x14ac:dyDescent="0.25">
      <c r="A31" s="74" t="s">
        <v>79</v>
      </c>
      <c r="B31" s="75" t="s">
        <v>13</v>
      </c>
      <c r="C31" s="76">
        <v>2001</v>
      </c>
      <c r="D31" s="76"/>
      <c r="E31" s="76"/>
      <c r="F31" s="76"/>
      <c r="G31" s="77">
        <v>40.210737000000002</v>
      </c>
      <c r="H31" s="77">
        <v>-74.002733000000006</v>
      </c>
      <c r="I31" s="78" t="s">
        <v>15</v>
      </c>
      <c r="J31" s="78" t="s">
        <v>16</v>
      </c>
      <c r="K31" s="79">
        <v>16368</v>
      </c>
      <c r="L31" s="12">
        <f>K31*0.3048</f>
        <v>4988.9664000000002</v>
      </c>
      <c r="M31" s="79">
        <v>3100000</v>
      </c>
      <c r="N31" s="12">
        <f t="shared" si="13"/>
        <v>2370120.5</v>
      </c>
      <c r="O31" s="12"/>
      <c r="P31" s="12">
        <f>N31/L31</f>
        <v>475.07245188101484</v>
      </c>
      <c r="Q31" s="192">
        <f>P31/10</f>
        <v>47.507245188101486</v>
      </c>
      <c r="R31" s="80">
        <v>36923076</v>
      </c>
      <c r="S31" s="81">
        <v>0.746</v>
      </c>
      <c r="T31" s="82">
        <f t="shared" si="14"/>
        <v>49494739.946380697</v>
      </c>
      <c r="U31" s="133">
        <f t="shared" si="15"/>
        <v>20.882794755110847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1:42" s="133" customFormat="1" x14ac:dyDescent="0.25">
      <c r="A32" s="2" t="s">
        <v>33</v>
      </c>
      <c r="B32" s="3" t="s">
        <v>13</v>
      </c>
      <c r="C32" s="3">
        <v>1958</v>
      </c>
      <c r="D32" s="3"/>
      <c r="E32" s="3"/>
      <c r="F32" s="3"/>
      <c r="G32" s="4">
        <v>40.201870999999997</v>
      </c>
      <c r="H32" s="4">
        <v>-74.006224000000003</v>
      </c>
      <c r="I32" s="5" t="s">
        <v>14</v>
      </c>
      <c r="J32" s="5" t="s">
        <v>14</v>
      </c>
      <c r="K32" s="6"/>
      <c r="L32" s="12"/>
      <c r="M32" s="7">
        <v>250000</v>
      </c>
      <c r="N32" s="12">
        <f t="shared" si="13"/>
        <v>191138.75</v>
      </c>
      <c r="O32" s="12"/>
      <c r="P32" s="12"/>
      <c r="Q32" s="12"/>
      <c r="R32" s="13"/>
      <c r="S32" s="9">
        <v>0.121</v>
      </c>
      <c r="T32" s="8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 spans="1:42" s="133" customFormat="1" x14ac:dyDescent="0.25">
      <c r="A33" s="2" t="s">
        <v>33</v>
      </c>
      <c r="B33" s="3" t="s">
        <v>13</v>
      </c>
      <c r="C33" s="3">
        <v>1960</v>
      </c>
      <c r="D33" s="3"/>
      <c r="E33" s="3"/>
      <c r="F33" s="3"/>
      <c r="G33" s="4">
        <v>40.201870999999997</v>
      </c>
      <c r="H33" s="4">
        <v>-74.006224000000003</v>
      </c>
      <c r="I33" s="5" t="s">
        <v>14</v>
      </c>
      <c r="J33" s="5" t="s">
        <v>14</v>
      </c>
      <c r="K33" s="6"/>
      <c r="L33" s="12"/>
      <c r="M33" s="7">
        <v>250000</v>
      </c>
      <c r="N33" s="12">
        <f t="shared" si="13"/>
        <v>191138.75</v>
      </c>
      <c r="O33" s="12"/>
      <c r="P33" s="12"/>
      <c r="Q33" s="12"/>
      <c r="R33" s="13"/>
      <c r="S33" s="9">
        <v>0.124</v>
      </c>
      <c r="T33" s="8"/>
      <c r="Y33" s="10"/>
      <c r="Z33" s="10"/>
      <c r="AA33" s="10"/>
      <c r="AB33" s="10"/>
      <c r="AC33" s="10"/>
      <c r="AD33" s="10"/>
      <c r="AE33" s="10"/>
      <c r="AF33" s="10"/>
      <c r="AG33" s="10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1:42" s="133" customFormat="1" x14ac:dyDescent="0.25">
      <c r="A34" s="2" t="s">
        <v>25</v>
      </c>
      <c r="B34" s="3" t="s">
        <v>13</v>
      </c>
      <c r="C34" s="3">
        <v>1947</v>
      </c>
      <c r="D34" s="3"/>
      <c r="E34" s="3"/>
      <c r="F34" s="3"/>
      <c r="G34" s="4">
        <v>40.191791000000002</v>
      </c>
      <c r="H34" s="4">
        <v>-74.008713</v>
      </c>
      <c r="I34" s="5" t="s">
        <v>14</v>
      </c>
      <c r="J34" s="5" t="s">
        <v>14</v>
      </c>
      <c r="K34" s="6"/>
      <c r="L34" s="12"/>
      <c r="M34" s="7">
        <v>150000</v>
      </c>
      <c r="N34" s="12">
        <f t="shared" ref="N34:N44" si="16">M34*0.764555</f>
        <v>114683.25</v>
      </c>
      <c r="O34" s="12"/>
      <c r="P34" s="12"/>
      <c r="Q34" s="12"/>
      <c r="R34" s="13"/>
      <c r="S34" s="9">
        <v>9.4E-2</v>
      </c>
      <c r="T34" s="8"/>
      <c r="Y34" s="10"/>
      <c r="Z34" s="10"/>
      <c r="AA34" s="10"/>
      <c r="AB34" s="10"/>
      <c r="AC34" s="10"/>
      <c r="AD34" s="10"/>
      <c r="AE34" s="10"/>
      <c r="AF34" s="10"/>
      <c r="AG34" s="10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 s="133" customFormat="1" x14ac:dyDescent="0.25">
      <c r="A35" s="2" t="s">
        <v>25</v>
      </c>
      <c r="B35" s="3" t="s">
        <v>13</v>
      </c>
      <c r="C35" s="3">
        <v>1949</v>
      </c>
      <c r="D35" s="3"/>
      <c r="E35" s="3"/>
      <c r="F35" s="3"/>
      <c r="G35" s="4">
        <v>40.191791000000002</v>
      </c>
      <c r="H35" s="4">
        <v>-74.008713</v>
      </c>
      <c r="I35" s="14" t="s">
        <v>15</v>
      </c>
      <c r="J35" s="5" t="s">
        <v>19</v>
      </c>
      <c r="K35" s="6"/>
      <c r="L35" s="12"/>
      <c r="M35" s="7">
        <v>16000</v>
      </c>
      <c r="N35" s="12">
        <f t="shared" si="16"/>
        <v>12232.88</v>
      </c>
      <c r="O35" s="12"/>
      <c r="P35" s="12"/>
      <c r="Q35" s="12"/>
      <c r="R35" s="13"/>
      <c r="S35" s="9">
        <v>0.1</v>
      </c>
      <c r="T35" s="8"/>
      <c r="Y35" s="10"/>
      <c r="Z35" s="10"/>
      <c r="AA35" s="10"/>
      <c r="AB35" s="10"/>
      <c r="AC35" s="10"/>
      <c r="AD35" s="10"/>
      <c r="AE35" s="10"/>
      <c r="AF35" s="10"/>
      <c r="AG35" s="10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 s="133" customFormat="1" x14ac:dyDescent="0.25">
      <c r="A36" s="2" t="s">
        <v>25</v>
      </c>
      <c r="B36" s="3" t="s">
        <v>13</v>
      </c>
      <c r="C36" s="3">
        <v>1950</v>
      </c>
      <c r="D36" s="3"/>
      <c r="E36" s="3"/>
      <c r="F36" s="3"/>
      <c r="G36" s="4">
        <v>40.191791000000002</v>
      </c>
      <c r="H36" s="4">
        <v>-74.008713</v>
      </c>
      <c r="I36" s="14" t="s">
        <v>15</v>
      </c>
      <c r="J36" s="5" t="s">
        <v>19</v>
      </c>
      <c r="K36" s="6"/>
      <c r="L36" s="12"/>
      <c r="M36" s="7">
        <v>22000</v>
      </c>
      <c r="N36" s="12">
        <f t="shared" si="16"/>
        <v>16820.21</v>
      </c>
      <c r="O36" s="12"/>
      <c r="P36" s="12"/>
      <c r="Q36" s="12"/>
      <c r="R36" s="8">
        <v>10795</v>
      </c>
      <c r="S36" s="9">
        <v>0.10100000000000001</v>
      </c>
      <c r="T36" s="8">
        <f>+R36/S36</f>
        <v>106881.18811881187</v>
      </c>
      <c r="U36" s="133">
        <f>T36/N36</f>
        <v>6.3543313739133982</v>
      </c>
      <c r="Y36" s="10"/>
      <c r="Z36" s="10"/>
      <c r="AA36" s="10"/>
      <c r="AB36" s="10"/>
      <c r="AC36" s="10"/>
      <c r="AD36" s="10"/>
      <c r="AE36" s="10"/>
      <c r="AF36" s="10"/>
      <c r="AG36" s="10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1:42" s="133" customFormat="1" x14ac:dyDescent="0.25">
      <c r="A37" s="2" t="s">
        <v>25</v>
      </c>
      <c r="B37" s="3" t="s">
        <v>13</v>
      </c>
      <c r="C37" s="3">
        <v>1958</v>
      </c>
      <c r="D37" s="3"/>
      <c r="E37" s="3"/>
      <c r="F37" s="3"/>
      <c r="G37" s="4">
        <v>40.191791000000002</v>
      </c>
      <c r="H37" s="4">
        <v>-74.008713</v>
      </c>
      <c r="I37" s="5" t="s">
        <v>14</v>
      </c>
      <c r="J37" s="5" t="s">
        <v>14</v>
      </c>
      <c r="K37" s="6"/>
      <c r="L37" s="12"/>
      <c r="M37" s="7">
        <v>250000</v>
      </c>
      <c r="N37" s="12">
        <f t="shared" si="16"/>
        <v>191138.75</v>
      </c>
      <c r="O37" s="12"/>
      <c r="P37" s="12"/>
      <c r="Q37" s="12"/>
      <c r="R37" s="13"/>
      <c r="S37" s="9">
        <v>0.121</v>
      </c>
      <c r="T37" s="8"/>
      <c r="Y37" s="10"/>
      <c r="Z37" s="10"/>
      <c r="AA37" s="10"/>
      <c r="AB37" s="10"/>
      <c r="AC37" s="10"/>
      <c r="AD37" s="10"/>
      <c r="AE37" s="10"/>
      <c r="AF37" s="10"/>
      <c r="AG37" s="10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s="133" customFormat="1" x14ac:dyDescent="0.25">
      <c r="A38" s="2" t="s">
        <v>25</v>
      </c>
      <c r="B38" s="3" t="s">
        <v>13</v>
      </c>
      <c r="C38" s="3">
        <v>1960</v>
      </c>
      <c r="D38" s="3"/>
      <c r="E38" s="3"/>
      <c r="F38" s="3"/>
      <c r="G38" s="4">
        <v>40.191791000000002</v>
      </c>
      <c r="H38" s="4">
        <v>-74.008713</v>
      </c>
      <c r="I38" s="5" t="s">
        <v>14</v>
      </c>
      <c r="J38" s="5" t="s">
        <v>14</v>
      </c>
      <c r="K38" s="6"/>
      <c r="L38" s="12"/>
      <c r="M38" s="7">
        <v>250000</v>
      </c>
      <c r="N38" s="12">
        <f t="shared" si="16"/>
        <v>191138.75</v>
      </c>
      <c r="O38" s="12"/>
      <c r="P38" s="12"/>
      <c r="Q38" s="12"/>
      <c r="R38" s="8">
        <v>197472</v>
      </c>
      <c r="S38" s="9">
        <v>0.124</v>
      </c>
      <c r="T38" s="8">
        <f t="shared" ref="T38:T44" si="17">+R38/S38</f>
        <v>1592516.1290322582</v>
      </c>
      <c r="U38" s="133">
        <f t="shared" ref="U38:U44" si="18">T38/N38</f>
        <v>8.3317282813257805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1:42" s="133" customFormat="1" x14ac:dyDescent="0.25">
      <c r="A39" s="2" t="s">
        <v>25</v>
      </c>
      <c r="B39" s="3" t="s">
        <v>13</v>
      </c>
      <c r="C39" s="3">
        <v>1971</v>
      </c>
      <c r="D39" s="3"/>
      <c r="E39" s="3"/>
      <c r="F39" s="3"/>
      <c r="G39" s="4">
        <v>40.191791000000002</v>
      </c>
      <c r="H39" s="4">
        <v>-74.008713</v>
      </c>
      <c r="I39" s="14" t="s">
        <v>15</v>
      </c>
      <c r="J39" s="5" t="s">
        <v>19</v>
      </c>
      <c r="K39" s="6"/>
      <c r="L39" s="12"/>
      <c r="M39" s="7">
        <v>120000</v>
      </c>
      <c r="N39" s="12">
        <f t="shared" si="16"/>
        <v>91746.599999999991</v>
      </c>
      <c r="O39" s="12"/>
      <c r="P39" s="12"/>
      <c r="Q39" s="12"/>
      <c r="R39" s="8">
        <v>179641</v>
      </c>
      <c r="S39" s="9">
        <v>0.17</v>
      </c>
      <c r="T39" s="8">
        <f t="shared" si="17"/>
        <v>1056711.7647058822</v>
      </c>
      <c r="U39" s="133">
        <f t="shared" si="18"/>
        <v>11.51772125294978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1:42" s="133" customFormat="1" x14ac:dyDescent="0.25">
      <c r="A40" s="2" t="s">
        <v>25</v>
      </c>
      <c r="B40" s="3" t="s">
        <v>13</v>
      </c>
      <c r="C40" s="3">
        <v>1982</v>
      </c>
      <c r="D40" s="3"/>
      <c r="E40" s="3"/>
      <c r="F40" s="3"/>
      <c r="G40" s="4">
        <v>40.191791000000002</v>
      </c>
      <c r="H40" s="4">
        <v>-74.008713</v>
      </c>
      <c r="I40" s="14" t="s">
        <v>15</v>
      </c>
      <c r="J40" s="5" t="s">
        <v>19</v>
      </c>
      <c r="K40" s="6"/>
      <c r="L40" s="12"/>
      <c r="M40" s="7">
        <v>136000</v>
      </c>
      <c r="N40" s="12">
        <f t="shared" si="16"/>
        <v>103979.48</v>
      </c>
      <c r="O40" s="12"/>
      <c r="P40" s="12"/>
      <c r="Q40" s="12"/>
      <c r="R40" s="8">
        <v>352240</v>
      </c>
      <c r="S40" s="9">
        <v>0.40100000000000002</v>
      </c>
      <c r="T40" s="8">
        <f t="shared" si="17"/>
        <v>878403.99002493755</v>
      </c>
      <c r="U40" s="133">
        <f t="shared" si="18"/>
        <v>8.4478590393502415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1:42" s="133" customFormat="1" x14ac:dyDescent="0.25">
      <c r="A41" s="29" t="s">
        <v>91</v>
      </c>
      <c r="B41" s="3"/>
      <c r="C41" s="3">
        <v>1997</v>
      </c>
      <c r="D41" s="3"/>
      <c r="E41" s="3"/>
      <c r="F41" s="3"/>
      <c r="G41" s="4"/>
      <c r="H41" s="4"/>
      <c r="I41" s="5"/>
      <c r="J41" s="5"/>
      <c r="K41" s="6"/>
      <c r="L41" s="12"/>
      <c r="M41" s="7">
        <v>60000</v>
      </c>
      <c r="N41" s="12">
        <f t="shared" si="16"/>
        <v>45873.299999999996</v>
      </c>
      <c r="O41" s="12"/>
      <c r="P41" s="12"/>
      <c r="Q41" s="12"/>
      <c r="R41" s="8">
        <v>571197</v>
      </c>
      <c r="S41" s="9">
        <v>0.67600000000000005</v>
      </c>
      <c r="T41" s="8">
        <f t="shared" si="17"/>
        <v>844965.97633136087</v>
      </c>
      <c r="U41" s="133">
        <f t="shared" si="18"/>
        <v>18.41955944593829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1:42" s="133" customFormat="1" x14ac:dyDescent="0.25">
      <c r="A42" s="29" t="s">
        <v>91</v>
      </c>
      <c r="B42" s="3"/>
      <c r="C42" s="3">
        <v>2003</v>
      </c>
      <c r="D42" s="3"/>
      <c r="E42" s="3"/>
      <c r="F42" s="3"/>
      <c r="G42" s="4"/>
      <c r="H42" s="4"/>
      <c r="I42" s="5"/>
      <c r="J42" s="5"/>
      <c r="K42" s="6"/>
      <c r="L42" s="12"/>
      <c r="M42" s="7">
        <v>30710</v>
      </c>
      <c r="N42" s="12">
        <f t="shared" si="16"/>
        <v>23479.484049999999</v>
      </c>
      <c r="O42" s="12"/>
      <c r="P42" s="12"/>
      <c r="Q42" s="12"/>
      <c r="R42" s="8">
        <v>857032</v>
      </c>
      <c r="S42" s="20">
        <v>0.77500000000000002</v>
      </c>
      <c r="T42" s="8">
        <f t="shared" si="17"/>
        <v>1105847.7419354839</v>
      </c>
      <c r="U42" s="133">
        <f t="shared" si="18"/>
        <v>47.098468585619706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1:42" s="133" customFormat="1" x14ac:dyDescent="0.25">
      <c r="A43" s="29" t="s">
        <v>91</v>
      </c>
      <c r="B43" s="3"/>
      <c r="C43" s="3">
        <v>2006</v>
      </c>
      <c r="D43" s="3"/>
      <c r="E43" s="3"/>
      <c r="F43" s="3"/>
      <c r="G43" s="4"/>
      <c r="H43" s="4"/>
      <c r="I43" s="5"/>
      <c r="J43" s="5"/>
      <c r="K43" s="6"/>
      <c r="L43" s="12"/>
      <c r="M43" s="7">
        <v>147000</v>
      </c>
      <c r="N43" s="12">
        <f t="shared" si="16"/>
        <v>112389.58499999999</v>
      </c>
      <c r="O43" s="12"/>
      <c r="P43" s="12"/>
      <c r="Q43" s="12"/>
      <c r="R43" s="8">
        <v>3223950</v>
      </c>
      <c r="S43" s="9">
        <v>0.84699999999999998</v>
      </c>
      <c r="T43" s="8">
        <f t="shared" si="17"/>
        <v>3806316.4108618656</v>
      </c>
      <c r="U43" s="133">
        <f t="shared" si="18"/>
        <v>33.867163143825699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1:42" s="133" customFormat="1" x14ac:dyDescent="0.25">
      <c r="A44" s="29" t="s">
        <v>91</v>
      </c>
      <c r="B44" s="3" t="s">
        <v>13</v>
      </c>
      <c r="C44" s="21">
        <v>2006</v>
      </c>
      <c r="D44" s="21"/>
      <c r="E44" s="21"/>
      <c r="F44" s="21"/>
      <c r="G44" s="4">
        <v>40.189070000000001</v>
      </c>
      <c r="H44" s="4">
        <v>-74.009148999999994</v>
      </c>
      <c r="I44" s="23" t="s">
        <v>15</v>
      </c>
      <c r="J44" s="18" t="s">
        <v>19</v>
      </c>
      <c r="K44" s="24"/>
      <c r="L44" s="12"/>
      <c r="M44" s="25">
        <v>15000</v>
      </c>
      <c r="N44" s="12">
        <f t="shared" si="16"/>
        <v>11468.324999999999</v>
      </c>
      <c r="O44" s="12"/>
      <c r="P44" s="12"/>
      <c r="Q44" s="12"/>
      <c r="R44" s="26">
        <v>970503</v>
      </c>
      <c r="S44" s="9">
        <v>0.84699999999999998</v>
      </c>
      <c r="T44" s="8">
        <f t="shared" si="17"/>
        <v>1145812.2786304604</v>
      </c>
      <c r="U44" s="133">
        <f t="shared" si="18"/>
        <v>99.911040071715831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1:42" s="133" customFormat="1" x14ac:dyDescent="0.25">
      <c r="A45" s="2" t="s">
        <v>30</v>
      </c>
      <c r="B45" s="3" t="s">
        <v>13</v>
      </c>
      <c r="C45" s="3">
        <v>1975</v>
      </c>
      <c r="D45" s="3"/>
      <c r="E45" s="3"/>
      <c r="F45" s="3"/>
      <c r="G45" s="4">
        <v>40.177692999999998</v>
      </c>
      <c r="H45" s="4">
        <v>-74.012660999999994</v>
      </c>
      <c r="I45" s="5" t="s">
        <v>14</v>
      </c>
      <c r="J45" s="5" t="s">
        <v>14</v>
      </c>
      <c r="K45" s="6"/>
      <c r="L45" s="12"/>
      <c r="M45" s="7">
        <v>20000</v>
      </c>
      <c r="N45" s="12">
        <f t="shared" ref="N45:N59" si="19">M45*0.764555</f>
        <v>15291.1</v>
      </c>
      <c r="O45" s="12"/>
      <c r="P45" s="12"/>
      <c r="Q45" s="12"/>
      <c r="R45" s="13"/>
      <c r="S45" s="9">
        <v>0.22600000000000001</v>
      </c>
      <c r="T45" s="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spans="1:42" s="133" customFormat="1" x14ac:dyDescent="0.25">
      <c r="A46" s="2" t="s">
        <v>30</v>
      </c>
      <c r="B46" s="3" t="s">
        <v>13</v>
      </c>
      <c r="C46" s="3">
        <v>1970</v>
      </c>
      <c r="D46" s="3"/>
      <c r="E46" s="3"/>
      <c r="F46" s="3"/>
      <c r="G46" s="4">
        <v>40.177692999999998</v>
      </c>
      <c r="H46" s="4">
        <v>-74.012660999999994</v>
      </c>
      <c r="I46" s="5" t="s">
        <v>14</v>
      </c>
      <c r="J46" s="5" t="s">
        <v>14</v>
      </c>
      <c r="K46" s="6"/>
      <c r="L46" s="12"/>
      <c r="M46" s="7">
        <v>26026</v>
      </c>
      <c r="N46" s="12">
        <f t="shared" si="19"/>
        <v>19898.308430000001</v>
      </c>
      <c r="O46" s="12"/>
      <c r="P46" s="12"/>
      <c r="Q46" s="12"/>
      <c r="R46" s="13"/>
      <c r="S46" s="9">
        <v>0.16300000000000001</v>
      </c>
      <c r="T46" s="8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 spans="1:42" s="133" customFormat="1" x14ac:dyDescent="0.25">
      <c r="A47" s="2" t="s">
        <v>30</v>
      </c>
      <c r="B47" s="3" t="s">
        <v>13</v>
      </c>
      <c r="C47" s="3">
        <v>1967</v>
      </c>
      <c r="D47" s="3"/>
      <c r="E47" s="3"/>
      <c r="F47" s="3"/>
      <c r="G47" s="4">
        <v>40.177692999999998</v>
      </c>
      <c r="H47" s="4">
        <v>-74.012660999999994</v>
      </c>
      <c r="I47" s="5" t="s">
        <v>14</v>
      </c>
      <c r="J47" s="5" t="s">
        <v>14</v>
      </c>
      <c r="K47" s="6"/>
      <c r="L47" s="12"/>
      <c r="M47" s="7">
        <v>45000</v>
      </c>
      <c r="N47" s="12">
        <f t="shared" si="19"/>
        <v>34404.974999999999</v>
      </c>
      <c r="O47" s="12"/>
      <c r="P47" s="12"/>
      <c r="Q47" s="12"/>
      <c r="R47" s="13"/>
      <c r="S47" s="9">
        <v>0.14000000000000001</v>
      </c>
      <c r="T47" s="8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spans="1:42" s="133" customFormat="1" x14ac:dyDescent="0.25">
      <c r="A48" s="2" t="s">
        <v>32</v>
      </c>
      <c r="B48" s="3" t="s">
        <v>13</v>
      </c>
      <c r="C48" s="3">
        <v>1972</v>
      </c>
      <c r="D48" s="3"/>
      <c r="E48" s="3"/>
      <c r="F48" s="3"/>
      <c r="G48" s="4">
        <v>40.164707</v>
      </c>
      <c r="H48" s="4">
        <v>-74.017639000000003</v>
      </c>
      <c r="I48" s="5" t="s">
        <v>14</v>
      </c>
      <c r="J48" s="5" t="s">
        <v>14</v>
      </c>
      <c r="K48" s="6"/>
      <c r="L48" s="12"/>
      <c r="M48" s="7">
        <v>40000</v>
      </c>
      <c r="N48" s="12">
        <f t="shared" si="19"/>
        <v>30582.2</v>
      </c>
      <c r="O48" s="12"/>
      <c r="P48" s="12"/>
      <c r="Q48" s="12"/>
      <c r="R48" s="13"/>
      <c r="S48" s="9">
        <v>0.17499999999999999</v>
      </c>
      <c r="T48" s="8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 spans="1:42" s="133" customFormat="1" x14ac:dyDescent="0.25">
      <c r="A49" s="2" t="s">
        <v>32</v>
      </c>
      <c r="B49" s="3" t="s">
        <v>13</v>
      </c>
      <c r="C49" s="3">
        <v>1994</v>
      </c>
      <c r="D49" s="3"/>
      <c r="E49" s="3"/>
      <c r="F49" s="3"/>
      <c r="G49" s="4">
        <v>40.164707</v>
      </c>
      <c r="H49" s="4">
        <v>-74.017639000000003</v>
      </c>
      <c r="I49" s="14" t="s">
        <v>1</v>
      </c>
      <c r="J49" s="5" t="s">
        <v>14</v>
      </c>
      <c r="K49" s="6"/>
      <c r="L49" s="12"/>
      <c r="M49" s="7">
        <v>70000</v>
      </c>
      <c r="N49" s="12">
        <f t="shared" si="19"/>
        <v>53518.85</v>
      </c>
      <c r="O49" s="12"/>
      <c r="P49" s="12"/>
      <c r="Q49" s="12"/>
      <c r="R49" s="13"/>
      <c r="S49" s="9">
        <v>0.621</v>
      </c>
      <c r="T49" s="8"/>
      <c r="Y49" s="10"/>
      <c r="Z49" s="10"/>
      <c r="AA49" s="10"/>
      <c r="AB49" s="10"/>
      <c r="AC49" s="10"/>
      <c r="AD49" s="10"/>
      <c r="AE49" s="10"/>
      <c r="AF49" s="10"/>
      <c r="AG49" s="10"/>
      <c r="AH49" s="16"/>
      <c r="AI49" s="16"/>
      <c r="AJ49" s="16"/>
      <c r="AK49" s="16"/>
      <c r="AL49" s="16"/>
      <c r="AM49" s="16"/>
      <c r="AN49" s="16"/>
      <c r="AO49" s="16"/>
      <c r="AP49" s="16"/>
    </row>
    <row r="50" spans="1:42" s="133" customFormat="1" x14ac:dyDescent="0.25">
      <c r="A50" s="29" t="s">
        <v>32</v>
      </c>
      <c r="B50" s="34" t="s">
        <v>13</v>
      </c>
      <c r="C50" s="34">
        <v>1994</v>
      </c>
      <c r="D50" s="34"/>
      <c r="E50" s="34"/>
      <c r="F50" s="34"/>
      <c r="G50" s="22">
        <v>40.150143999999997</v>
      </c>
      <c r="H50" s="22">
        <v>-74.022302999999994</v>
      </c>
      <c r="I50" s="14" t="s">
        <v>1</v>
      </c>
      <c r="J50" s="18" t="s">
        <v>14</v>
      </c>
      <c r="K50" s="25">
        <v>1180</v>
      </c>
      <c r="L50" s="12">
        <f>K50*0.3048</f>
        <v>359.66400000000004</v>
      </c>
      <c r="M50" s="25">
        <v>70000</v>
      </c>
      <c r="N50" s="12">
        <f t="shared" si="19"/>
        <v>53518.85</v>
      </c>
      <c r="O50" s="12"/>
      <c r="P50" s="12">
        <f>N50/L50</f>
        <v>148.80235441968057</v>
      </c>
      <c r="Q50" s="12">
        <f>P50/10</f>
        <v>14.880235441968058</v>
      </c>
      <c r="R50" s="26">
        <v>347199</v>
      </c>
      <c r="S50" s="9">
        <v>0.621</v>
      </c>
      <c r="T50" s="26">
        <f t="shared" ref="T50:T59" si="20">+R50/S50</f>
        <v>559096.61835748795</v>
      </c>
      <c r="U50" s="133">
        <f t="shared" ref="U50:U51" si="21">T50/N50</f>
        <v>10.446723320054298</v>
      </c>
      <c r="Y50" s="46"/>
      <c r="Z50" s="46"/>
      <c r="AA50" s="46"/>
      <c r="AB50" s="10"/>
      <c r="AC50" s="10"/>
      <c r="AD50" s="10"/>
      <c r="AE50" s="10"/>
      <c r="AF50" s="10"/>
      <c r="AG50" s="10"/>
      <c r="AH50" s="16"/>
      <c r="AI50" s="16"/>
      <c r="AJ50" s="16"/>
      <c r="AK50" s="16"/>
      <c r="AL50" s="16"/>
      <c r="AM50" s="16"/>
      <c r="AN50" s="16"/>
      <c r="AO50" s="16"/>
      <c r="AP50" s="16"/>
    </row>
    <row r="51" spans="1:42" s="133" customFormat="1" ht="25" x14ac:dyDescent="0.25">
      <c r="A51" s="87" t="s">
        <v>81</v>
      </c>
      <c r="B51" s="75" t="s">
        <v>13</v>
      </c>
      <c r="C51" s="76">
        <v>1999</v>
      </c>
      <c r="D51" s="76"/>
      <c r="E51" s="76"/>
      <c r="F51" s="76"/>
      <c r="G51" s="77">
        <v>40.150143999999997</v>
      </c>
      <c r="H51" s="77">
        <v>-74.022302999999994</v>
      </c>
      <c r="I51" s="78" t="s">
        <v>15</v>
      </c>
      <c r="J51" s="78" t="s">
        <v>16</v>
      </c>
      <c r="K51" s="79">
        <v>31152</v>
      </c>
      <c r="L51" s="12">
        <f>K51*0.3048</f>
        <v>9495.1296000000002</v>
      </c>
      <c r="M51" s="79">
        <v>4100000</v>
      </c>
      <c r="N51" s="12">
        <f t="shared" si="19"/>
        <v>3134675.5</v>
      </c>
      <c r="O51" s="12"/>
      <c r="P51" s="12">
        <f>N51/L51</f>
        <v>330.1350936800273</v>
      </c>
      <c r="Q51" s="12">
        <f>P51/10</f>
        <v>33.01350936800273</v>
      </c>
      <c r="R51" s="86">
        <v>44615384</v>
      </c>
      <c r="S51" s="81">
        <v>0.69899999999999995</v>
      </c>
      <c r="T51" s="82">
        <f t="shared" si="20"/>
        <v>63827444.921316169</v>
      </c>
      <c r="U51" s="133">
        <f t="shared" si="21"/>
        <v>20.361739172464954</v>
      </c>
      <c r="Y51" s="10"/>
      <c r="Z51" s="10"/>
      <c r="AA51" s="10"/>
      <c r="AB51" s="10"/>
      <c r="AC51" s="10"/>
      <c r="AD51" s="10"/>
      <c r="AE51" s="10"/>
      <c r="AF51" s="10"/>
      <c r="AG51" s="10"/>
      <c r="AH51" s="16"/>
      <c r="AI51" s="16"/>
      <c r="AJ51" s="16"/>
      <c r="AK51" s="16"/>
      <c r="AL51" s="16"/>
      <c r="AM51" s="16"/>
      <c r="AN51" s="16"/>
      <c r="AO51" s="16"/>
      <c r="AP51" s="16"/>
    </row>
    <row r="52" spans="1:42" s="133" customFormat="1" x14ac:dyDescent="0.25">
      <c r="A52" s="2" t="s">
        <v>94</v>
      </c>
      <c r="B52" s="3" t="s">
        <v>13</v>
      </c>
      <c r="C52" s="3">
        <v>1959</v>
      </c>
      <c r="D52" s="3"/>
      <c r="E52" s="3"/>
      <c r="F52" s="3"/>
      <c r="G52" s="22">
        <v>40.150143999999997</v>
      </c>
      <c r="H52" s="22">
        <v>-74.022302999999994</v>
      </c>
      <c r="I52" s="14" t="s">
        <v>15</v>
      </c>
      <c r="J52" s="14" t="s">
        <v>17</v>
      </c>
      <c r="K52" s="6"/>
      <c r="L52" s="12"/>
      <c r="M52" s="7">
        <v>2000</v>
      </c>
      <c r="N52" s="12">
        <f t="shared" si="19"/>
        <v>1529.11</v>
      </c>
      <c r="O52" s="12"/>
      <c r="P52" s="12"/>
      <c r="Q52" s="12"/>
      <c r="R52" s="13"/>
      <c r="S52" s="9">
        <v>0.122</v>
      </c>
      <c r="T52" s="8"/>
      <c r="Y52" s="10"/>
      <c r="Z52" s="10"/>
      <c r="AA52" s="10"/>
      <c r="AB52" s="10"/>
      <c r="AC52" s="10"/>
      <c r="AD52" s="10"/>
      <c r="AE52" s="10"/>
      <c r="AF52" s="10"/>
      <c r="AG52" s="10"/>
      <c r="AH52" s="16"/>
      <c r="AI52" s="16"/>
      <c r="AJ52" s="16"/>
      <c r="AK52" s="16"/>
      <c r="AL52" s="16"/>
      <c r="AM52" s="16"/>
      <c r="AN52" s="16"/>
      <c r="AO52" s="16"/>
      <c r="AP52" s="16"/>
    </row>
    <row r="53" spans="1:42" s="133" customFormat="1" x14ac:dyDescent="0.25">
      <c r="A53" s="2" t="s">
        <v>94</v>
      </c>
      <c r="B53" s="3" t="s">
        <v>13</v>
      </c>
      <c r="C53" s="3">
        <v>1970</v>
      </c>
      <c r="D53" s="3"/>
      <c r="E53" s="3"/>
      <c r="F53" s="3"/>
      <c r="G53" s="22">
        <v>40.150143999999997</v>
      </c>
      <c r="H53" s="22">
        <v>-74.022302999999994</v>
      </c>
      <c r="I53" s="5" t="s">
        <v>14</v>
      </c>
      <c r="J53" s="5" t="s">
        <v>14</v>
      </c>
      <c r="K53" s="6"/>
      <c r="L53" s="12"/>
      <c r="M53" s="7">
        <v>55000</v>
      </c>
      <c r="N53" s="12">
        <f t="shared" si="19"/>
        <v>42050.525000000001</v>
      </c>
      <c r="O53" s="12"/>
      <c r="P53" s="12"/>
      <c r="Q53" s="12"/>
      <c r="R53" s="13"/>
      <c r="S53" s="9">
        <v>0.16300000000000001</v>
      </c>
      <c r="T53" s="8"/>
      <c r="Y53" s="10"/>
      <c r="Z53" s="10"/>
      <c r="AA53" s="10"/>
      <c r="AB53" s="10"/>
      <c r="AC53" s="10"/>
      <c r="AD53" s="10"/>
      <c r="AE53" s="10"/>
      <c r="AF53" s="10"/>
      <c r="AG53" s="10"/>
      <c r="AH53" s="16"/>
      <c r="AI53" s="16"/>
      <c r="AJ53" s="16"/>
      <c r="AK53" s="16"/>
      <c r="AL53" s="16"/>
      <c r="AM53" s="16"/>
      <c r="AN53" s="16"/>
      <c r="AO53" s="16"/>
      <c r="AP53" s="16"/>
    </row>
    <row r="54" spans="1:42" s="133" customFormat="1" x14ac:dyDescent="0.25">
      <c r="A54" s="2" t="s">
        <v>94</v>
      </c>
      <c r="B54" s="3" t="s">
        <v>13</v>
      </c>
      <c r="C54" s="3">
        <v>1969</v>
      </c>
      <c r="D54" s="3"/>
      <c r="E54" s="3"/>
      <c r="F54" s="3"/>
      <c r="G54" s="22">
        <v>40.150143999999997</v>
      </c>
      <c r="H54" s="22">
        <v>-74.022302999999994</v>
      </c>
      <c r="I54" s="14" t="s">
        <v>1</v>
      </c>
      <c r="J54" s="5" t="s">
        <v>14</v>
      </c>
      <c r="K54" s="6"/>
      <c r="L54" s="12"/>
      <c r="M54" s="7">
        <v>93600</v>
      </c>
      <c r="N54" s="12">
        <f t="shared" si="19"/>
        <v>71562.347999999998</v>
      </c>
      <c r="O54" s="12"/>
      <c r="P54" s="12"/>
      <c r="Q54" s="12"/>
      <c r="R54" s="8">
        <v>112728</v>
      </c>
      <c r="S54" s="9">
        <v>0.154</v>
      </c>
      <c r="T54" s="8">
        <f t="shared" si="20"/>
        <v>732000</v>
      </c>
      <c r="U54" s="133">
        <f t="shared" ref="U54:U55" si="22">T54/N54</f>
        <v>10.228842686939227</v>
      </c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s="133" customFormat="1" ht="25" x14ac:dyDescent="0.25">
      <c r="A55" s="57" t="s">
        <v>81</v>
      </c>
      <c r="B55" s="75" t="s">
        <v>13</v>
      </c>
      <c r="C55" s="83">
        <v>2014</v>
      </c>
      <c r="D55" s="83"/>
      <c r="E55" s="83"/>
      <c r="F55" s="83"/>
      <c r="G55" s="77">
        <v>40.150143999999997</v>
      </c>
      <c r="H55" s="77">
        <v>-74.022302999999994</v>
      </c>
      <c r="I55" s="84" t="s">
        <v>15</v>
      </c>
      <c r="J55" s="77" t="s">
        <v>17</v>
      </c>
      <c r="K55" s="79">
        <v>31152</v>
      </c>
      <c r="L55" s="12">
        <f>K55*0.3048</f>
        <v>9495.1296000000002</v>
      </c>
      <c r="M55" s="79">
        <v>1500000</v>
      </c>
      <c r="N55" s="12">
        <f t="shared" si="19"/>
        <v>1146832.5</v>
      </c>
      <c r="O55" s="12"/>
      <c r="P55" s="12">
        <f>N55/L55</f>
        <v>120.78113183415633</v>
      </c>
      <c r="Q55" s="192">
        <f>P55/10</f>
        <v>12.078113183415633</v>
      </c>
      <c r="R55" s="86">
        <v>25300000</v>
      </c>
      <c r="S55" s="81">
        <v>0.99399999999999999</v>
      </c>
      <c r="T55" s="82">
        <f t="shared" si="20"/>
        <v>25452716.29778672</v>
      </c>
      <c r="U55" s="133">
        <f t="shared" si="22"/>
        <v>22.193926574095798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 s="133" customFormat="1" x14ac:dyDescent="0.25">
      <c r="A56" s="2" t="s">
        <v>88</v>
      </c>
      <c r="B56" s="3" t="s">
        <v>13</v>
      </c>
      <c r="C56" s="3">
        <v>1962</v>
      </c>
      <c r="D56" s="3"/>
      <c r="E56" s="3"/>
      <c r="F56" s="3"/>
      <c r="G56" s="4">
        <v>40.128819</v>
      </c>
      <c r="H56" s="4">
        <v>-74.029498000000004</v>
      </c>
      <c r="I56" s="5" t="s">
        <v>14</v>
      </c>
      <c r="J56" s="5" t="s">
        <v>14</v>
      </c>
      <c r="K56" s="6"/>
      <c r="L56" s="12"/>
      <c r="M56" s="7">
        <v>46300</v>
      </c>
      <c r="N56" s="12">
        <f t="shared" si="19"/>
        <v>35398.896500000003</v>
      </c>
      <c r="O56" s="12"/>
      <c r="P56" s="12"/>
      <c r="Q56" s="12"/>
      <c r="R56" s="13"/>
      <c r="S56" s="9">
        <v>0.127</v>
      </c>
      <c r="T56" s="8"/>
      <c r="Y56" s="10"/>
      <c r="Z56" s="10"/>
      <c r="AA56" s="10"/>
      <c r="AB56" s="10"/>
      <c r="AC56" s="10"/>
      <c r="AD56" s="10"/>
      <c r="AE56" s="10"/>
      <c r="AF56" s="10"/>
      <c r="AG56" s="10"/>
      <c r="AH56" s="16"/>
      <c r="AI56" s="16"/>
      <c r="AJ56" s="16"/>
      <c r="AK56" s="16"/>
      <c r="AL56" s="16"/>
      <c r="AM56" s="16"/>
      <c r="AN56" s="16"/>
      <c r="AO56" s="16"/>
      <c r="AP56" s="16"/>
    </row>
    <row r="57" spans="1:42" s="133" customFormat="1" x14ac:dyDescent="0.25">
      <c r="A57" s="2" t="s">
        <v>88</v>
      </c>
      <c r="B57" s="3" t="s">
        <v>13</v>
      </c>
      <c r="C57" s="3">
        <v>1978</v>
      </c>
      <c r="D57" s="3"/>
      <c r="E57" s="3"/>
      <c r="F57" s="3"/>
      <c r="G57" s="4">
        <v>40.128819</v>
      </c>
      <c r="H57" s="4">
        <v>-74.029498000000004</v>
      </c>
      <c r="I57" s="14" t="s">
        <v>15</v>
      </c>
      <c r="J57" s="14" t="s">
        <v>17</v>
      </c>
      <c r="K57" s="6"/>
      <c r="L57" s="12"/>
      <c r="M57" s="7">
        <v>60744</v>
      </c>
      <c r="N57" s="12">
        <f t="shared" si="19"/>
        <v>46442.128919999996</v>
      </c>
      <c r="O57" s="12"/>
      <c r="P57" s="12"/>
      <c r="Q57" s="12"/>
      <c r="R57" s="13"/>
      <c r="S57" s="9">
        <v>0.27400000000000002</v>
      </c>
      <c r="T57" s="8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s="133" customFormat="1" x14ac:dyDescent="0.25">
      <c r="A58" s="2" t="s">
        <v>88</v>
      </c>
      <c r="B58" s="3" t="s">
        <v>13</v>
      </c>
      <c r="C58" s="3">
        <v>1966</v>
      </c>
      <c r="D58" s="3"/>
      <c r="E58" s="3"/>
      <c r="F58" s="3"/>
      <c r="G58" s="4">
        <v>40.128819</v>
      </c>
      <c r="H58" s="4">
        <v>-74.029498000000004</v>
      </c>
      <c r="I58" s="14" t="s">
        <v>15</v>
      </c>
      <c r="J58" s="5" t="s">
        <v>14</v>
      </c>
      <c r="K58" s="6"/>
      <c r="L58" s="12"/>
      <c r="M58" s="7">
        <v>250000</v>
      </c>
      <c r="N58" s="12">
        <f t="shared" si="19"/>
        <v>191138.75</v>
      </c>
      <c r="O58" s="12"/>
      <c r="P58" s="12"/>
      <c r="Q58" s="12"/>
      <c r="R58" s="13"/>
      <c r="S58" s="9">
        <v>0.13600000000000001</v>
      </c>
      <c r="T58" s="8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s="133" customFormat="1" x14ac:dyDescent="0.25">
      <c r="A59" s="2" t="s">
        <v>88</v>
      </c>
      <c r="B59" s="3" t="s">
        <v>13</v>
      </c>
      <c r="C59" s="3">
        <v>1966</v>
      </c>
      <c r="D59" s="3"/>
      <c r="E59" s="3"/>
      <c r="F59" s="3"/>
      <c r="G59" s="4">
        <v>40.128819</v>
      </c>
      <c r="H59" s="4">
        <v>-74.029498000000004</v>
      </c>
      <c r="I59" s="14" t="s">
        <v>15</v>
      </c>
      <c r="J59" s="14" t="s">
        <v>16</v>
      </c>
      <c r="K59" s="6"/>
      <c r="L59" s="12"/>
      <c r="M59" s="7">
        <v>425211</v>
      </c>
      <c r="N59" s="12">
        <f t="shared" si="19"/>
        <v>325097.19610499998</v>
      </c>
      <c r="O59" s="12"/>
      <c r="P59" s="12"/>
      <c r="Q59" s="12"/>
      <c r="R59" s="8">
        <v>552774</v>
      </c>
      <c r="S59" s="9">
        <v>0.13600000000000001</v>
      </c>
      <c r="T59" s="8">
        <f t="shared" si="20"/>
        <v>4064514.7058823528</v>
      </c>
      <c r="U59" s="133">
        <f>T59/N59</f>
        <v>12.502460047577879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42" s="133" customFormat="1" x14ac:dyDescent="0.25">
      <c r="A60" s="164" t="s">
        <v>171</v>
      </c>
      <c r="C60" s="139">
        <v>1964</v>
      </c>
      <c r="D60" s="139"/>
      <c r="G60" s="139"/>
      <c r="M60" s="140">
        <v>190000</v>
      </c>
      <c r="N60" s="12">
        <f t="shared" ref="N60:N65" si="23">M60*0.764555</f>
        <v>145265.44999999998</v>
      </c>
      <c r="O60" s="12"/>
      <c r="R60" s="139"/>
      <c r="S60" s="9">
        <v>0.13</v>
      </c>
    </row>
    <row r="61" spans="1:42" s="133" customFormat="1" x14ac:dyDescent="0.25">
      <c r="A61" s="164" t="s">
        <v>171</v>
      </c>
      <c r="C61" s="139">
        <v>1963</v>
      </c>
      <c r="D61" s="139"/>
      <c r="G61" s="139"/>
      <c r="M61" s="140">
        <v>136400</v>
      </c>
      <c r="N61" s="12">
        <f t="shared" si="23"/>
        <v>104285.302</v>
      </c>
      <c r="O61" s="12"/>
      <c r="R61" s="141">
        <v>99443</v>
      </c>
      <c r="S61" s="9">
        <v>0.129</v>
      </c>
      <c r="T61" s="8">
        <f t="shared" ref="T61:T66" si="24">+R61/S61</f>
        <v>770875.96899224806</v>
      </c>
      <c r="U61" s="133">
        <f t="shared" ref="U61:U64" si="25">T61/N61</f>
        <v>7.3919905701787973</v>
      </c>
    </row>
    <row r="62" spans="1:42" s="133" customFormat="1" x14ac:dyDescent="0.25">
      <c r="A62" s="164" t="s">
        <v>171</v>
      </c>
      <c r="C62" s="139">
        <v>1963</v>
      </c>
      <c r="D62" s="139"/>
      <c r="G62" s="139"/>
      <c r="M62" s="140">
        <v>538000</v>
      </c>
      <c r="N62" s="12">
        <f t="shared" si="23"/>
        <v>411330.58999999997</v>
      </c>
      <c r="O62" s="12"/>
      <c r="R62" s="141">
        <v>217551</v>
      </c>
      <c r="S62" s="9">
        <v>0.129</v>
      </c>
      <c r="T62" s="8">
        <f t="shared" si="24"/>
        <v>1686441.8604651163</v>
      </c>
      <c r="U62" s="133">
        <f t="shared" si="25"/>
        <v>4.099967037377688</v>
      </c>
    </row>
    <row r="63" spans="1:42" s="133" customFormat="1" x14ac:dyDescent="0.25">
      <c r="A63" s="164" t="s">
        <v>171</v>
      </c>
      <c r="C63" s="139">
        <v>1963</v>
      </c>
      <c r="D63" s="139"/>
      <c r="G63" s="139"/>
      <c r="M63" s="140">
        <v>218284</v>
      </c>
      <c r="N63" s="12">
        <f t="shared" si="23"/>
        <v>166890.12362</v>
      </c>
      <c r="O63" s="12"/>
      <c r="R63" s="141">
        <v>154498</v>
      </c>
      <c r="S63" s="9">
        <v>0.129</v>
      </c>
      <c r="T63" s="8">
        <f t="shared" si="24"/>
        <v>1197658.914728682</v>
      </c>
      <c r="U63" s="133">
        <f t="shared" si="25"/>
        <v>7.1763318808229073</v>
      </c>
    </row>
    <row r="64" spans="1:42" s="133" customFormat="1" x14ac:dyDescent="0.25">
      <c r="A64" s="57" t="s">
        <v>165</v>
      </c>
      <c r="B64" s="75"/>
      <c r="C64" s="83">
        <v>2019</v>
      </c>
      <c r="D64" s="83"/>
      <c r="E64" s="83"/>
      <c r="F64" s="83"/>
      <c r="G64" s="77"/>
      <c r="H64" s="77"/>
      <c r="I64" s="84"/>
      <c r="J64" s="77"/>
      <c r="K64" s="140">
        <v>73920</v>
      </c>
      <c r="L64" s="12">
        <f>K64*0.3048</f>
        <v>22530.816000000003</v>
      </c>
      <c r="M64" s="140">
        <v>10000000</v>
      </c>
      <c r="N64" s="12">
        <f>M64*0.764555</f>
        <v>7645550</v>
      </c>
      <c r="O64" s="12"/>
      <c r="P64" s="12">
        <f>N64/22153.4</f>
        <v>345.11858224922582</v>
      </c>
      <c r="Q64" s="192">
        <f>P64/10</f>
        <v>34.511858224922584</v>
      </c>
      <c r="R64" s="86">
        <v>130000000</v>
      </c>
      <c r="S64" s="81">
        <v>1.07</v>
      </c>
      <c r="T64" s="8">
        <f t="shared" si="24"/>
        <v>121495327.10280374</v>
      </c>
      <c r="U64" s="133">
        <f t="shared" si="25"/>
        <v>15.890985881042402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spans="1:42" s="133" customFormat="1" x14ac:dyDescent="0.25">
      <c r="A65" s="164" t="s">
        <v>171</v>
      </c>
      <c r="C65" s="139">
        <v>1962</v>
      </c>
      <c r="D65" s="139"/>
      <c r="G65" s="139"/>
      <c r="M65" s="140">
        <v>15000</v>
      </c>
      <c r="N65" s="12">
        <f t="shared" si="23"/>
        <v>11468.324999999999</v>
      </c>
      <c r="O65" s="12"/>
      <c r="R65" s="141">
        <v>18300</v>
      </c>
      <c r="S65" s="9">
        <v>0.127</v>
      </c>
      <c r="T65" s="8">
        <f t="shared" si="24"/>
        <v>144094.48818897636</v>
      </c>
      <c r="U65" s="133">
        <f>T65/N65</f>
        <v>12.564562670571018</v>
      </c>
    </row>
    <row r="66" spans="1:42" s="133" customFormat="1" x14ac:dyDescent="0.25">
      <c r="A66" s="2" t="s">
        <v>48</v>
      </c>
      <c r="B66" s="3" t="s">
        <v>13</v>
      </c>
      <c r="C66" s="3">
        <v>1963</v>
      </c>
      <c r="D66" s="3"/>
      <c r="E66" s="3"/>
      <c r="F66" s="3"/>
      <c r="G66" s="4">
        <v>39.970492999999998</v>
      </c>
      <c r="H66" s="4">
        <v>-74.065467999999996</v>
      </c>
      <c r="I66" s="14" t="s">
        <v>15</v>
      </c>
      <c r="J66" s="14" t="s">
        <v>17</v>
      </c>
      <c r="K66" s="6"/>
      <c r="L66" s="12"/>
      <c r="M66" s="7">
        <v>190000</v>
      </c>
      <c r="N66" s="12">
        <f t="shared" ref="N66:N79" si="26">M66*0.764555</f>
        <v>145265.44999999998</v>
      </c>
      <c r="O66" s="12"/>
      <c r="R66" s="8">
        <v>186225</v>
      </c>
      <c r="S66" s="9">
        <v>0.129</v>
      </c>
      <c r="T66" s="8">
        <f t="shared" si="24"/>
        <v>1443604.6511627906</v>
      </c>
      <c r="U66" s="133">
        <f>T66/N66</f>
        <v>9.9377012989860347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s="133" customFormat="1" x14ac:dyDescent="0.25">
      <c r="A67" s="2" t="s">
        <v>48</v>
      </c>
      <c r="B67" s="3" t="s">
        <v>13</v>
      </c>
      <c r="C67" s="3">
        <v>1953</v>
      </c>
      <c r="D67" s="3"/>
      <c r="E67" s="3"/>
      <c r="F67" s="3"/>
      <c r="G67" s="4">
        <v>39.970492999999998</v>
      </c>
      <c r="H67" s="4">
        <v>-74.065467999999996</v>
      </c>
      <c r="I67" s="5" t="s">
        <v>14</v>
      </c>
      <c r="J67" s="5" t="s">
        <v>14</v>
      </c>
      <c r="K67" s="6"/>
      <c r="L67" s="12"/>
      <c r="M67" s="7">
        <v>200000</v>
      </c>
      <c r="N67" s="12">
        <f t="shared" si="26"/>
        <v>152911</v>
      </c>
      <c r="O67" s="12"/>
      <c r="R67" s="13"/>
      <c r="S67" s="20">
        <v>0.112</v>
      </c>
      <c r="T67" s="8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s="133" customFormat="1" x14ac:dyDescent="0.25">
      <c r="A68" s="2" t="s">
        <v>48</v>
      </c>
      <c r="B68" s="3" t="s">
        <v>13</v>
      </c>
      <c r="C68" s="3">
        <v>1962</v>
      </c>
      <c r="D68" s="3"/>
      <c r="E68" s="3"/>
      <c r="F68" s="3"/>
      <c r="G68" s="4">
        <v>39.970492999999998</v>
      </c>
      <c r="H68" s="4">
        <v>-74.065467999999996</v>
      </c>
      <c r="I68" s="5" t="s">
        <v>14</v>
      </c>
      <c r="J68" s="5" t="s">
        <v>14</v>
      </c>
      <c r="K68" s="6"/>
      <c r="L68" s="12"/>
      <c r="M68" s="7">
        <v>320631</v>
      </c>
      <c r="N68" s="12">
        <f t="shared" si="26"/>
        <v>245140.034205</v>
      </c>
      <c r="O68" s="12"/>
      <c r="R68" s="13"/>
      <c r="S68" s="9">
        <v>0.127</v>
      </c>
      <c r="T68" s="8"/>
      <c r="Y68" s="10"/>
      <c r="Z68" s="10"/>
      <c r="AA68" s="10"/>
      <c r="AB68" s="10"/>
      <c r="AC68" s="10"/>
      <c r="AD68" s="10"/>
      <c r="AE68" s="10"/>
      <c r="AF68" s="10"/>
      <c r="AG68" s="10"/>
      <c r="AH68" s="16"/>
      <c r="AI68" s="16"/>
      <c r="AJ68" s="16"/>
      <c r="AK68" s="16"/>
      <c r="AL68" s="16"/>
      <c r="AM68" s="16"/>
      <c r="AN68" s="16"/>
      <c r="AO68" s="16"/>
      <c r="AP68" s="16"/>
    </row>
    <row r="69" spans="1:42" s="133" customFormat="1" x14ac:dyDescent="0.25">
      <c r="A69" s="164" t="s">
        <v>167</v>
      </c>
      <c r="C69" s="161">
        <v>1968</v>
      </c>
      <c r="M69" s="162">
        <v>65000</v>
      </c>
      <c r="N69" s="163">
        <f t="shared" si="26"/>
        <v>49696.074999999997</v>
      </c>
      <c r="O69" s="163"/>
      <c r="R69" s="133">
        <v>71566</v>
      </c>
      <c r="S69" s="9">
        <v>0.14599999999999999</v>
      </c>
      <c r="T69" s="8">
        <f>+R69/S69</f>
        <v>490178.08219178085</v>
      </c>
      <c r="U69" s="133">
        <f>T69/N69</f>
        <v>9.8635170321153307</v>
      </c>
    </row>
    <row r="70" spans="1:42" s="133" customFormat="1" x14ac:dyDescent="0.25">
      <c r="A70" s="164" t="s">
        <v>167</v>
      </c>
      <c r="C70" s="161">
        <v>1966</v>
      </c>
      <c r="M70" s="162">
        <v>31240</v>
      </c>
      <c r="N70" s="163">
        <f t="shared" si="26"/>
        <v>23884.698199999999</v>
      </c>
      <c r="O70" s="163"/>
      <c r="S70" s="9">
        <v>0.13600000000000001</v>
      </c>
    </row>
    <row r="71" spans="1:42" s="133" customFormat="1" x14ac:dyDescent="0.25">
      <c r="A71" s="164" t="s">
        <v>167</v>
      </c>
      <c r="C71" s="161">
        <v>1962</v>
      </c>
      <c r="M71" s="162">
        <v>10000</v>
      </c>
      <c r="N71" s="163">
        <f t="shared" si="26"/>
        <v>7645.55</v>
      </c>
      <c r="O71" s="163"/>
      <c r="R71" s="133">
        <v>12628</v>
      </c>
      <c r="S71" s="9">
        <v>0.127</v>
      </c>
      <c r="T71" s="8">
        <f>+R71/S71</f>
        <v>99433.07086614173</v>
      </c>
      <c r="U71" s="133">
        <f>T71/N71</f>
        <v>13.005352246227115</v>
      </c>
    </row>
    <row r="72" spans="1:42" s="133" customFormat="1" x14ac:dyDescent="0.25">
      <c r="A72" s="164" t="s">
        <v>167</v>
      </c>
      <c r="C72" s="161">
        <v>1961</v>
      </c>
      <c r="M72" s="162">
        <v>30000</v>
      </c>
      <c r="N72" s="163">
        <f t="shared" si="26"/>
        <v>22936.649999999998</v>
      </c>
      <c r="O72" s="163"/>
      <c r="S72" s="9">
        <v>0.126</v>
      </c>
    </row>
    <row r="73" spans="1:42" s="133" customFormat="1" x14ac:dyDescent="0.25">
      <c r="A73" s="164" t="s">
        <v>167</v>
      </c>
      <c r="C73" s="161">
        <v>1961</v>
      </c>
      <c r="M73" s="162">
        <v>50000</v>
      </c>
      <c r="N73" s="163">
        <f t="shared" si="26"/>
        <v>38227.75</v>
      </c>
      <c r="O73" s="163"/>
      <c r="S73" s="9">
        <v>0.126</v>
      </c>
    </row>
    <row r="74" spans="1:42" s="133" customFormat="1" x14ac:dyDescent="0.25">
      <c r="A74" s="164" t="s">
        <v>167</v>
      </c>
      <c r="C74" s="133">
        <v>1963</v>
      </c>
      <c r="G74" s="133">
        <v>39.940556999999998</v>
      </c>
      <c r="H74" s="133">
        <v>-74.070429000000004</v>
      </c>
      <c r="I74" s="133" t="s">
        <v>14</v>
      </c>
      <c r="J74" s="133" t="s">
        <v>14</v>
      </c>
      <c r="R74" s="133">
        <v>154498</v>
      </c>
      <c r="S74" s="133">
        <v>0.129</v>
      </c>
      <c r="T74" s="133">
        <f>+R74/S74</f>
        <v>1197658.914728682</v>
      </c>
    </row>
    <row r="75" spans="1:42" s="133" customFormat="1" x14ac:dyDescent="0.25">
      <c r="A75" s="2" t="s">
        <v>90</v>
      </c>
      <c r="B75" s="3" t="s">
        <v>13</v>
      </c>
      <c r="C75" s="3">
        <v>1963</v>
      </c>
      <c r="D75" s="3"/>
      <c r="E75" s="3"/>
      <c r="F75" s="3"/>
      <c r="G75" s="4">
        <v>39.924416000000001</v>
      </c>
      <c r="H75" s="4">
        <v>-74.074387999999999</v>
      </c>
      <c r="I75" s="14" t="s">
        <v>15</v>
      </c>
      <c r="J75" s="14" t="s">
        <v>17</v>
      </c>
      <c r="K75" s="6"/>
      <c r="L75" s="12"/>
      <c r="M75" s="7">
        <v>136400</v>
      </c>
      <c r="N75" s="12">
        <f t="shared" si="26"/>
        <v>104285.302</v>
      </c>
      <c r="O75" s="12"/>
      <c r="P75" s="12"/>
      <c r="Q75" s="12"/>
      <c r="R75" s="8">
        <v>99443</v>
      </c>
      <c r="S75" s="9">
        <v>0.129</v>
      </c>
      <c r="T75" s="8">
        <f>+R75/S75</f>
        <v>770875.96899224806</v>
      </c>
      <c r="U75" s="133">
        <f>T75/N75</f>
        <v>7.3919905701787973</v>
      </c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s="133" customFormat="1" x14ac:dyDescent="0.25">
      <c r="A76" s="2" t="s">
        <v>90</v>
      </c>
      <c r="B76" s="3" t="s">
        <v>13</v>
      </c>
      <c r="C76" s="3">
        <v>1964</v>
      </c>
      <c r="D76" s="3"/>
      <c r="E76" s="3"/>
      <c r="F76" s="3"/>
      <c r="G76" s="4">
        <v>39.924416000000001</v>
      </c>
      <c r="H76" s="4">
        <v>-74.074387999999999</v>
      </c>
      <c r="I76" s="5" t="s">
        <v>14</v>
      </c>
      <c r="J76" s="5" t="s">
        <v>14</v>
      </c>
      <c r="K76" s="6"/>
      <c r="L76" s="12"/>
      <c r="M76" s="7">
        <v>190000</v>
      </c>
      <c r="N76" s="12">
        <f t="shared" si="26"/>
        <v>145265.44999999998</v>
      </c>
      <c r="O76" s="12"/>
      <c r="P76" s="12"/>
      <c r="Q76" s="12"/>
      <c r="R76" s="13"/>
      <c r="S76" s="9">
        <v>0.13</v>
      </c>
      <c r="T76" s="8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s="133" customFormat="1" x14ac:dyDescent="0.25">
      <c r="A77" s="2" t="s">
        <v>26</v>
      </c>
      <c r="B77" s="3" t="s">
        <v>13</v>
      </c>
      <c r="C77" s="11">
        <v>1963</v>
      </c>
      <c r="D77" s="11"/>
      <c r="E77" s="11"/>
      <c r="F77" s="11"/>
      <c r="G77" s="4">
        <v>39.764626</v>
      </c>
      <c r="H77" s="4">
        <v>-74.105425999999994</v>
      </c>
      <c r="I77" s="5" t="s">
        <v>15</v>
      </c>
      <c r="J77" s="18" t="s">
        <v>17</v>
      </c>
      <c r="K77" s="6"/>
      <c r="L77" s="12">
        <v>2748</v>
      </c>
      <c r="M77" s="12">
        <v>65000</v>
      </c>
      <c r="N77" s="12">
        <f t="shared" si="26"/>
        <v>49696.074999999997</v>
      </c>
      <c r="O77" s="12"/>
      <c r="P77" s="12">
        <f t="shared" ref="P77" si="27">N77/L77</f>
        <v>18.08445232896652</v>
      </c>
      <c r="Q77" s="12">
        <f t="shared" ref="Q77" si="28">P77/10</f>
        <v>1.808445232896652</v>
      </c>
      <c r="R77" s="19">
        <v>71566</v>
      </c>
      <c r="S77" s="9">
        <v>0.129</v>
      </c>
      <c r="T77" s="8">
        <f>+R77/S77</f>
        <v>554775.19379844959</v>
      </c>
      <c r="U77" s="133">
        <f t="shared" ref="U77:U78" si="29">T77/N77</f>
        <v>11.163360361928978</v>
      </c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1:42" s="133" customFormat="1" x14ac:dyDescent="0.25">
      <c r="A78" s="2" t="s">
        <v>26</v>
      </c>
      <c r="B78" s="3" t="s">
        <v>13</v>
      </c>
      <c r="C78" s="3">
        <v>1991</v>
      </c>
      <c r="D78" s="3"/>
      <c r="E78" s="3"/>
      <c r="F78" s="3"/>
      <c r="G78" s="4">
        <v>39.764626</v>
      </c>
      <c r="H78" s="4">
        <v>-74.105425999999994</v>
      </c>
      <c r="I78" s="14" t="s">
        <v>15</v>
      </c>
      <c r="J78" s="5" t="s">
        <v>19</v>
      </c>
      <c r="K78" s="6"/>
      <c r="L78" s="12"/>
      <c r="M78" s="7">
        <v>75000</v>
      </c>
      <c r="N78" s="12">
        <f t="shared" si="26"/>
        <v>57341.625</v>
      </c>
      <c r="O78" s="12"/>
      <c r="P78" s="12"/>
      <c r="Q78" s="12"/>
      <c r="R78" s="8">
        <v>326087</v>
      </c>
      <c r="S78" s="9">
        <v>0.57099999999999995</v>
      </c>
      <c r="T78" s="8">
        <f>+R78/S78</f>
        <v>571080.56042031525</v>
      </c>
      <c r="U78" s="133">
        <f t="shared" si="29"/>
        <v>9.9592671191357987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s="133" customFormat="1" x14ac:dyDescent="0.25">
      <c r="A79" s="2" t="s">
        <v>51</v>
      </c>
      <c r="B79" s="3" t="s">
        <v>13</v>
      </c>
      <c r="C79" s="3">
        <v>1962</v>
      </c>
      <c r="D79" s="3"/>
      <c r="E79" s="3"/>
      <c r="F79" s="3"/>
      <c r="G79" s="4">
        <v>39.764626</v>
      </c>
      <c r="H79" s="4">
        <v>-74.105425999999994</v>
      </c>
      <c r="I79" s="14" t="s">
        <v>1</v>
      </c>
      <c r="J79" s="5" t="s">
        <v>17</v>
      </c>
      <c r="K79" s="6"/>
      <c r="L79" s="12"/>
      <c r="M79" s="7">
        <v>88503</v>
      </c>
      <c r="N79" s="12">
        <f t="shared" si="26"/>
        <v>67665.411164999998</v>
      </c>
      <c r="O79" s="12"/>
      <c r="P79" s="12"/>
      <c r="Q79" s="12"/>
      <c r="R79" s="13"/>
      <c r="S79" s="9">
        <v>0.127</v>
      </c>
      <c r="T79" s="8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s="133" customFormat="1" x14ac:dyDescent="0.25">
      <c r="A80" s="2" t="s">
        <v>166</v>
      </c>
      <c r="B80" s="3"/>
      <c r="C80" s="3">
        <v>2016</v>
      </c>
      <c r="D80" s="3"/>
      <c r="E80" s="3"/>
      <c r="F80" s="3"/>
      <c r="G80" s="4"/>
      <c r="H80" s="4"/>
      <c r="I80" s="14"/>
      <c r="J80" s="5"/>
      <c r="K80" s="6"/>
      <c r="L80" s="12"/>
      <c r="M80" s="7">
        <v>10111917</v>
      </c>
      <c r="N80" s="12">
        <f>M80*0.764555</f>
        <v>7731116.7019349998</v>
      </c>
      <c r="O80" s="12"/>
      <c r="P80" s="12">
        <f>N80/15670</f>
        <v>493.37056170612635</v>
      </c>
      <c r="Q80" s="192">
        <f>P80/10</f>
        <v>49.337056170612634</v>
      </c>
      <c r="R80" s="13">
        <v>162416911</v>
      </c>
      <c r="S80" s="175">
        <v>1</v>
      </c>
      <c r="T80" s="8">
        <f>+R80/S80</f>
        <v>162416911</v>
      </c>
      <c r="U80" s="133">
        <f t="shared" ref="U80:U81" si="30">T80/N80</f>
        <v>21.008208420828666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s="133" customFormat="1" x14ac:dyDescent="0.25">
      <c r="A81" s="2" t="s">
        <v>166</v>
      </c>
      <c r="B81" s="3"/>
      <c r="C81" s="3">
        <v>2018</v>
      </c>
      <c r="D81" s="3"/>
      <c r="E81" s="3"/>
      <c r="F81" s="3"/>
      <c r="G81" s="4"/>
      <c r="H81" s="4"/>
      <c r="I81" s="14"/>
      <c r="J81" s="5"/>
      <c r="K81" s="6"/>
      <c r="L81" s="12"/>
      <c r="M81" s="7">
        <v>2361000</v>
      </c>
      <c r="N81" s="12">
        <f>M81*0.764555</f>
        <v>1805114.355</v>
      </c>
      <c r="O81" s="12"/>
      <c r="P81" s="12">
        <f>N81/15670</f>
        <v>115.1955555201021</v>
      </c>
      <c r="Q81" s="192">
        <f>P81/10</f>
        <v>11.51955555201021</v>
      </c>
      <c r="R81" s="13">
        <v>40147000</v>
      </c>
      <c r="S81" s="9">
        <v>1.0468</v>
      </c>
      <c r="T81" s="8">
        <f>+R81/S81</f>
        <v>38352120.748949178</v>
      </c>
      <c r="U81" s="133">
        <f t="shared" si="30"/>
        <v>21.24636627187488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s="133" customFormat="1" x14ac:dyDescent="0.25">
      <c r="A82" s="29" t="s">
        <v>58</v>
      </c>
      <c r="B82" s="34" t="s">
        <v>13</v>
      </c>
      <c r="C82" s="34">
        <v>1962</v>
      </c>
      <c r="D82" s="34"/>
      <c r="E82" s="34"/>
      <c r="F82" s="34"/>
      <c r="G82" s="22">
        <v>39.723635000000002</v>
      </c>
      <c r="H82" s="22">
        <v>-74.134540999999999</v>
      </c>
      <c r="I82" s="14" t="s">
        <v>1</v>
      </c>
      <c r="J82" s="23" t="s">
        <v>17</v>
      </c>
      <c r="K82" s="6"/>
      <c r="L82" s="12">
        <v>3385</v>
      </c>
      <c r="M82" s="7">
        <v>79348</v>
      </c>
      <c r="N82" s="12">
        <f>M82*0.764555</f>
        <v>60665.91014</v>
      </c>
      <c r="O82" s="12"/>
      <c r="P82" s="12">
        <f t="shared" ref="P82" si="31">N82/L82</f>
        <v>17.921982316100443</v>
      </c>
      <c r="Q82" s="12">
        <f t="shared" ref="Q82" si="32">P82/10</f>
        <v>1.7921982316100444</v>
      </c>
      <c r="R82" s="36"/>
      <c r="S82" s="9">
        <v>0.127</v>
      </c>
      <c r="T82" s="8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s="133" customFormat="1" x14ac:dyDescent="0.25">
      <c r="A83" s="29" t="s">
        <v>58</v>
      </c>
      <c r="B83" s="34" t="s">
        <v>13</v>
      </c>
      <c r="C83" s="34">
        <v>1992</v>
      </c>
      <c r="D83" s="34"/>
      <c r="E83" s="34"/>
      <c r="F83" s="34"/>
      <c r="G83" s="22">
        <v>39.723635000000002</v>
      </c>
      <c r="H83" s="22">
        <v>-74.134540999999999</v>
      </c>
      <c r="I83" s="5" t="s">
        <v>15</v>
      </c>
      <c r="J83" s="18" t="s">
        <v>14</v>
      </c>
      <c r="K83" s="24"/>
      <c r="L83" s="12"/>
      <c r="M83" s="25">
        <v>183000</v>
      </c>
      <c r="N83" s="12">
        <f>M83*0.764555</f>
        <v>139913.565</v>
      </c>
      <c r="O83" s="12"/>
      <c r="P83" s="12"/>
      <c r="Q83" s="12"/>
      <c r="R83" s="36"/>
      <c r="S83" s="9">
        <v>0.58799999999999997</v>
      </c>
      <c r="T83" s="8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s="133" customFormat="1" x14ac:dyDescent="0.25">
      <c r="A84" s="2" t="s">
        <v>54</v>
      </c>
      <c r="B84" s="3" t="s">
        <v>13</v>
      </c>
      <c r="C84" s="3">
        <v>1954</v>
      </c>
      <c r="D84" s="3"/>
      <c r="E84" s="3"/>
      <c r="F84" s="3"/>
      <c r="G84" s="4">
        <v>39.705998000000001</v>
      </c>
      <c r="H84" s="4">
        <v>-74.132244999999998</v>
      </c>
      <c r="I84" s="5" t="s">
        <v>14</v>
      </c>
      <c r="J84" s="5" t="s">
        <v>14</v>
      </c>
      <c r="K84" s="6">
        <v>3200</v>
      </c>
      <c r="L84" s="12">
        <f t="shared" ref="L84:L91" si="33">K84*0.3048</f>
        <v>975.36</v>
      </c>
      <c r="M84" s="7">
        <v>114693</v>
      </c>
      <c r="N84" s="12">
        <f t="shared" ref="N84:N100" si="34">M84*0.764555</f>
        <v>87689.106614999997</v>
      </c>
      <c r="O84" s="12"/>
      <c r="P84" s="12">
        <f t="shared" ref="P84:P91" si="35">N84/L84</f>
        <v>89.904349793922236</v>
      </c>
      <c r="Q84" s="12">
        <f t="shared" ref="Q84:Q91" si="36">P84/10</f>
        <v>8.9904349793922229</v>
      </c>
      <c r="R84" s="13"/>
      <c r="S84" s="9">
        <v>0.113</v>
      </c>
      <c r="T84" s="8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s="133" customFormat="1" x14ac:dyDescent="0.25">
      <c r="A85" s="2" t="s">
        <v>54</v>
      </c>
      <c r="B85" s="3" t="s">
        <v>13</v>
      </c>
      <c r="C85" s="3">
        <v>1958</v>
      </c>
      <c r="D85" s="3"/>
      <c r="E85" s="3"/>
      <c r="F85" s="3"/>
      <c r="G85" s="4">
        <v>39.705998000000001</v>
      </c>
      <c r="H85" s="4">
        <v>-74.132244999999998</v>
      </c>
      <c r="I85" s="5" t="s">
        <v>14</v>
      </c>
      <c r="J85" s="5" t="s">
        <v>14</v>
      </c>
      <c r="K85" s="6">
        <v>2700</v>
      </c>
      <c r="L85" s="12">
        <f t="shared" si="33"/>
        <v>822.96</v>
      </c>
      <c r="M85" s="7">
        <v>149000</v>
      </c>
      <c r="N85" s="12">
        <f t="shared" si="34"/>
        <v>113918.69499999999</v>
      </c>
      <c r="O85" s="12"/>
      <c r="P85" s="12">
        <f t="shared" si="35"/>
        <v>138.42555531253035</v>
      </c>
      <c r="Q85" s="12">
        <f t="shared" si="36"/>
        <v>13.842555531253035</v>
      </c>
      <c r="R85" s="13"/>
      <c r="S85" s="9">
        <v>0.121</v>
      </c>
      <c r="T85" s="8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s="133" customFormat="1" x14ac:dyDescent="0.25">
      <c r="A86" s="2" t="s">
        <v>54</v>
      </c>
      <c r="B86" s="3" t="s">
        <v>13</v>
      </c>
      <c r="C86" s="3">
        <v>1961</v>
      </c>
      <c r="D86" s="3"/>
      <c r="E86" s="3"/>
      <c r="F86" s="3"/>
      <c r="G86" s="4">
        <v>39.705998000000001</v>
      </c>
      <c r="H86" s="4">
        <v>-74.132244999999998</v>
      </c>
      <c r="I86" s="5" t="s">
        <v>14</v>
      </c>
      <c r="J86" s="5" t="s">
        <v>14</v>
      </c>
      <c r="K86" s="6">
        <v>1000</v>
      </c>
      <c r="L86" s="12">
        <f t="shared" si="33"/>
        <v>304.8</v>
      </c>
      <c r="M86" s="7">
        <v>58000</v>
      </c>
      <c r="N86" s="12">
        <f t="shared" si="34"/>
        <v>44344.19</v>
      </c>
      <c r="O86" s="12"/>
      <c r="P86" s="12">
        <f t="shared" si="35"/>
        <v>145.48618766404201</v>
      </c>
      <c r="Q86" s="12">
        <f t="shared" si="36"/>
        <v>14.5486187664042</v>
      </c>
      <c r="R86" s="13"/>
      <c r="S86" s="9">
        <v>0.126</v>
      </c>
      <c r="T86" s="8"/>
      <c r="Y86" s="10"/>
      <c r="Z86" s="10"/>
      <c r="AA86" s="10"/>
      <c r="AB86" s="10"/>
      <c r="AC86" s="10"/>
      <c r="AD86" s="10"/>
      <c r="AE86" s="10"/>
      <c r="AF86" s="10"/>
      <c r="AG86" s="10"/>
      <c r="AH86" s="16"/>
      <c r="AI86" s="16"/>
      <c r="AJ86" s="16"/>
      <c r="AK86" s="16"/>
      <c r="AL86" s="16"/>
      <c r="AM86" s="16"/>
      <c r="AN86" s="16"/>
      <c r="AO86" s="16"/>
      <c r="AP86" s="16"/>
    </row>
    <row r="87" spans="1:42" s="133" customFormat="1" x14ac:dyDescent="0.25">
      <c r="A87" s="2" t="s">
        <v>54</v>
      </c>
      <c r="B87" s="3" t="s">
        <v>13</v>
      </c>
      <c r="C87" s="3">
        <v>1961</v>
      </c>
      <c r="D87" s="3"/>
      <c r="E87" s="3"/>
      <c r="F87" s="3"/>
      <c r="G87" s="4">
        <v>39.705998000000001</v>
      </c>
      <c r="H87" s="4">
        <v>-74.132244999999998</v>
      </c>
      <c r="I87" s="5" t="s">
        <v>14</v>
      </c>
      <c r="J87" s="5" t="s">
        <v>14</v>
      </c>
      <c r="K87" s="6">
        <v>1000</v>
      </c>
      <c r="L87" s="12">
        <f t="shared" si="33"/>
        <v>304.8</v>
      </c>
      <c r="M87" s="7">
        <v>60000</v>
      </c>
      <c r="N87" s="12">
        <f t="shared" si="34"/>
        <v>45873.299999999996</v>
      </c>
      <c r="O87" s="12"/>
      <c r="P87" s="12">
        <f t="shared" si="35"/>
        <v>150.50295275590548</v>
      </c>
      <c r="Q87" s="12">
        <f t="shared" si="36"/>
        <v>15.050295275590548</v>
      </c>
      <c r="R87" s="13"/>
      <c r="S87" s="9">
        <v>0.126</v>
      </c>
      <c r="T87" s="8"/>
      <c r="Y87" s="10"/>
      <c r="Z87" s="10"/>
      <c r="AA87" s="10"/>
      <c r="AB87" s="10"/>
      <c r="AC87" s="10"/>
      <c r="AD87" s="10"/>
      <c r="AE87" s="10"/>
      <c r="AF87" s="10"/>
      <c r="AG87" s="10"/>
      <c r="AH87" s="16"/>
      <c r="AI87" s="16"/>
      <c r="AJ87" s="16"/>
      <c r="AK87" s="16"/>
      <c r="AL87" s="16"/>
      <c r="AM87" s="16"/>
      <c r="AN87" s="16"/>
      <c r="AO87" s="16"/>
      <c r="AP87" s="16"/>
    </row>
    <row r="88" spans="1:42" s="133" customFormat="1" x14ac:dyDescent="0.25">
      <c r="A88" s="2" t="s">
        <v>54</v>
      </c>
      <c r="B88" s="3" t="s">
        <v>13</v>
      </c>
      <c r="C88" s="3">
        <v>1962</v>
      </c>
      <c r="D88" s="3"/>
      <c r="E88" s="3"/>
      <c r="F88" s="3"/>
      <c r="G88" s="4">
        <v>39.705998000000001</v>
      </c>
      <c r="H88" s="4">
        <v>-74.132244999999998</v>
      </c>
      <c r="I88" s="14" t="s">
        <v>1</v>
      </c>
      <c r="J88" s="18" t="s">
        <v>17</v>
      </c>
      <c r="K88" s="6">
        <v>5660</v>
      </c>
      <c r="L88" s="12">
        <f t="shared" si="33"/>
        <v>1725.1680000000001</v>
      </c>
      <c r="M88" s="7">
        <v>353046</v>
      </c>
      <c r="N88" s="12">
        <f t="shared" si="34"/>
        <v>269923.08452999999</v>
      </c>
      <c r="O88" s="12"/>
      <c r="P88" s="12">
        <f t="shared" si="35"/>
        <v>156.46191242244231</v>
      </c>
      <c r="Q88" s="12">
        <f t="shared" si="36"/>
        <v>15.646191242244232</v>
      </c>
      <c r="R88" s="13"/>
      <c r="S88" s="9">
        <v>0.127</v>
      </c>
      <c r="T88" s="8"/>
      <c r="Y88" s="10"/>
      <c r="Z88" s="10"/>
      <c r="AA88" s="10"/>
      <c r="AB88" s="10"/>
      <c r="AC88" s="10"/>
      <c r="AD88" s="10"/>
      <c r="AE88" s="10"/>
      <c r="AF88" s="10"/>
      <c r="AG88" s="10"/>
      <c r="AH88" s="16"/>
      <c r="AI88" s="16"/>
      <c r="AJ88" s="16"/>
      <c r="AK88" s="16"/>
      <c r="AL88" s="16"/>
      <c r="AM88" s="16"/>
      <c r="AN88" s="16"/>
      <c r="AO88" s="16"/>
      <c r="AP88" s="16"/>
    </row>
    <row r="89" spans="1:42" s="133" customFormat="1" x14ac:dyDescent="0.25">
      <c r="A89" s="2" t="s">
        <v>54</v>
      </c>
      <c r="B89" s="3" t="s">
        <v>13</v>
      </c>
      <c r="C89" s="3">
        <v>1962</v>
      </c>
      <c r="D89" s="3"/>
      <c r="E89" s="3"/>
      <c r="F89" s="3"/>
      <c r="G89" s="4">
        <v>39.705998000000001</v>
      </c>
      <c r="H89" s="4">
        <v>-74.132244999999998</v>
      </c>
      <c r="I89" s="14" t="s">
        <v>1</v>
      </c>
      <c r="J89" s="18" t="s">
        <v>17</v>
      </c>
      <c r="K89" s="6">
        <v>3000</v>
      </c>
      <c r="L89" s="12">
        <f t="shared" si="33"/>
        <v>914.40000000000009</v>
      </c>
      <c r="M89" s="7">
        <v>235252</v>
      </c>
      <c r="N89" s="12">
        <f t="shared" si="34"/>
        <v>179863.09286</v>
      </c>
      <c r="O89" s="12"/>
      <c r="P89" s="12">
        <f t="shared" si="35"/>
        <v>196.700670231846</v>
      </c>
      <c r="Q89" s="12">
        <f t="shared" si="36"/>
        <v>19.6700670231846</v>
      </c>
      <c r="R89" s="13"/>
      <c r="S89" s="9">
        <v>0.127</v>
      </c>
      <c r="T89" s="8"/>
      <c r="Y89" s="10"/>
      <c r="Z89" s="10"/>
      <c r="AA89" s="10"/>
      <c r="AB89" s="10"/>
      <c r="AC89" s="10"/>
      <c r="AD89" s="10"/>
      <c r="AE89" s="10"/>
      <c r="AF89" s="10"/>
      <c r="AG89" s="10"/>
      <c r="AH89" s="16"/>
      <c r="AI89" s="16"/>
      <c r="AJ89" s="16"/>
      <c r="AK89" s="16"/>
      <c r="AL89" s="16"/>
      <c r="AM89" s="16"/>
      <c r="AN89" s="16"/>
      <c r="AO89" s="16"/>
      <c r="AP89" s="16"/>
    </row>
    <row r="90" spans="1:42" s="133" customFormat="1" x14ac:dyDescent="0.25">
      <c r="A90" s="38" t="s">
        <v>57</v>
      </c>
      <c r="B90" s="39" t="s">
        <v>13</v>
      </c>
      <c r="C90" s="39">
        <v>1962</v>
      </c>
      <c r="D90" s="39"/>
      <c r="E90" s="39"/>
      <c r="F90" s="39"/>
      <c r="G90" s="59">
        <v>39.704970000000003</v>
      </c>
      <c r="H90" s="59">
        <v>-74.133149000000003</v>
      </c>
      <c r="I90" s="48" t="s">
        <v>15</v>
      </c>
      <c r="J90" s="41" t="s">
        <v>35</v>
      </c>
      <c r="K90" s="42">
        <v>19000</v>
      </c>
      <c r="L90" s="12">
        <f t="shared" si="33"/>
        <v>5791.2000000000007</v>
      </c>
      <c r="M90" s="49">
        <v>715000</v>
      </c>
      <c r="N90" s="12">
        <f t="shared" si="34"/>
        <v>546656.82499999995</v>
      </c>
      <c r="O90" s="12"/>
      <c r="P90" s="12">
        <f t="shared" si="35"/>
        <v>94.394395807431948</v>
      </c>
      <c r="Q90" s="12">
        <f t="shared" si="36"/>
        <v>9.4394395807431941</v>
      </c>
      <c r="R90" s="60">
        <v>765700</v>
      </c>
      <c r="S90" s="44">
        <v>0.127</v>
      </c>
      <c r="T90" s="45">
        <f>+R90/S90</f>
        <v>6029133.8582677161</v>
      </c>
      <c r="U90" s="133">
        <f>T90/N90</f>
        <v>11.029101956730745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42" s="133" customFormat="1" x14ac:dyDescent="0.25">
      <c r="A91" s="2" t="s">
        <v>54</v>
      </c>
      <c r="B91" s="3" t="s">
        <v>13</v>
      </c>
      <c r="C91" s="3">
        <v>1966</v>
      </c>
      <c r="D91" s="3"/>
      <c r="E91" s="3"/>
      <c r="F91" s="3"/>
      <c r="G91" s="4">
        <v>39.705998000000001</v>
      </c>
      <c r="H91" s="4">
        <v>-74.132244999999998</v>
      </c>
      <c r="I91" s="14" t="s">
        <v>1</v>
      </c>
      <c r="J91" s="18" t="s">
        <v>17</v>
      </c>
      <c r="K91" s="6">
        <v>3600</v>
      </c>
      <c r="L91" s="12">
        <f t="shared" si="33"/>
        <v>1097.28</v>
      </c>
      <c r="M91" s="7">
        <v>72870</v>
      </c>
      <c r="N91" s="12">
        <f t="shared" si="34"/>
        <v>55713.12285</v>
      </c>
      <c r="O91" s="12"/>
      <c r="P91" s="12">
        <f t="shared" si="35"/>
        <v>50.773843367235344</v>
      </c>
      <c r="Q91" s="12">
        <f t="shared" si="36"/>
        <v>5.0773843367235347</v>
      </c>
      <c r="R91" s="13"/>
      <c r="S91" s="9">
        <v>0.13600000000000001</v>
      </c>
      <c r="T91" s="8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42" s="133" customFormat="1" x14ac:dyDescent="0.25">
      <c r="A92" s="2" t="s">
        <v>54</v>
      </c>
      <c r="B92" s="3" t="s">
        <v>13</v>
      </c>
      <c r="C92" s="3">
        <v>1967</v>
      </c>
      <c r="D92" s="3"/>
      <c r="E92" s="3"/>
      <c r="F92" s="3"/>
      <c r="G92" s="4">
        <v>39.705998000000001</v>
      </c>
      <c r="H92" s="4">
        <v>-74.132244999999998</v>
      </c>
      <c r="I92" s="5" t="s">
        <v>14</v>
      </c>
      <c r="J92" s="5" t="s">
        <v>14</v>
      </c>
      <c r="K92" s="6"/>
      <c r="L92" s="12"/>
      <c r="M92" s="7">
        <v>35000</v>
      </c>
      <c r="N92" s="12">
        <f t="shared" si="34"/>
        <v>26759.424999999999</v>
      </c>
      <c r="O92" s="12"/>
      <c r="P92" s="12"/>
      <c r="Q92" s="12"/>
      <c r="R92" s="13"/>
      <c r="S92" s="9">
        <v>0.14000000000000001</v>
      </c>
      <c r="T92" s="8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1:42" s="133" customFormat="1" x14ac:dyDescent="0.25">
      <c r="A93" s="2" t="s">
        <v>59</v>
      </c>
      <c r="B93" s="3" t="s">
        <v>13</v>
      </c>
      <c r="C93" s="3">
        <v>1978</v>
      </c>
      <c r="D93" s="3"/>
      <c r="E93" s="3"/>
      <c r="F93" s="3"/>
      <c r="G93" s="4">
        <v>39.716430000000003</v>
      </c>
      <c r="H93" s="4">
        <v>-74.128017</v>
      </c>
      <c r="I93" s="14" t="s">
        <v>1</v>
      </c>
      <c r="J93" s="18" t="s">
        <v>17</v>
      </c>
      <c r="K93" s="6"/>
      <c r="L93" s="12"/>
      <c r="M93" s="7">
        <v>1000000</v>
      </c>
      <c r="N93" s="12">
        <f t="shared" si="34"/>
        <v>764555</v>
      </c>
      <c r="O93" s="12"/>
      <c r="P93" s="12"/>
      <c r="Q93" s="12"/>
      <c r="R93" s="13"/>
      <c r="S93" s="9">
        <v>0.27400000000000002</v>
      </c>
      <c r="T93" s="8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42" s="133" customFormat="1" x14ac:dyDescent="0.25">
      <c r="A94" s="2" t="s">
        <v>54</v>
      </c>
      <c r="B94" s="3" t="s">
        <v>13</v>
      </c>
      <c r="C94" s="3">
        <v>1990</v>
      </c>
      <c r="D94" s="3"/>
      <c r="E94" s="3"/>
      <c r="F94" s="3"/>
      <c r="G94" s="4">
        <v>39.705998000000001</v>
      </c>
      <c r="H94" s="4">
        <v>-74.132244999999998</v>
      </c>
      <c r="I94" s="5" t="s">
        <v>14</v>
      </c>
      <c r="J94" s="5" t="s">
        <v>14</v>
      </c>
      <c r="K94" s="6"/>
      <c r="L94" s="12"/>
      <c r="M94" s="7">
        <v>27300</v>
      </c>
      <c r="N94" s="12">
        <f t="shared" si="34"/>
        <v>20872.351500000001</v>
      </c>
      <c r="O94" s="12"/>
      <c r="P94" s="12"/>
      <c r="Q94" s="12"/>
      <c r="R94" s="8">
        <v>34957</v>
      </c>
      <c r="S94" s="9">
        <v>0.57099999999999995</v>
      </c>
      <c r="T94" s="8">
        <f>+R94/S94</f>
        <v>61220.665499124349</v>
      </c>
      <c r="U94" s="133">
        <f t="shared" ref="U94:U96" si="37">T94/N94</f>
        <v>2.9330986256687153</v>
      </c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1:42" s="133" customFormat="1" x14ac:dyDescent="0.25">
      <c r="A95" s="2" t="s">
        <v>54</v>
      </c>
      <c r="B95" s="3" t="s">
        <v>13</v>
      </c>
      <c r="C95" s="3">
        <v>1992</v>
      </c>
      <c r="D95" s="3"/>
      <c r="E95" s="3"/>
      <c r="F95" s="3"/>
      <c r="G95" s="4">
        <v>39.705998000000001</v>
      </c>
      <c r="H95" s="4">
        <v>-74.132244999999998</v>
      </c>
      <c r="I95" s="5" t="s">
        <v>14</v>
      </c>
      <c r="J95" s="5" t="s">
        <v>14</v>
      </c>
      <c r="K95" s="6"/>
      <c r="L95" s="12"/>
      <c r="M95" s="7">
        <v>110000</v>
      </c>
      <c r="N95" s="12">
        <f t="shared" si="34"/>
        <v>84101.05</v>
      </c>
      <c r="O95" s="12"/>
      <c r="P95" s="12"/>
      <c r="Q95" s="12"/>
      <c r="R95" s="8">
        <v>491071</v>
      </c>
      <c r="S95" s="9">
        <v>0.58799999999999997</v>
      </c>
      <c r="T95" s="8">
        <f>+R95/S96</f>
        <v>790774.55716586148</v>
      </c>
      <c r="U95" s="133">
        <f t="shared" si="37"/>
        <v>9.4026716333013844</v>
      </c>
      <c r="Y95" s="10"/>
      <c r="Z95" s="10"/>
      <c r="AA95" s="10"/>
      <c r="AB95" s="10"/>
      <c r="AC95" s="10"/>
      <c r="AD95" s="10"/>
      <c r="AE95" s="10"/>
      <c r="AF95" s="10"/>
      <c r="AG95" s="10"/>
      <c r="AH95" s="16"/>
      <c r="AI95" s="16"/>
      <c r="AJ95" s="16"/>
      <c r="AK95" s="16"/>
      <c r="AL95" s="16"/>
      <c r="AM95" s="16"/>
      <c r="AN95" s="16"/>
      <c r="AO95" s="16"/>
      <c r="AP95" s="16"/>
    </row>
    <row r="96" spans="1:42" s="133" customFormat="1" x14ac:dyDescent="0.25">
      <c r="A96" s="2" t="s">
        <v>54</v>
      </c>
      <c r="B96" s="3" t="s">
        <v>13</v>
      </c>
      <c r="C96" s="3">
        <v>1994</v>
      </c>
      <c r="D96" s="3"/>
      <c r="E96" s="3"/>
      <c r="F96" s="3"/>
      <c r="G96" s="4">
        <v>39.705998000000001</v>
      </c>
      <c r="H96" s="4">
        <v>-74.132244999999998</v>
      </c>
      <c r="I96" s="14" t="s">
        <v>1</v>
      </c>
      <c r="J96" s="5" t="s">
        <v>14</v>
      </c>
      <c r="K96" s="6"/>
      <c r="L96" s="12"/>
      <c r="M96" s="7">
        <v>660000</v>
      </c>
      <c r="N96" s="12">
        <f t="shared" si="34"/>
        <v>504606.3</v>
      </c>
      <c r="O96" s="12"/>
      <c r="P96" s="12"/>
      <c r="Q96" s="12"/>
      <c r="R96" s="8">
        <v>3700000</v>
      </c>
      <c r="S96" s="9">
        <v>0.621</v>
      </c>
      <c r="T96" s="8">
        <f>+R96/S96</f>
        <v>5958132.0450885668</v>
      </c>
      <c r="U96" s="133">
        <f t="shared" si="37"/>
        <v>11.807486440594513</v>
      </c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42" s="133" customFormat="1" x14ac:dyDescent="0.25">
      <c r="A97" s="2" t="s">
        <v>54</v>
      </c>
      <c r="B97" s="3" t="s">
        <v>13</v>
      </c>
      <c r="C97" s="3">
        <v>1995</v>
      </c>
      <c r="D97" s="3"/>
      <c r="E97" s="3"/>
      <c r="F97" s="3"/>
      <c r="G97" s="4">
        <v>39.705998000000001</v>
      </c>
      <c r="H97" s="4">
        <v>-74.132244999999998</v>
      </c>
      <c r="I97" s="14" t="s">
        <v>1</v>
      </c>
      <c r="J97" s="18" t="s">
        <v>17</v>
      </c>
      <c r="K97" s="6"/>
      <c r="L97" s="12"/>
      <c r="M97" s="7">
        <v>525000</v>
      </c>
      <c r="N97" s="12">
        <f t="shared" si="34"/>
        <v>401391.375</v>
      </c>
      <c r="O97" s="12"/>
      <c r="P97" s="12"/>
      <c r="Q97" s="12"/>
      <c r="R97" s="13"/>
      <c r="S97" s="20">
        <v>0.64100000000000001</v>
      </c>
      <c r="T97" s="8"/>
      <c r="Y97" s="10"/>
      <c r="Z97" s="10"/>
      <c r="AA97" s="10"/>
      <c r="AB97" s="10"/>
      <c r="AC97" s="10"/>
      <c r="AD97" s="10"/>
      <c r="AE97" s="10"/>
      <c r="AF97" s="10"/>
      <c r="AG97" s="10"/>
      <c r="AH97" s="16"/>
      <c r="AI97" s="16"/>
      <c r="AJ97" s="16"/>
      <c r="AK97" s="16"/>
      <c r="AL97" s="16"/>
      <c r="AM97" s="16"/>
      <c r="AN97" s="16"/>
      <c r="AO97" s="16"/>
      <c r="AP97" s="16"/>
    </row>
    <row r="98" spans="1:42" s="133" customFormat="1" x14ac:dyDescent="0.25">
      <c r="A98" s="2" t="s">
        <v>54</v>
      </c>
      <c r="B98" s="3" t="s">
        <v>13</v>
      </c>
      <c r="C98" s="3">
        <v>2005</v>
      </c>
      <c r="D98" s="3"/>
      <c r="E98" s="3"/>
      <c r="F98" s="3"/>
      <c r="G98" s="4">
        <v>39.705998000000001</v>
      </c>
      <c r="H98" s="4">
        <v>-74.132244999999998</v>
      </c>
      <c r="I98" s="5" t="s">
        <v>1</v>
      </c>
      <c r="J98" s="18" t="s">
        <v>17</v>
      </c>
      <c r="K98" s="6">
        <v>800</v>
      </c>
      <c r="L98" s="12">
        <f>K98*0.3048</f>
        <v>243.84</v>
      </c>
      <c r="M98" s="7">
        <v>16000</v>
      </c>
      <c r="N98" s="12">
        <f t="shared" si="34"/>
        <v>12232.88</v>
      </c>
      <c r="O98" s="12"/>
      <c r="P98" s="12">
        <f t="shared" ref="P98:P99" si="38">N98/L98</f>
        <v>50.167650918635168</v>
      </c>
      <c r="Q98" s="12">
        <f t="shared" ref="Q98:Q99" si="39">P98/10</f>
        <v>5.0167650918635172</v>
      </c>
      <c r="R98" s="13">
        <v>421009</v>
      </c>
      <c r="S98" s="9">
        <v>0.82</v>
      </c>
      <c r="T98" s="8">
        <f>+R98/S98</f>
        <v>513425.6097560976</v>
      </c>
      <c r="U98" s="133">
        <f t="shared" ref="U98:U100" si="40">T98/N98</f>
        <v>41.970951219671704</v>
      </c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42" s="133" customFormat="1" x14ac:dyDescent="0.25">
      <c r="A99" s="2" t="s">
        <v>54</v>
      </c>
      <c r="B99" s="3" t="s">
        <v>13</v>
      </c>
      <c r="C99" s="3">
        <v>2010</v>
      </c>
      <c r="D99" s="3"/>
      <c r="E99" s="3"/>
      <c r="F99" s="3"/>
      <c r="G99" s="4">
        <v>39.705998000000001</v>
      </c>
      <c r="H99" s="4">
        <v>-74.132244999999998</v>
      </c>
      <c r="I99" s="14" t="s">
        <v>15</v>
      </c>
      <c r="J99" s="18" t="s">
        <v>16</v>
      </c>
      <c r="K99" s="6">
        <v>9700</v>
      </c>
      <c r="L99" s="12">
        <f>K99*0.3048</f>
        <v>2956.56</v>
      </c>
      <c r="M99" s="7">
        <v>3000000</v>
      </c>
      <c r="N99" s="12">
        <f t="shared" si="34"/>
        <v>2293665</v>
      </c>
      <c r="O99" s="12"/>
      <c r="P99" s="12">
        <f t="shared" si="38"/>
        <v>775.78841626755423</v>
      </c>
      <c r="Q99" s="12">
        <f t="shared" si="39"/>
        <v>77.57884162675542</v>
      </c>
      <c r="R99" s="13">
        <v>25000000</v>
      </c>
      <c r="S99" s="9">
        <v>0.91600000000000004</v>
      </c>
      <c r="T99" s="8">
        <f>+R99/S99</f>
        <v>27292576.419213973</v>
      </c>
      <c r="U99" s="133">
        <f t="shared" si="40"/>
        <v>11.899111866473078</v>
      </c>
      <c r="Y99" s="10"/>
      <c r="Z99" s="10"/>
      <c r="AA99" s="10"/>
      <c r="AB99" s="10"/>
      <c r="AC99" s="10"/>
      <c r="AD99" s="10"/>
      <c r="AE99" s="10"/>
      <c r="AF99" s="10"/>
      <c r="AG99" s="10"/>
      <c r="AH99" s="16"/>
      <c r="AI99" s="16"/>
      <c r="AJ99" s="16"/>
      <c r="AK99" s="16"/>
      <c r="AL99" s="16"/>
      <c r="AM99" s="16"/>
      <c r="AN99" s="16"/>
      <c r="AO99" s="16"/>
      <c r="AP99" s="16"/>
    </row>
    <row r="100" spans="1:42" s="133" customFormat="1" x14ac:dyDescent="0.25">
      <c r="A100" s="2" t="s">
        <v>54</v>
      </c>
      <c r="B100" s="3" t="s">
        <v>13</v>
      </c>
      <c r="C100" s="3">
        <v>2014</v>
      </c>
      <c r="D100" s="3"/>
      <c r="E100" s="3"/>
      <c r="F100" s="3"/>
      <c r="G100" s="4">
        <v>39.705998000000001</v>
      </c>
      <c r="H100" s="4">
        <v>-74.132244999999998</v>
      </c>
      <c r="I100" s="14" t="s">
        <v>15</v>
      </c>
      <c r="J100" s="18" t="s">
        <v>17</v>
      </c>
      <c r="K100" s="6"/>
      <c r="L100" s="12"/>
      <c r="M100" s="6">
        <v>1515000</v>
      </c>
      <c r="N100" s="12">
        <f t="shared" si="34"/>
        <v>1158300.825</v>
      </c>
      <c r="O100" s="12"/>
      <c r="P100" s="12">
        <f>N100/3170</f>
        <v>365.39458201892745</v>
      </c>
      <c r="Q100" s="192">
        <f>P100/10</f>
        <v>36.539458201892742</v>
      </c>
      <c r="R100" s="13">
        <v>14340046</v>
      </c>
      <c r="S100" s="9">
        <v>0.99399999999999999</v>
      </c>
      <c r="T100" s="8">
        <f>+R100/S100</f>
        <v>14426605.633802816</v>
      </c>
      <c r="U100" s="133">
        <f t="shared" si="40"/>
        <v>12.454973114434946</v>
      </c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s="133" customFormat="1" x14ac:dyDescent="0.25">
      <c r="A101" s="2" t="s">
        <v>61</v>
      </c>
      <c r="B101" s="3" t="s">
        <v>13</v>
      </c>
      <c r="C101" s="3">
        <v>1962</v>
      </c>
      <c r="D101" s="3"/>
      <c r="E101" s="3"/>
      <c r="F101" s="3"/>
      <c r="G101" s="4">
        <v>39.660553</v>
      </c>
      <c r="H101" s="4">
        <v>-74.164073000000002</v>
      </c>
      <c r="I101" s="14" t="s">
        <v>15</v>
      </c>
      <c r="J101" s="14" t="s">
        <v>17</v>
      </c>
      <c r="K101" s="6">
        <v>7500</v>
      </c>
      <c r="L101" s="12">
        <f>K101*0.3048</f>
        <v>2286</v>
      </c>
      <c r="M101" s="7">
        <v>500000</v>
      </c>
      <c r="N101" s="12">
        <f t="shared" ref="N101:N106" si="41">M101*0.764555</f>
        <v>382277.5</v>
      </c>
      <c r="O101" s="12"/>
      <c r="P101" s="12">
        <f>N101/L101</f>
        <v>167.22550306211724</v>
      </c>
      <c r="Q101" s="12">
        <f>P101/10</f>
        <v>16.722550306211723</v>
      </c>
      <c r="R101" s="13"/>
      <c r="S101" s="9">
        <v>0.127</v>
      </c>
      <c r="T101" s="8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s="133" customFormat="1" x14ac:dyDescent="0.25">
      <c r="A102" s="2" t="s">
        <v>61</v>
      </c>
      <c r="B102" s="3" t="s">
        <v>13</v>
      </c>
      <c r="C102" s="3">
        <v>1963</v>
      </c>
      <c r="D102" s="3"/>
      <c r="E102" s="3"/>
      <c r="F102" s="3"/>
      <c r="G102" s="4">
        <v>39.660553</v>
      </c>
      <c r="H102" s="4">
        <v>-74.164073000000002</v>
      </c>
      <c r="I102" s="14" t="s">
        <v>1</v>
      </c>
      <c r="J102" s="5" t="s">
        <v>14</v>
      </c>
      <c r="K102" s="6"/>
      <c r="L102" s="12"/>
      <c r="M102" s="7">
        <v>200000</v>
      </c>
      <c r="N102" s="12">
        <f t="shared" si="41"/>
        <v>152911</v>
      </c>
      <c r="O102" s="12"/>
      <c r="P102" s="12"/>
      <c r="Q102" s="12"/>
      <c r="R102" s="13"/>
      <c r="S102" s="9">
        <v>0.129</v>
      </c>
      <c r="T102" s="8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s="133" customFormat="1" x14ac:dyDescent="0.25">
      <c r="A103" s="2" t="s">
        <v>61</v>
      </c>
      <c r="B103" s="3" t="s">
        <v>13</v>
      </c>
      <c r="C103" s="3">
        <v>1963</v>
      </c>
      <c r="D103" s="3"/>
      <c r="E103" s="3"/>
      <c r="F103" s="3"/>
      <c r="G103" s="4">
        <v>39.660553</v>
      </c>
      <c r="H103" s="4">
        <v>-74.164073000000002</v>
      </c>
      <c r="I103" s="14" t="s">
        <v>1</v>
      </c>
      <c r="J103" s="18" t="s">
        <v>17</v>
      </c>
      <c r="K103" s="6"/>
      <c r="L103" s="12"/>
      <c r="M103" s="7">
        <v>542276</v>
      </c>
      <c r="N103" s="12">
        <f t="shared" si="41"/>
        <v>414599.82717999996</v>
      </c>
      <c r="O103" s="12"/>
      <c r="P103" s="12"/>
      <c r="Q103" s="12"/>
      <c r="R103" s="13"/>
      <c r="S103" s="9">
        <v>0.129</v>
      </c>
      <c r="T103" s="8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s="133" customFormat="1" x14ac:dyDescent="0.25">
      <c r="A104" s="2" t="s">
        <v>61</v>
      </c>
      <c r="B104" s="34" t="s">
        <v>13</v>
      </c>
      <c r="C104" s="58">
        <v>2011</v>
      </c>
      <c r="D104" s="58"/>
      <c r="E104" s="58"/>
      <c r="F104" s="58"/>
      <c r="G104" s="56">
        <v>39.625788</v>
      </c>
      <c r="H104" s="56">
        <v>-74.194107000000002</v>
      </c>
      <c r="I104" s="18" t="s">
        <v>15</v>
      </c>
      <c r="J104" s="14" t="s">
        <v>17</v>
      </c>
      <c r="K104" s="7">
        <v>3500</v>
      </c>
      <c r="L104" s="12">
        <f>K104*0.3048</f>
        <v>1066.8</v>
      </c>
      <c r="M104" s="7">
        <v>300000</v>
      </c>
      <c r="N104" s="12">
        <f t="shared" si="41"/>
        <v>229366.5</v>
      </c>
      <c r="O104" s="12"/>
      <c r="P104" s="12">
        <f t="shared" ref="P104:P105" si="42">N104/L104</f>
        <v>215.00421822272216</v>
      </c>
      <c r="Q104" s="12">
        <f t="shared" ref="Q104:Q105" si="43">P104/10</f>
        <v>21.500421822272216</v>
      </c>
      <c r="R104" s="13">
        <v>6048000</v>
      </c>
      <c r="S104" s="20">
        <v>0.96399999999999997</v>
      </c>
      <c r="T104" s="8">
        <f>+R104/S104</f>
        <v>6273858.9211618258</v>
      </c>
      <c r="U104" s="133">
        <f t="shared" ref="U104:U106" si="44">T104/N104</f>
        <v>27.352987123934078</v>
      </c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s="133" customFormat="1" x14ac:dyDescent="0.25">
      <c r="A105" s="2" t="s">
        <v>61</v>
      </c>
      <c r="B105" s="34" t="s">
        <v>13</v>
      </c>
      <c r="C105" s="58">
        <v>2007</v>
      </c>
      <c r="D105" s="58"/>
      <c r="E105" s="58"/>
      <c r="F105" s="58"/>
      <c r="G105" s="56">
        <v>39.625788</v>
      </c>
      <c r="H105" s="56">
        <v>-74.194107000000002</v>
      </c>
      <c r="I105" s="18" t="s">
        <v>15</v>
      </c>
      <c r="J105" s="18" t="s">
        <v>16</v>
      </c>
      <c r="K105" s="32">
        <v>8100</v>
      </c>
      <c r="L105" s="12">
        <f>K105*0.3048</f>
        <v>2468.88</v>
      </c>
      <c r="M105" s="32">
        <v>880000</v>
      </c>
      <c r="N105" s="12">
        <f t="shared" si="41"/>
        <v>672808.4</v>
      </c>
      <c r="O105" s="12"/>
      <c r="P105" s="12">
        <f t="shared" si="42"/>
        <v>272.51563461974661</v>
      </c>
      <c r="Q105" s="12">
        <f t="shared" si="43"/>
        <v>27.251563461974662</v>
      </c>
      <c r="R105" s="47">
        <v>8604738</v>
      </c>
      <c r="S105" s="20">
        <v>0.871</v>
      </c>
      <c r="T105" s="8">
        <f>+R105/S105</f>
        <v>9879148.105625717</v>
      </c>
      <c r="U105" s="133">
        <f t="shared" si="44"/>
        <v>14.683449412382064</v>
      </c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s="133" customFormat="1" x14ac:dyDescent="0.25">
      <c r="A106" s="2" t="s">
        <v>61</v>
      </c>
      <c r="B106" s="34" t="s">
        <v>13</v>
      </c>
      <c r="C106" s="58">
        <v>2014</v>
      </c>
      <c r="D106" s="58"/>
      <c r="E106" s="58"/>
      <c r="F106" s="58"/>
      <c r="G106" s="56">
        <v>39.625788</v>
      </c>
      <c r="H106" s="56">
        <v>-74.194107000000002</v>
      </c>
      <c r="I106" s="18" t="s">
        <v>15</v>
      </c>
      <c r="J106" s="14" t="s">
        <v>17</v>
      </c>
      <c r="K106" s="6"/>
      <c r="L106" s="12"/>
      <c r="M106" s="61">
        <v>415000</v>
      </c>
      <c r="N106" s="12">
        <f t="shared" si="41"/>
        <v>317290.32500000001</v>
      </c>
      <c r="O106" s="12"/>
      <c r="P106" s="12"/>
      <c r="Q106" s="12"/>
      <c r="R106" s="62">
        <v>5350858</v>
      </c>
      <c r="S106" s="9">
        <v>0.99399999999999999</v>
      </c>
      <c r="T106" s="8">
        <f>+R106/S106</f>
        <v>5383156.9416498998</v>
      </c>
      <c r="U106" s="133">
        <f t="shared" si="44"/>
        <v>16.966029271929106</v>
      </c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s="133" customFormat="1" x14ac:dyDescent="0.25">
      <c r="A107" s="2" t="s">
        <v>60</v>
      </c>
      <c r="B107" s="3" t="s">
        <v>13</v>
      </c>
      <c r="C107" s="3">
        <v>1956</v>
      </c>
      <c r="D107" s="3"/>
      <c r="E107" s="3"/>
      <c r="F107" s="3"/>
      <c r="G107" s="4">
        <v>39.643751000000002</v>
      </c>
      <c r="H107" s="4">
        <v>-74.177437999999995</v>
      </c>
      <c r="I107" s="14" t="s">
        <v>1</v>
      </c>
      <c r="J107" s="5" t="s">
        <v>14</v>
      </c>
      <c r="K107" s="6">
        <v>3500</v>
      </c>
      <c r="L107" s="12">
        <f>K107*0.3048</f>
        <v>1066.8</v>
      </c>
      <c r="M107" s="7">
        <v>182000</v>
      </c>
      <c r="N107" s="12">
        <f>M107*0.764555</f>
        <v>139149.01</v>
      </c>
      <c r="O107" s="12"/>
      <c r="P107" s="12">
        <f>N107/L107</f>
        <v>130.43589238845146</v>
      </c>
      <c r="Q107" s="12">
        <f>P107/10</f>
        <v>13.043589238845147</v>
      </c>
      <c r="R107" s="8">
        <v>121011</v>
      </c>
      <c r="S107" s="9">
        <v>0.114</v>
      </c>
      <c r="T107" s="8">
        <f>+R107/S107</f>
        <v>1061500</v>
      </c>
      <c r="U107" s="133">
        <f>T107/N107</f>
        <v>7.6285127720276265</v>
      </c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s="133" customFormat="1" x14ac:dyDescent="0.25">
      <c r="A108" s="2" t="s">
        <v>60</v>
      </c>
      <c r="B108" s="3" t="s">
        <v>13</v>
      </c>
      <c r="C108" s="3">
        <v>1962</v>
      </c>
      <c r="D108" s="3"/>
      <c r="E108" s="3"/>
      <c r="F108" s="3"/>
      <c r="G108" s="4">
        <v>39.643751000000002</v>
      </c>
      <c r="H108" s="4">
        <v>-74.177437999999995</v>
      </c>
      <c r="I108" s="14" t="s">
        <v>15</v>
      </c>
      <c r="J108" s="14" t="s">
        <v>17</v>
      </c>
      <c r="K108" s="6">
        <v>7350</v>
      </c>
      <c r="L108" s="12">
        <f>K108*0.3048</f>
        <v>2240.2800000000002</v>
      </c>
      <c r="M108" s="7">
        <v>539000</v>
      </c>
      <c r="N108" s="12">
        <f>M108*0.764555</f>
        <v>412095.14500000002</v>
      </c>
      <c r="O108" s="12"/>
      <c r="P108" s="12">
        <f>N108/L108</f>
        <v>183.94805336832894</v>
      </c>
      <c r="Q108" s="12">
        <f>P108/10</f>
        <v>18.394805336832896</v>
      </c>
      <c r="R108" s="36"/>
      <c r="S108" s="9">
        <v>0.127</v>
      </c>
      <c r="T108" s="8"/>
      <c r="Y108" s="27"/>
      <c r="Z108" s="27"/>
      <c r="AA108" s="27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s="133" customFormat="1" x14ac:dyDescent="0.25">
      <c r="A109" s="2" t="s">
        <v>60</v>
      </c>
      <c r="B109" s="3" t="s">
        <v>13</v>
      </c>
      <c r="C109" s="3">
        <v>1963</v>
      </c>
      <c r="D109" s="3"/>
      <c r="E109" s="3"/>
      <c r="F109" s="3"/>
      <c r="G109" s="4">
        <v>39.643751000000002</v>
      </c>
      <c r="H109" s="4">
        <v>-74.177437999999995</v>
      </c>
      <c r="I109" s="14" t="s">
        <v>1</v>
      </c>
      <c r="J109" s="18" t="s">
        <v>17</v>
      </c>
      <c r="K109" s="6"/>
      <c r="L109" s="12"/>
      <c r="M109" s="7">
        <v>363482</v>
      </c>
      <c r="N109" s="12">
        <f>M109*0.764555</f>
        <v>277901.98051000002</v>
      </c>
      <c r="O109" s="12"/>
      <c r="P109" s="12"/>
      <c r="Q109" s="12"/>
      <c r="R109" s="8">
        <v>161659</v>
      </c>
      <c r="S109" s="9">
        <v>0.129</v>
      </c>
      <c r="T109" s="8">
        <f>+R109/S109</f>
        <v>1253170.542635659</v>
      </c>
      <c r="U109" s="133">
        <f>T109/N109</f>
        <v>4.5093976672489564</v>
      </c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s="133" customFormat="1" x14ac:dyDescent="0.25">
      <c r="A110" s="29" t="s">
        <v>50</v>
      </c>
      <c r="B110" s="34" t="s">
        <v>13</v>
      </c>
      <c r="C110" s="34">
        <v>1979</v>
      </c>
      <c r="D110" s="34"/>
      <c r="E110" s="34"/>
      <c r="F110" s="34"/>
      <c r="G110" s="56">
        <v>39.625788</v>
      </c>
      <c r="H110" s="56">
        <v>-74.194107000000002</v>
      </c>
      <c r="I110" s="23" t="s">
        <v>15</v>
      </c>
      <c r="J110" s="18" t="s">
        <v>17</v>
      </c>
      <c r="K110" s="25">
        <v>14784</v>
      </c>
      <c r="L110" s="12">
        <f>K110*0.3048</f>
        <v>4506.1632</v>
      </c>
      <c r="M110" s="25">
        <v>1000000</v>
      </c>
      <c r="N110" s="12">
        <f t="shared" ref="N110:N125" si="45">M110*0.764555</f>
        <v>764555</v>
      </c>
      <c r="O110" s="12"/>
      <c r="P110" s="12">
        <f t="shared" ref="P110" si="46">N110/L110</f>
        <v>169.66873281464817</v>
      </c>
      <c r="Q110" s="12">
        <f t="shared" ref="Q110" si="47">P110/10</f>
        <v>16.966873281464817</v>
      </c>
      <c r="R110" s="26">
        <v>4600000</v>
      </c>
      <c r="S110" s="9">
        <v>0.30499999999999999</v>
      </c>
      <c r="T110" s="8">
        <f>+R110/S110</f>
        <v>15081967.213114755</v>
      </c>
      <c r="U110" s="133">
        <f>T110/N110</f>
        <v>19.72646469268366</v>
      </c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s="133" customFormat="1" x14ac:dyDescent="0.25">
      <c r="A111" s="29" t="s">
        <v>56</v>
      </c>
      <c r="B111" s="34" t="s">
        <v>13</v>
      </c>
      <c r="C111" s="34">
        <v>1958</v>
      </c>
      <c r="D111" s="34"/>
      <c r="E111" s="34"/>
      <c r="F111" s="34"/>
      <c r="G111" s="56">
        <v>39.624254999999998</v>
      </c>
      <c r="H111" s="56">
        <v>-74.192042999999998</v>
      </c>
      <c r="I111" s="18" t="s">
        <v>14</v>
      </c>
      <c r="J111" s="18" t="s">
        <v>14</v>
      </c>
      <c r="K111" s="24"/>
      <c r="L111" s="12"/>
      <c r="M111" s="25">
        <v>75000</v>
      </c>
      <c r="N111" s="12">
        <f t="shared" si="45"/>
        <v>57341.625</v>
      </c>
      <c r="O111" s="12"/>
      <c r="P111" s="12"/>
      <c r="Q111" s="12"/>
      <c r="R111" s="36"/>
      <c r="S111" s="9">
        <v>0.121</v>
      </c>
      <c r="T111" s="8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s="133" customFormat="1" x14ac:dyDescent="0.25">
      <c r="A112" s="29" t="s">
        <v>56</v>
      </c>
      <c r="B112" s="34" t="s">
        <v>13</v>
      </c>
      <c r="C112" s="58">
        <v>1963</v>
      </c>
      <c r="D112" s="58"/>
      <c r="E112" s="58"/>
      <c r="F112" s="58"/>
      <c r="G112" s="56">
        <v>39.624254999999998</v>
      </c>
      <c r="H112" s="56">
        <v>-74.192042999999998</v>
      </c>
      <c r="I112" s="18" t="s">
        <v>15</v>
      </c>
      <c r="J112" s="18" t="s">
        <v>19</v>
      </c>
      <c r="K112" s="24"/>
      <c r="L112" s="12"/>
      <c r="M112" s="32">
        <v>75000</v>
      </c>
      <c r="N112" s="12">
        <f t="shared" si="45"/>
        <v>57341.625</v>
      </c>
      <c r="O112" s="12"/>
      <c r="P112" s="12"/>
      <c r="Q112" s="12"/>
      <c r="R112" s="36"/>
      <c r="S112" s="9">
        <v>0.129</v>
      </c>
      <c r="T112" s="8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s="133" customFormat="1" x14ac:dyDescent="0.25">
      <c r="A113" s="29" t="s">
        <v>56</v>
      </c>
      <c r="B113" s="34" t="s">
        <v>13</v>
      </c>
      <c r="C113" s="34">
        <v>1962</v>
      </c>
      <c r="D113" s="34"/>
      <c r="E113" s="34"/>
      <c r="F113" s="34"/>
      <c r="G113" s="56">
        <v>39.624254999999998</v>
      </c>
      <c r="H113" s="56">
        <v>-74.192042999999998</v>
      </c>
      <c r="I113" s="14" t="s">
        <v>1</v>
      </c>
      <c r="J113" s="18" t="s">
        <v>17</v>
      </c>
      <c r="K113" s="7"/>
      <c r="L113" s="12"/>
      <c r="M113" s="25">
        <v>92371</v>
      </c>
      <c r="N113" s="12">
        <f t="shared" si="45"/>
        <v>70622.709904999996</v>
      </c>
      <c r="O113" s="12"/>
      <c r="P113" s="12"/>
      <c r="Q113" s="12"/>
      <c r="R113" s="36"/>
      <c r="S113" s="9">
        <v>0.127</v>
      </c>
      <c r="T113" s="8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s="133" customFormat="1" x14ac:dyDescent="0.25">
      <c r="A114" s="29" t="s">
        <v>56</v>
      </c>
      <c r="B114" s="34" t="s">
        <v>13</v>
      </c>
      <c r="C114" s="34">
        <v>1963</v>
      </c>
      <c r="D114" s="34"/>
      <c r="E114" s="34"/>
      <c r="F114" s="34"/>
      <c r="G114" s="56">
        <v>39.624254999999998</v>
      </c>
      <c r="H114" s="56">
        <v>-74.192042999999998</v>
      </c>
      <c r="I114" s="14" t="s">
        <v>1</v>
      </c>
      <c r="J114" s="18" t="s">
        <v>17</v>
      </c>
      <c r="K114" s="24"/>
      <c r="L114" s="12"/>
      <c r="M114" s="25">
        <v>150470</v>
      </c>
      <c r="N114" s="12">
        <f t="shared" si="45"/>
        <v>115042.59084999999</v>
      </c>
      <c r="O114" s="12"/>
      <c r="P114" s="12"/>
      <c r="Q114" s="12"/>
      <c r="R114" s="36"/>
      <c r="S114" s="9">
        <v>0.129</v>
      </c>
      <c r="T114" s="8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s="133" customFormat="1" x14ac:dyDescent="0.25">
      <c r="A115" s="29" t="s">
        <v>56</v>
      </c>
      <c r="B115" s="34" t="s">
        <v>13</v>
      </c>
      <c r="C115" s="34">
        <v>1963</v>
      </c>
      <c r="D115" s="34"/>
      <c r="E115" s="34"/>
      <c r="F115" s="34"/>
      <c r="G115" s="56">
        <v>39.624254999999998</v>
      </c>
      <c r="H115" s="56">
        <v>-74.192042999999998</v>
      </c>
      <c r="I115" s="14" t="s">
        <v>1</v>
      </c>
      <c r="J115" s="18" t="s">
        <v>17</v>
      </c>
      <c r="K115" s="24"/>
      <c r="L115" s="12"/>
      <c r="M115" s="25">
        <v>181376</v>
      </c>
      <c r="N115" s="12">
        <f t="shared" si="45"/>
        <v>138671.92767999999</v>
      </c>
      <c r="O115" s="12"/>
      <c r="P115" s="12"/>
      <c r="Q115" s="12"/>
      <c r="R115" s="36"/>
      <c r="S115" s="9">
        <v>0.129</v>
      </c>
      <c r="T115" s="8"/>
      <c r="Y115" s="10"/>
      <c r="Z115" s="10"/>
      <c r="AA115" s="10"/>
      <c r="AB115" s="10"/>
      <c r="AC115" s="10"/>
      <c r="AD115" s="10"/>
      <c r="AE115" s="10"/>
      <c r="AF115" s="10"/>
      <c r="AG115" s="10"/>
      <c r="AH115" s="27"/>
      <c r="AI115" s="27"/>
      <c r="AJ115" s="27"/>
      <c r="AK115" s="27"/>
      <c r="AL115" s="27"/>
      <c r="AM115" s="27"/>
      <c r="AN115" s="27"/>
      <c r="AO115" s="27"/>
      <c r="AP115" s="27"/>
    </row>
    <row r="116" spans="1:42" s="133" customFormat="1" x14ac:dyDescent="0.25">
      <c r="A116" s="29" t="s">
        <v>56</v>
      </c>
      <c r="B116" s="34" t="s">
        <v>13</v>
      </c>
      <c r="C116" s="34">
        <v>1962</v>
      </c>
      <c r="D116" s="34"/>
      <c r="E116" s="34"/>
      <c r="F116" s="34"/>
      <c r="G116" s="56">
        <v>39.624254999999998</v>
      </c>
      <c r="H116" s="56">
        <v>-74.192042999999998</v>
      </c>
      <c r="I116" s="14" t="s">
        <v>1</v>
      </c>
      <c r="J116" s="18" t="s">
        <v>17</v>
      </c>
      <c r="K116" s="7"/>
      <c r="L116" s="12"/>
      <c r="M116" s="25">
        <v>224382</v>
      </c>
      <c r="N116" s="12">
        <f t="shared" si="45"/>
        <v>171552.38000999999</v>
      </c>
      <c r="O116" s="12"/>
      <c r="P116" s="12"/>
      <c r="Q116" s="12"/>
      <c r="R116" s="36"/>
      <c r="S116" s="9">
        <v>0.127</v>
      </c>
      <c r="T116" s="8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s="133" customFormat="1" x14ac:dyDescent="0.25">
      <c r="A117" s="29" t="s">
        <v>56</v>
      </c>
      <c r="B117" s="34" t="s">
        <v>13</v>
      </c>
      <c r="C117" s="34">
        <v>1963</v>
      </c>
      <c r="D117" s="34"/>
      <c r="E117" s="34"/>
      <c r="F117" s="34"/>
      <c r="G117" s="56">
        <v>39.624254999999998</v>
      </c>
      <c r="H117" s="56">
        <v>-74.192042999999998</v>
      </c>
      <c r="I117" s="14" t="s">
        <v>1</v>
      </c>
      <c r="J117" s="18" t="s">
        <v>17</v>
      </c>
      <c r="K117" s="24"/>
      <c r="L117" s="12"/>
      <c r="M117" s="25">
        <v>300000</v>
      </c>
      <c r="N117" s="12">
        <f t="shared" si="45"/>
        <v>229366.5</v>
      </c>
      <c r="O117" s="12"/>
      <c r="P117" s="12"/>
      <c r="Q117" s="12"/>
      <c r="R117" s="36"/>
      <c r="S117" s="9">
        <v>0.129</v>
      </c>
      <c r="T117" s="8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s="133" customFormat="1" x14ac:dyDescent="0.25">
      <c r="A118" s="29" t="s">
        <v>56</v>
      </c>
      <c r="B118" s="34" t="s">
        <v>13</v>
      </c>
      <c r="C118" s="34">
        <v>1963</v>
      </c>
      <c r="D118" s="34"/>
      <c r="E118" s="34"/>
      <c r="F118" s="34"/>
      <c r="G118" s="56">
        <v>39.624254999999998</v>
      </c>
      <c r="H118" s="56">
        <v>-74.192042999999998</v>
      </c>
      <c r="I118" s="14" t="s">
        <v>1</v>
      </c>
      <c r="J118" s="18" t="s">
        <v>17</v>
      </c>
      <c r="K118" s="24"/>
      <c r="L118" s="12"/>
      <c r="M118" s="25">
        <v>397818</v>
      </c>
      <c r="N118" s="12">
        <f t="shared" si="45"/>
        <v>304153.74099000002</v>
      </c>
      <c r="O118" s="12"/>
      <c r="P118" s="12"/>
      <c r="Q118" s="12"/>
      <c r="R118" s="36"/>
      <c r="S118" s="9">
        <v>0.129</v>
      </c>
      <c r="T118" s="8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s="133" customFormat="1" x14ac:dyDescent="0.25">
      <c r="A119" s="29" t="s">
        <v>56</v>
      </c>
      <c r="B119" s="34" t="s">
        <v>13</v>
      </c>
      <c r="C119" s="34">
        <v>1963</v>
      </c>
      <c r="D119" s="34"/>
      <c r="E119" s="34"/>
      <c r="F119" s="34"/>
      <c r="G119" s="56">
        <v>39.624254999999998</v>
      </c>
      <c r="H119" s="56">
        <v>-74.192042999999998</v>
      </c>
      <c r="I119" s="23" t="s">
        <v>15</v>
      </c>
      <c r="J119" s="18" t="s">
        <v>17</v>
      </c>
      <c r="K119" s="24"/>
      <c r="L119" s="12"/>
      <c r="M119" s="25">
        <v>729664</v>
      </c>
      <c r="N119" s="12">
        <f t="shared" si="45"/>
        <v>557868.25951999996</v>
      </c>
      <c r="O119" s="12"/>
      <c r="P119" s="12"/>
      <c r="Q119" s="12"/>
      <c r="R119" s="26">
        <v>1008050</v>
      </c>
      <c r="S119" s="9">
        <v>0.129</v>
      </c>
      <c r="T119" s="8">
        <f t="shared" ref="T119:T125" si="48">+R119/S119</f>
        <v>7814341.0852713175</v>
      </c>
      <c r="U119" s="133">
        <f>T119/N119</f>
        <v>14.007502581335098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s="133" customFormat="1" x14ac:dyDescent="0.25">
      <c r="A120" s="2" t="s">
        <v>53</v>
      </c>
      <c r="B120" s="3" t="s">
        <v>13</v>
      </c>
      <c r="C120" s="3">
        <v>1962</v>
      </c>
      <c r="D120" s="3"/>
      <c r="E120" s="3"/>
      <c r="F120" s="3"/>
      <c r="G120" s="4">
        <v>39.620367000000002</v>
      </c>
      <c r="H120" s="4">
        <v>-74.194772</v>
      </c>
      <c r="I120" s="5" t="s">
        <v>15</v>
      </c>
      <c r="J120" s="18" t="s">
        <v>17</v>
      </c>
      <c r="K120" s="6">
        <v>27135</v>
      </c>
      <c r="L120" s="12">
        <f>K120*0.3048</f>
        <v>8270.7479999999996</v>
      </c>
      <c r="M120" s="7">
        <v>204000</v>
      </c>
      <c r="N120" s="12">
        <f t="shared" si="45"/>
        <v>155969.22</v>
      </c>
      <c r="O120" s="12"/>
      <c r="P120" s="12">
        <f t="shared" ref="P120:P123" si="49">N120/L120</f>
        <v>18.857934010321678</v>
      </c>
      <c r="Q120" s="12">
        <f t="shared" ref="Q120:Q123" si="50">P120/10</f>
        <v>1.8857934010321677</v>
      </c>
      <c r="R120" s="13"/>
      <c r="S120" s="9">
        <v>0.127</v>
      </c>
      <c r="T120" s="8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42" s="133" customFormat="1" x14ac:dyDescent="0.25">
      <c r="A121" s="2" t="s">
        <v>53</v>
      </c>
      <c r="B121" s="3" t="s">
        <v>13</v>
      </c>
      <c r="C121" s="3">
        <v>1956</v>
      </c>
      <c r="D121" s="3"/>
      <c r="E121" s="3"/>
      <c r="F121" s="3"/>
      <c r="G121" s="4">
        <v>39.620367000000002</v>
      </c>
      <c r="H121" s="4">
        <v>-74.194772</v>
      </c>
      <c r="I121" s="14" t="s">
        <v>1</v>
      </c>
      <c r="J121" s="5" t="s">
        <v>14</v>
      </c>
      <c r="K121" s="6">
        <v>6900</v>
      </c>
      <c r="L121" s="12">
        <f>K121*0.3048</f>
        <v>2103.12</v>
      </c>
      <c r="M121" s="7">
        <v>115000</v>
      </c>
      <c r="N121" s="12">
        <f t="shared" si="45"/>
        <v>87923.824999999997</v>
      </c>
      <c r="O121" s="12"/>
      <c r="P121" s="12">
        <f t="shared" si="49"/>
        <v>41.80637576552931</v>
      </c>
      <c r="Q121" s="12">
        <f t="shared" si="50"/>
        <v>4.1806375765529307</v>
      </c>
      <c r="R121" s="8">
        <v>76463</v>
      </c>
      <c r="S121" s="9">
        <v>0.114</v>
      </c>
      <c r="T121" s="8">
        <f t="shared" si="48"/>
        <v>670728.07017543854</v>
      </c>
      <c r="U121" s="133">
        <f>T121/N121</f>
        <v>7.6285133202000548</v>
      </c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42" s="133" customFormat="1" x14ac:dyDescent="0.25">
      <c r="A122" s="2" t="s">
        <v>53</v>
      </c>
      <c r="B122" s="3" t="s">
        <v>13</v>
      </c>
      <c r="C122" s="3">
        <v>1961</v>
      </c>
      <c r="D122" s="3"/>
      <c r="E122" s="3"/>
      <c r="F122" s="3"/>
      <c r="G122" s="4">
        <v>39.620367000000002</v>
      </c>
      <c r="H122" s="4">
        <v>-74.194772</v>
      </c>
      <c r="I122" s="5" t="s">
        <v>14</v>
      </c>
      <c r="J122" s="5" t="s">
        <v>14</v>
      </c>
      <c r="K122" s="6">
        <v>1275</v>
      </c>
      <c r="L122" s="12">
        <f>K122*0.3048</f>
        <v>388.62</v>
      </c>
      <c r="M122" s="7">
        <v>72498</v>
      </c>
      <c r="N122" s="12">
        <f t="shared" si="45"/>
        <v>55428.70839</v>
      </c>
      <c r="O122" s="12"/>
      <c r="P122" s="12">
        <f t="shared" si="49"/>
        <v>142.62958259996913</v>
      </c>
      <c r="Q122" s="12">
        <f t="shared" si="50"/>
        <v>14.262958259996912</v>
      </c>
      <c r="R122" s="13"/>
      <c r="S122" s="9">
        <v>0.126</v>
      </c>
      <c r="T122" s="8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s="133" customFormat="1" x14ac:dyDescent="0.25">
      <c r="A123" s="2" t="s">
        <v>53</v>
      </c>
      <c r="B123" s="3" t="s">
        <v>13</v>
      </c>
      <c r="C123" s="3">
        <v>1962</v>
      </c>
      <c r="D123" s="3"/>
      <c r="E123" s="3"/>
      <c r="F123" s="3"/>
      <c r="G123" s="4">
        <v>39.620367000000002</v>
      </c>
      <c r="H123" s="4">
        <v>-74.194772</v>
      </c>
      <c r="I123" s="14" t="s">
        <v>1</v>
      </c>
      <c r="J123" s="18" t="s">
        <v>17</v>
      </c>
      <c r="K123" s="6">
        <v>3250</v>
      </c>
      <c r="L123" s="12">
        <f>K123*0.3048</f>
        <v>990.6</v>
      </c>
      <c r="M123" s="7">
        <v>216619</v>
      </c>
      <c r="N123" s="12">
        <f t="shared" si="45"/>
        <v>165617.13954499998</v>
      </c>
      <c r="O123" s="12"/>
      <c r="P123" s="12">
        <f t="shared" si="49"/>
        <v>167.18871345144356</v>
      </c>
      <c r="Q123" s="12">
        <f t="shared" si="50"/>
        <v>16.718871345144358</v>
      </c>
      <c r="R123" s="13"/>
      <c r="S123" s="9">
        <v>0.127</v>
      </c>
      <c r="T123" s="8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1:42" s="133" customFormat="1" x14ac:dyDescent="0.25">
      <c r="A124" s="2" t="s">
        <v>53</v>
      </c>
      <c r="B124" s="3" t="s">
        <v>13</v>
      </c>
      <c r="C124" s="3">
        <v>2012</v>
      </c>
      <c r="D124" s="3"/>
      <c r="E124" s="3"/>
      <c r="F124" s="3"/>
      <c r="G124" s="4">
        <v>39.620367000000002</v>
      </c>
      <c r="H124" s="4">
        <v>-74.194772</v>
      </c>
      <c r="I124" s="14" t="s">
        <v>15</v>
      </c>
      <c r="J124" s="18" t="s">
        <v>16</v>
      </c>
      <c r="K124" s="6">
        <v>5400</v>
      </c>
      <c r="L124" s="12">
        <f>K124*0.3048</f>
        <v>1645.92</v>
      </c>
      <c r="M124" s="7">
        <v>1250000</v>
      </c>
      <c r="N124" s="12">
        <f t="shared" si="45"/>
        <v>955693.75</v>
      </c>
      <c r="O124" s="12"/>
      <c r="P124" s="12">
        <f>N124/L124</f>
        <v>580.64410785457369</v>
      </c>
      <c r="Q124" s="12">
        <f>P124/10</f>
        <v>58.064410785457369</v>
      </c>
      <c r="R124" s="26">
        <v>16700000</v>
      </c>
      <c r="S124" s="20">
        <v>0.96399999999999997</v>
      </c>
      <c r="T124" s="8">
        <f t="shared" si="48"/>
        <v>17323651.452282157</v>
      </c>
      <c r="U124" s="133">
        <f t="shared" ref="U124:U125" si="51">T124/N124</f>
        <v>18.126781149591235</v>
      </c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1:42" s="133" customFormat="1" x14ac:dyDescent="0.25">
      <c r="A125" s="2" t="s">
        <v>53</v>
      </c>
      <c r="B125" s="3" t="s">
        <v>13</v>
      </c>
      <c r="C125" s="3">
        <v>2014</v>
      </c>
      <c r="D125" s="3"/>
      <c r="E125" s="3"/>
      <c r="F125" s="3"/>
      <c r="G125" s="4">
        <v>39.620367000000002</v>
      </c>
      <c r="H125" s="4">
        <v>-74.194772</v>
      </c>
      <c r="I125" s="14" t="s">
        <v>15</v>
      </c>
      <c r="J125" s="18" t="s">
        <v>17</v>
      </c>
      <c r="K125" s="6"/>
      <c r="L125" s="12">
        <f>N125/P125</f>
        <v>2384.4137399456295</v>
      </c>
      <c r="M125" s="6">
        <v>1060000</v>
      </c>
      <c r="N125" s="12">
        <f t="shared" si="45"/>
        <v>810428.29999999993</v>
      </c>
      <c r="O125" s="12"/>
      <c r="P125" s="12">
        <f>339.88577</f>
        <v>339.88576999999998</v>
      </c>
      <c r="Q125" s="192">
        <f>P125/10</f>
        <v>33.988576999999999</v>
      </c>
      <c r="R125" s="37">
        <v>10894006</v>
      </c>
      <c r="S125" s="9">
        <v>0.99399999999999999</v>
      </c>
      <c r="T125" s="8">
        <f t="shared" si="48"/>
        <v>10959764.587525152</v>
      </c>
      <c r="U125" s="133">
        <f t="shared" si="51"/>
        <v>13.523422846321077</v>
      </c>
      <c r="Y125" s="10"/>
      <c r="Z125" s="10"/>
      <c r="AA125" s="10"/>
      <c r="AB125" s="10"/>
      <c r="AC125" s="10"/>
      <c r="AD125" s="10"/>
      <c r="AE125" s="10"/>
      <c r="AF125" s="10"/>
      <c r="AG125" s="10"/>
      <c r="AH125" s="57"/>
      <c r="AI125" s="57"/>
      <c r="AJ125" s="57"/>
      <c r="AK125" s="57"/>
      <c r="AL125" s="57"/>
      <c r="AM125" s="57"/>
      <c r="AN125" s="57"/>
      <c r="AO125" s="57"/>
      <c r="AP125" s="57"/>
    </row>
    <row r="126" spans="1:42" s="133" customFormat="1" x14ac:dyDescent="0.25">
      <c r="A126" s="2" t="s">
        <v>52</v>
      </c>
      <c r="B126" s="3" t="s">
        <v>13</v>
      </c>
      <c r="C126" s="11">
        <v>2010</v>
      </c>
      <c r="D126" s="11"/>
      <c r="E126" s="11"/>
      <c r="F126" s="11"/>
      <c r="G126" s="4">
        <v>39.557397999999999</v>
      </c>
      <c r="H126" s="4">
        <v>-74.239254000000003</v>
      </c>
      <c r="I126" s="14" t="s">
        <v>1</v>
      </c>
      <c r="J126" s="5" t="s">
        <v>14</v>
      </c>
      <c r="K126" s="12">
        <v>390</v>
      </c>
      <c r="L126" s="12">
        <f>K126*0.3048</f>
        <v>118.872</v>
      </c>
      <c r="M126" s="12">
        <v>2000</v>
      </c>
      <c r="N126" s="12">
        <f>M126*0.764555</f>
        <v>1529.11</v>
      </c>
      <c r="O126" s="12"/>
      <c r="P126" s="12">
        <f>N126/L126</f>
        <v>12.863500235547479</v>
      </c>
      <c r="Q126" s="12">
        <f>P126/10</f>
        <v>1.2863500235547478</v>
      </c>
      <c r="R126" s="19">
        <v>471999.5</v>
      </c>
      <c r="S126" s="9">
        <v>0.91600000000000004</v>
      </c>
      <c r="T126" s="8">
        <f>+R126/S126</f>
        <v>515283.29694323143</v>
      </c>
      <c r="U126" s="133">
        <f>T126/N126</f>
        <v>336.9824910851616</v>
      </c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1:42" s="133" customFormat="1" x14ac:dyDescent="0.25">
      <c r="A127" s="2" t="s">
        <v>52</v>
      </c>
      <c r="B127" s="3" t="s">
        <v>13</v>
      </c>
      <c r="C127" s="3">
        <v>1963</v>
      </c>
      <c r="D127" s="3"/>
      <c r="E127" s="3"/>
      <c r="F127" s="3"/>
      <c r="G127" s="4">
        <v>39.557397999999999</v>
      </c>
      <c r="H127" s="4">
        <v>-74.239254000000003</v>
      </c>
      <c r="I127" s="14" t="s">
        <v>1</v>
      </c>
      <c r="J127" s="23" t="s">
        <v>17</v>
      </c>
      <c r="K127" s="6">
        <v>9939</v>
      </c>
      <c r="L127" s="12">
        <f>K127*0.3048</f>
        <v>3029.4072000000001</v>
      </c>
      <c r="M127" s="7">
        <v>260000</v>
      </c>
      <c r="N127" s="12">
        <f>M127*0.764555</f>
        <v>198784.3</v>
      </c>
      <c r="O127" s="12"/>
      <c r="P127" s="12">
        <f t="shared" ref="P127:P128" si="52">N127/L127</f>
        <v>65.618217319876962</v>
      </c>
      <c r="Q127" s="12">
        <f t="shared" ref="Q127:Q128" si="53">P127/10</f>
        <v>6.5618217319876964</v>
      </c>
      <c r="R127" s="13"/>
      <c r="S127" s="9">
        <v>0.129</v>
      </c>
      <c r="T127" s="8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1:42" s="133" customFormat="1" x14ac:dyDescent="0.25">
      <c r="A128" s="2" t="s">
        <v>52</v>
      </c>
      <c r="B128" s="3" t="s">
        <v>13</v>
      </c>
      <c r="C128" s="3">
        <v>1962</v>
      </c>
      <c r="D128" s="3"/>
      <c r="E128" s="3"/>
      <c r="F128" s="3"/>
      <c r="G128" s="4">
        <v>39.557397999999999</v>
      </c>
      <c r="H128" s="4">
        <v>-74.239254000000003</v>
      </c>
      <c r="I128" s="5" t="s">
        <v>15</v>
      </c>
      <c r="J128" s="18" t="s">
        <v>17</v>
      </c>
      <c r="K128" s="6">
        <v>9670</v>
      </c>
      <c r="L128" s="12">
        <f>K128*0.3048</f>
        <v>2947.4160000000002</v>
      </c>
      <c r="M128" s="7">
        <v>405000</v>
      </c>
      <c r="N128" s="12">
        <f>M128*0.764555</f>
        <v>309644.77499999997</v>
      </c>
      <c r="O128" s="12"/>
      <c r="P128" s="12">
        <f t="shared" si="52"/>
        <v>105.05635275101986</v>
      </c>
      <c r="Q128" s="12">
        <f t="shared" si="53"/>
        <v>10.505635275101985</v>
      </c>
      <c r="R128" s="13"/>
      <c r="S128" s="9">
        <v>0.127</v>
      </c>
      <c r="T128" s="8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1:42" s="133" customFormat="1" x14ac:dyDescent="0.25">
      <c r="A129" s="2" t="s">
        <v>52</v>
      </c>
      <c r="B129" s="3" t="s">
        <v>13</v>
      </c>
      <c r="C129" s="3">
        <v>1963</v>
      </c>
      <c r="D129" s="3"/>
      <c r="E129" s="3"/>
      <c r="F129" s="3"/>
      <c r="G129" s="4">
        <v>39.557397999999999</v>
      </c>
      <c r="H129" s="4">
        <v>-74.239254000000003</v>
      </c>
      <c r="I129" s="5" t="s">
        <v>14</v>
      </c>
      <c r="J129" s="5" t="s">
        <v>14</v>
      </c>
      <c r="K129" s="6"/>
      <c r="L129" s="12"/>
      <c r="M129" s="7">
        <v>70000</v>
      </c>
      <c r="N129" s="12">
        <f>M129*0.764555</f>
        <v>53518.85</v>
      </c>
      <c r="O129" s="12"/>
      <c r="P129" s="12"/>
      <c r="Q129" s="12"/>
      <c r="R129" s="13"/>
      <c r="S129" s="9">
        <v>0.129</v>
      </c>
      <c r="T129" s="8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1:42" s="133" customFormat="1" x14ac:dyDescent="0.25">
      <c r="A130" s="38" t="s">
        <v>34</v>
      </c>
      <c r="B130" s="39" t="s">
        <v>13</v>
      </c>
      <c r="C130" s="39">
        <v>1962</v>
      </c>
      <c r="D130" s="39"/>
      <c r="E130" s="39"/>
      <c r="F130" s="39"/>
      <c r="G130" s="40">
        <v>39.405825999999998</v>
      </c>
      <c r="H130" s="40">
        <v>-74.362420999999998</v>
      </c>
      <c r="I130" s="41" t="s">
        <v>15</v>
      </c>
      <c r="J130" s="41" t="s">
        <v>35</v>
      </c>
      <c r="K130" s="42">
        <v>18000</v>
      </c>
      <c r="L130" s="12">
        <f>K130*0.3048</f>
        <v>5486.4000000000005</v>
      </c>
      <c r="M130" s="42">
        <v>392500</v>
      </c>
      <c r="N130" s="12">
        <f t="shared" ref="N130:N139" si="54">M130*0.764555</f>
        <v>300087.83749999997</v>
      </c>
      <c r="O130" s="12"/>
      <c r="P130" s="12">
        <f t="shared" ref="P130" si="55">N130/L130</f>
        <v>54.696674959900832</v>
      </c>
      <c r="Q130" s="12">
        <f t="shared" ref="Q130:Q134" si="56">P130/10</f>
        <v>5.4696674959900831</v>
      </c>
      <c r="R130" s="43">
        <v>503700</v>
      </c>
      <c r="S130" s="44">
        <v>0.127</v>
      </c>
      <c r="T130" s="45">
        <f>+R130/S130</f>
        <v>3966141.7322834646</v>
      </c>
      <c r="U130" s="133">
        <f t="shared" ref="U130:U132" si="57">T130/N130</f>
        <v>13.216602729803952</v>
      </c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1:42" s="133" customFormat="1" x14ac:dyDescent="0.25">
      <c r="A131" s="2" t="s">
        <v>34</v>
      </c>
      <c r="B131" s="3" t="s">
        <v>13</v>
      </c>
      <c r="C131" s="11">
        <v>1997</v>
      </c>
      <c r="D131" s="11"/>
      <c r="E131" s="11"/>
      <c r="F131" s="11"/>
      <c r="G131" s="4">
        <v>39.405825999999998</v>
      </c>
      <c r="H131" s="4">
        <v>-74.362420999999998</v>
      </c>
      <c r="I131" s="14" t="s">
        <v>1</v>
      </c>
      <c r="J131" s="18" t="s">
        <v>16</v>
      </c>
      <c r="K131" s="6"/>
      <c r="L131" s="12"/>
      <c r="M131" s="12">
        <v>1200000</v>
      </c>
      <c r="N131" s="12">
        <f t="shared" si="54"/>
        <v>917466</v>
      </c>
      <c r="O131" s="12"/>
      <c r="P131" s="12"/>
      <c r="Q131" s="12"/>
      <c r="R131" s="8">
        <v>6000000</v>
      </c>
      <c r="S131" s="9">
        <v>0.67600000000000005</v>
      </c>
      <c r="T131" s="8">
        <f>+R131/S131</f>
        <v>8875739.6449704133</v>
      </c>
      <c r="U131" s="133">
        <f t="shared" si="57"/>
        <v>9.6741891742804782</v>
      </c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1:42" s="133" customFormat="1" x14ac:dyDescent="0.25">
      <c r="A132" s="2" t="s">
        <v>34</v>
      </c>
      <c r="B132" s="3" t="s">
        <v>13</v>
      </c>
      <c r="C132" s="11">
        <v>1999</v>
      </c>
      <c r="D132" s="11"/>
      <c r="E132" s="11"/>
      <c r="F132" s="11"/>
      <c r="G132" s="4">
        <v>39.405825999999998</v>
      </c>
      <c r="H132" s="4">
        <v>-74.362420999999998</v>
      </c>
      <c r="I132" s="18" t="s">
        <v>15</v>
      </c>
      <c r="J132" s="18" t="s">
        <v>16</v>
      </c>
      <c r="K132" s="32">
        <v>9504</v>
      </c>
      <c r="L132" s="12">
        <f>K132*0.3048</f>
        <v>2896.8192000000004</v>
      </c>
      <c r="M132" s="32">
        <v>999827</v>
      </c>
      <c r="N132" s="12">
        <f t="shared" si="54"/>
        <v>764422.73198499996</v>
      </c>
      <c r="O132" s="12"/>
      <c r="P132" s="12">
        <f t="shared" ref="P132:P134" si="58">N132/L132</f>
        <v>263.88348019268852</v>
      </c>
      <c r="Q132" s="12">
        <f t="shared" si="56"/>
        <v>26.388348019268854</v>
      </c>
      <c r="R132" s="47">
        <v>4970000</v>
      </c>
      <c r="S132" s="9">
        <v>0.69899999999999995</v>
      </c>
      <c r="T132" s="26">
        <f>+R132/S132</f>
        <v>7110157.3676680978</v>
      </c>
      <c r="U132" s="133">
        <f t="shared" si="57"/>
        <v>9.3013421372294012</v>
      </c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1:42" s="133" customFormat="1" x14ac:dyDescent="0.25">
      <c r="A133" s="2" t="s">
        <v>34</v>
      </c>
      <c r="B133" s="3" t="s">
        <v>13</v>
      </c>
      <c r="C133" s="11">
        <v>2001</v>
      </c>
      <c r="D133" s="11"/>
      <c r="E133" s="11"/>
      <c r="F133" s="11"/>
      <c r="G133" s="4">
        <v>39.405825999999998</v>
      </c>
      <c r="H133" s="4">
        <v>-74.362420999999998</v>
      </c>
      <c r="I133" s="14" t="s">
        <v>15</v>
      </c>
      <c r="J133" s="18" t="s">
        <v>17</v>
      </c>
      <c r="K133" s="6">
        <v>2700</v>
      </c>
      <c r="L133" s="12">
        <f>K133*0.3048</f>
        <v>822.96</v>
      </c>
      <c r="M133" s="12">
        <v>615000</v>
      </c>
      <c r="N133" s="12">
        <f t="shared" si="54"/>
        <v>470201.32500000001</v>
      </c>
      <c r="O133" s="12"/>
      <c r="P133" s="12">
        <f t="shared" si="58"/>
        <v>571.3538021289005</v>
      </c>
      <c r="Q133" s="12">
        <f t="shared" si="56"/>
        <v>57.135380212890048</v>
      </c>
      <c r="R133" s="13"/>
      <c r="S133" s="9">
        <v>0.746</v>
      </c>
      <c r="T133" s="8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1:42" s="133" customFormat="1" x14ac:dyDescent="0.25">
      <c r="A134" s="2" t="s">
        <v>34</v>
      </c>
      <c r="B134" s="3" t="s">
        <v>13</v>
      </c>
      <c r="C134" s="11">
        <v>2006</v>
      </c>
      <c r="D134" s="11"/>
      <c r="E134" s="11"/>
      <c r="F134" s="11"/>
      <c r="G134" s="4">
        <v>39.405825999999998</v>
      </c>
      <c r="H134" s="4">
        <v>-74.362420999999998</v>
      </c>
      <c r="I134" s="18" t="s">
        <v>15</v>
      </c>
      <c r="J134" s="18" t="s">
        <v>16</v>
      </c>
      <c r="K134" s="32">
        <v>9504</v>
      </c>
      <c r="L134" s="12">
        <f>K134*0.3048</f>
        <v>2896.8192000000004</v>
      </c>
      <c r="M134" s="32">
        <v>672000</v>
      </c>
      <c r="N134" s="12">
        <f t="shared" si="54"/>
        <v>513780.95999999996</v>
      </c>
      <c r="O134" s="12"/>
      <c r="P134" s="12">
        <f t="shared" si="58"/>
        <v>177.36038203557885</v>
      </c>
      <c r="Q134" s="12">
        <f t="shared" si="56"/>
        <v>17.736038203557886</v>
      </c>
      <c r="R134" s="47">
        <v>3563995</v>
      </c>
      <c r="S134" s="9">
        <v>0.84699999999999998</v>
      </c>
      <c r="T134" s="8">
        <f t="shared" ref="T134:T139" si="59">+R134/S134</f>
        <v>4207786.3046044866</v>
      </c>
      <c r="U134" s="133">
        <f t="shared" ref="U134:U139" si="60">T134/N134</f>
        <v>8.1898447630377103</v>
      </c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1:42" s="133" customFormat="1" x14ac:dyDescent="0.25">
      <c r="A135" s="2" t="s">
        <v>34</v>
      </c>
      <c r="B135" s="3" t="s">
        <v>13</v>
      </c>
      <c r="C135" s="11">
        <v>2011</v>
      </c>
      <c r="D135" s="11"/>
      <c r="E135" s="11"/>
      <c r="F135" s="11"/>
      <c r="G135" s="4">
        <v>39.405825999999998</v>
      </c>
      <c r="H135" s="4">
        <v>-74.362420999999998</v>
      </c>
      <c r="I135" s="18" t="s">
        <v>15</v>
      </c>
      <c r="J135" s="18" t="s">
        <v>17</v>
      </c>
      <c r="K135" s="32">
        <v>9504</v>
      </c>
      <c r="L135" s="12">
        <f>K135*0.3048</f>
        <v>2896.8192000000004</v>
      </c>
      <c r="M135" s="32">
        <v>175000</v>
      </c>
      <c r="N135" s="12">
        <f t="shared" si="54"/>
        <v>133797.125</v>
      </c>
      <c r="O135" s="12"/>
      <c r="P135" s="12">
        <f>N135/L135</f>
        <v>46.187599488431992</v>
      </c>
      <c r="Q135" s="12">
        <f>P135/10</f>
        <v>4.6187599488431994</v>
      </c>
      <c r="R135" s="47">
        <v>4854435</v>
      </c>
      <c r="S135" s="20">
        <v>0.96399999999999997</v>
      </c>
      <c r="T135" s="8">
        <f t="shared" si="59"/>
        <v>5035720.9543568464</v>
      </c>
      <c r="U135" s="133">
        <f t="shared" si="60"/>
        <v>37.636989242906722</v>
      </c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1:42" s="133" customFormat="1" x14ac:dyDescent="0.25">
      <c r="A136" s="2" t="s">
        <v>34</v>
      </c>
      <c r="B136" s="3" t="s">
        <v>13</v>
      </c>
      <c r="C136" s="3">
        <v>2013</v>
      </c>
      <c r="D136" s="3"/>
      <c r="E136" s="3"/>
      <c r="F136" s="3"/>
      <c r="G136" s="4">
        <v>39.405825999999998</v>
      </c>
      <c r="H136" s="4">
        <v>-74.362420999999998</v>
      </c>
      <c r="I136" s="18" t="s">
        <v>15</v>
      </c>
      <c r="J136" s="18" t="s">
        <v>17</v>
      </c>
      <c r="K136" s="6">
        <v>9504</v>
      </c>
      <c r="L136" s="12">
        <f>K136*0.3048</f>
        <v>2896.8192000000004</v>
      </c>
      <c r="M136" s="6">
        <v>667000</v>
      </c>
      <c r="N136" s="12">
        <f t="shared" si="54"/>
        <v>509958.185</v>
      </c>
      <c r="O136" s="12"/>
      <c r="P136" s="195">
        <f>AVERAGE(N136:N138)/AVERAGE(L136:L138)</f>
        <v>242.55087959925143</v>
      </c>
      <c r="Q136" s="197">
        <f>P136/10</f>
        <v>24.255087959925142</v>
      </c>
      <c r="R136" s="26">
        <v>13693204</v>
      </c>
      <c r="S136" s="20">
        <v>0.97799999999999998</v>
      </c>
      <c r="T136" s="8">
        <f t="shared" si="59"/>
        <v>14001231.083844582</v>
      </c>
      <c r="U136" s="133">
        <f t="shared" si="60"/>
        <v>27.455645375796021</v>
      </c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1:42" s="133" customFormat="1" x14ac:dyDescent="0.25">
      <c r="A137" s="2" t="s">
        <v>34</v>
      </c>
      <c r="B137" s="3" t="s">
        <v>13</v>
      </c>
      <c r="C137" s="3">
        <v>2013</v>
      </c>
      <c r="D137" s="3"/>
      <c r="E137" s="3"/>
      <c r="F137" s="3"/>
      <c r="G137" s="4">
        <v>39.405825999999998</v>
      </c>
      <c r="H137" s="4">
        <v>-74.362420999999998</v>
      </c>
      <c r="I137" s="18" t="s">
        <v>15</v>
      </c>
      <c r="J137" s="18" t="s">
        <v>17</v>
      </c>
      <c r="K137" s="7"/>
      <c r="L137" s="12"/>
      <c r="M137" s="7">
        <v>90000</v>
      </c>
      <c r="N137" s="12">
        <f t="shared" si="54"/>
        <v>68809.95</v>
      </c>
      <c r="O137" s="12"/>
      <c r="P137" s="195"/>
      <c r="Q137" s="197"/>
      <c r="R137" s="13">
        <v>1377551</v>
      </c>
      <c r="S137" s="20">
        <v>0.97799999999999998</v>
      </c>
      <c r="T137" s="8">
        <f t="shared" si="59"/>
        <v>1408538.8548057261</v>
      </c>
      <c r="U137" s="133">
        <f t="shared" si="60"/>
        <v>20.469988058496281</v>
      </c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1:42" s="133" customFormat="1" x14ac:dyDescent="0.25">
      <c r="A138" s="2" t="s">
        <v>34</v>
      </c>
      <c r="B138" s="3" t="s">
        <v>13</v>
      </c>
      <c r="C138" s="165">
        <v>2014</v>
      </c>
      <c r="K138" s="133">
        <v>9504</v>
      </c>
      <c r="L138" s="12">
        <f>K138*0.3048</f>
        <v>2896.8192000000004</v>
      </c>
      <c r="M138" s="133">
        <v>2000000</v>
      </c>
      <c r="N138" s="12">
        <f t="shared" si="54"/>
        <v>1529110</v>
      </c>
      <c r="O138" s="12"/>
      <c r="P138" s="195"/>
      <c r="Q138" s="197"/>
      <c r="R138" s="133">
        <v>41862230</v>
      </c>
      <c r="S138" s="9">
        <v>0.99399999999999999</v>
      </c>
      <c r="T138" s="8">
        <f t="shared" si="59"/>
        <v>42114919.517102614</v>
      </c>
      <c r="U138" s="133">
        <f t="shared" si="60"/>
        <v>27.54211241644003</v>
      </c>
    </row>
    <row r="139" spans="1:42" s="133" customFormat="1" x14ac:dyDescent="0.25">
      <c r="A139" s="2" t="s">
        <v>34</v>
      </c>
      <c r="B139" s="3" t="s">
        <v>13</v>
      </c>
      <c r="C139" s="165">
        <v>2018</v>
      </c>
      <c r="M139" s="133">
        <v>754090</v>
      </c>
      <c r="N139" s="12">
        <f t="shared" si="54"/>
        <v>576543.27995</v>
      </c>
      <c r="O139" s="12"/>
      <c r="P139" s="133">
        <f>N139/L138</f>
        <v>199.02632513275248</v>
      </c>
      <c r="Q139" s="126">
        <f>P139/10</f>
        <v>19.902632513275247</v>
      </c>
      <c r="R139" s="133">
        <v>9697181</v>
      </c>
      <c r="S139" s="9">
        <v>1.0468</v>
      </c>
      <c r="T139" s="8">
        <f t="shared" si="59"/>
        <v>9263642.529614063</v>
      </c>
      <c r="U139" s="133">
        <f t="shared" si="60"/>
        <v>16.067557895076742</v>
      </c>
    </row>
    <row r="140" spans="1:42" s="133" customFormat="1" x14ac:dyDescent="0.25">
      <c r="A140" s="2" t="s">
        <v>12</v>
      </c>
      <c r="B140" s="3" t="s">
        <v>13</v>
      </c>
      <c r="C140" s="11">
        <v>1936</v>
      </c>
      <c r="D140" s="11"/>
      <c r="E140" s="11"/>
      <c r="F140" s="11"/>
      <c r="G140" s="4">
        <v>39.357595000000003</v>
      </c>
      <c r="H140" s="4">
        <v>-74.421816000000007</v>
      </c>
      <c r="I140" s="5" t="s">
        <v>15</v>
      </c>
      <c r="J140" s="5" t="s">
        <v>16</v>
      </c>
      <c r="K140" s="12"/>
      <c r="L140" s="12"/>
      <c r="M140" s="12">
        <v>191447</v>
      </c>
      <c r="N140" s="12">
        <f t="shared" ref="N140:N160" si="61">M140*0.764555</f>
        <v>146371.76108500001</v>
      </c>
      <c r="O140" s="12"/>
      <c r="P140" s="12"/>
      <c r="Q140" s="12"/>
      <c r="R140" s="13"/>
      <c r="S140" s="9">
        <v>5.8000000000000003E-2</v>
      </c>
      <c r="T140" s="8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1:42" s="133" customFormat="1" x14ac:dyDescent="0.25">
      <c r="A141" s="2" t="s">
        <v>12</v>
      </c>
      <c r="B141" s="3" t="s">
        <v>13</v>
      </c>
      <c r="C141" s="3">
        <v>1936</v>
      </c>
      <c r="D141" s="3"/>
      <c r="E141" s="3"/>
      <c r="F141" s="3"/>
      <c r="G141" s="4">
        <v>39.357595000000003</v>
      </c>
      <c r="H141" s="4">
        <v>-74.421816000000007</v>
      </c>
      <c r="I141" s="5" t="s">
        <v>14</v>
      </c>
      <c r="J141" s="5" t="s">
        <v>14</v>
      </c>
      <c r="K141" s="6"/>
      <c r="L141" s="12"/>
      <c r="M141" s="7">
        <v>792000</v>
      </c>
      <c r="N141" s="12">
        <f t="shared" si="61"/>
        <v>605527.55999999994</v>
      </c>
      <c r="O141" s="12"/>
      <c r="P141" s="12"/>
      <c r="Q141" s="12"/>
      <c r="R141" s="8">
        <v>157832</v>
      </c>
      <c r="S141" s="9">
        <v>5.8000000000000003E-2</v>
      </c>
      <c r="T141" s="8">
        <f>+R141/S141</f>
        <v>2721241.3793103448</v>
      </c>
      <c r="U141" s="133">
        <f t="shared" ref="U141:U144" si="62">T141/N141</f>
        <v>4.4940008664681503</v>
      </c>
      <c r="Y141" s="27"/>
      <c r="Z141" s="27"/>
      <c r="AA141" s="27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1:42" s="133" customFormat="1" x14ac:dyDescent="0.25">
      <c r="A142" s="2" t="s">
        <v>12</v>
      </c>
      <c r="B142" s="3" t="s">
        <v>13</v>
      </c>
      <c r="C142" s="3">
        <v>1937</v>
      </c>
      <c r="D142" s="3"/>
      <c r="E142" s="3"/>
      <c r="F142" s="3"/>
      <c r="G142" s="4">
        <v>39.357595000000003</v>
      </c>
      <c r="H142" s="4">
        <v>-74.421816000000007</v>
      </c>
      <c r="I142" s="5" t="s">
        <v>14</v>
      </c>
      <c r="J142" s="5" t="s">
        <v>14</v>
      </c>
      <c r="K142" s="6"/>
      <c r="L142" s="12"/>
      <c r="M142" s="7">
        <v>900000</v>
      </c>
      <c r="N142" s="12">
        <f t="shared" si="61"/>
        <v>688099.5</v>
      </c>
      <c r="O142" s="12"/>
      <c r="P142" s="12"/>
      <c r="Q142" s="12"/>
      <c r="R142" s="8">
        <v>204638</v>
      </c>
      <c r="S142" s="9">
        <v>0.06</v>
      </c>
      <c r="T142" s="8">
        <f>+R142/S142</f>
        <v>3410633.3333333335</v>
      </c>
      <c r="U142" s="133">
        <f t="shared" si="62"/>
        <v>4.9565990577428609</v>
      </c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1:42" s="133" customFormat="1" x14ac:dyDescent="0.25">
      <c r="A143" s="2" t="s">
        <v>12</v>
      </c>
      <c r="B143" s="3" t="s">
        <v>13</v>
      </c>
      <c r="C143" s="3">
        <v>1938</v>
      </c>
      <c r="D143" s="3"/>
      <c r="E143" s="3"/>
      <c r="F143" s="3"/>
      <c r="G143" s="4">
        <v>39.357595000000003</v>
      </c>
      <c r="H143" s="4">
        <v>-74.421816000000007</v>
      </c>
      <c r="I143" s="5" t="s">
        <v>14</v>
      </c>
      <c r="J143" s="5" t="s">
        <v>14</v>
      </c>
      <c r="K143" s="6"/>
      <c r="L143" s="12"/>
      <c r="M143" s="7">
        <v>500000</v>
      </c>
      <c r="N143" s="12">
        <f t="shared" si="61"/>
        <v>382277.5</v>
      </c>
      <c r="O143" s="12"/>
      <c r="P143" s="12"/>
      <c r="Q143" s="12"/>
      <c r="R143" s="8">
        <v>114207</v>
      </c>
      <c r="S143" s="9">
        <v>5.8999999999999997E-2</v>
      </c>
      <c r="T143" s="8">
        <f>+R143/S143</f>
        <v>1935711.8644067799</v>
      </c>
      <c r="U143" s="133">
        <f t="shared" si="62"/>
        <v>5.0636301231612633</v>
      </c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1:42" s="133" customFormat="1" x14ac:dyDescent="0.25">
      <c r="A144" s="2" t="s">
        <v>12</v>
      </c>
      <c r="B144" s="3" t="s">
        <v>13</v>
      </c>
      <c r="C144" s="3">
        <v>1942</v>
      </c>
      <c r="D144" s="3"/>
      <c r="E144" s="3"/>
      <c r="F144" s="3"/>
      <c r="G144" s="4">
        <v>39.357595000000003</v>
      </c>
      <c r="H144" s="4">
        <v>-74.421816000000007</v>
      </c>
      <c r="I144" s="14" t="s">
        <v>15</v>
      </c>
      <c r="J144" s="14" t="s">
        <v>16</v>
      </c>
      <c r="K144" s="6"/>
      <c r="L144" s="12"/>
      <c r="M144" s="7">
        <v>1362000</v>
      </c>
      <c r="N144" s="12">
        <f t="shared" si="61"/>
        <v>1041323.91</v>
      </c>
      <c r="O144" s="12"/>
      <c r="P144" s="12"/>
      <c r="Q144" s="12"/>
      <c r="R144" s="8">
        <v>364366</v>
      </c>
      <c r="S144" s="9">
        <v>6.8000000000000005E-2</v>
      </c>
      <c r="T144" s="8">
        <f>+R144/S144</f>
        <v>5358323.5294117639</v>
      </c>
      <c r="U144" s="133">
        <f t="shared" si="62"/>
        <v>5.1456837569510565</v>
      </c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1:42" s="133" customFormat="1" x14ac:dyDescent="0.25">
      <c r="A145" s="2" t="s">
        <v>12</v>
      </c>
      <c r="B145" s="3" t="s">
        <v>13</v>
      </c>
      <c r="C145" s="3">
        <v>1948</v>
      </c>
      <c r="D145" s="3"/>
      <c r="E145" s="3"/>
      <c r="F145" s="3"/>
      <c r="G145" s="4">
        <v>39.357595000000003</v>
      </c>
      <c r="H145" s="4">
        <v>-74.421816000000007</v>
      </c>
      <c r="I145" s="14" t="s">
        <v>1</v>
      </c>
      <c r="J145" s="5" t="s">
        <v>14</v>
      </c>
      <c r="K145" s="6">
        <v>2700</v>
      </c>
      <c r="L145" s="12">
        <f>K145*0.3048</f>
        <v>822.96</v>
      </c>
      <c r="M145" s="7">
        <v>483000</v>
      </c>
      <c r="N145" s="12">
        <f t="shared" si="61"/>
        <v>369280.065</v>
      </c>
      <c r="O145" s="12"/>
      <c r="P145" s="133">
        <f>N145/L145</f>
        <v>448.72176655001459</v>
      </c>
      <c r="Q145" s="126">
        <f>P145/10</f>
        <v>44.872176655001461</v>
      </c>
      <c r="R145" s="13"/>
      <c r="S145" s="9">
        <v>0.10100000000000001</v>
      </c>
      <c r="T145" s="8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1:42" s="133" customFormat="1" x14ac:dyDescent="0.25">
      <c r="A146" s="2" t="s">
        <v>12</v>
      </c>
      <c r="B146" s="3" t="s">
        <v>13</v>
      </c>
      <c r="C146" s="3">
        <v>1948</v>
      </c>
      <c r="D146" s="3"/>
      <c r="E146" s="3"/>
      <c r="F146" s="3"/>
      <c r="G146" s="4">
        <v>39.357595000000003</v>
      </c>
      <c r="H146" s="4">
        <v>-74.421816000000007</v>
      </c>
      <c r="I146" s="14" t="s">
        <v>15</v>
      </c>
      <c r="J146" s="14" t="s">
        <v>16</v>
      </c>
      <c r="K146" s="7">
        <v>5808</v>
      </c>
      <c r="L146" s="12">
        <f>K146*0.3048</f>
        <v>1770.2784000000001</v>
      </c>
      <c r="M146" s="7">
        <v>1073684</v>
      </c>
      <c r="N146" s="12">
        <f t="shared" si="61"/>
        <v>820890.47062000004</v>
      </c>
      <c r="O146" s="12"/>
      <c r="P146" s="133">
        <f>N146/L146</f>
        <v>463.70699129583232</v>
      </c>
      <c r="Q146" s="126">
        <f>P146/10</f>
        <v>46.37069912958323</v>
      </c>
      <c r="R146" s="8">
        <v>479752</v>
      </c>
      <c r="S146" s="9">
        <v>0.10100000000000001</v>
      </c>
      <c r="T146" s="8">
        <f>+R146/S146</f>
        <v>4750019.8019801974</v>
      </c>
      <c r="U146" s="133">
        <f>T146/N146</f>
        <v>5.7864233682632653</v>
      </c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1:42" s="133" customFormat="1" x14ac:dyDescent="0.25">
      <c r="A147" s="2" t="s">
        <v>12</v>
      </c>
      <c r="B147" s="3" t="s">
        <v>13</v>
      </c>
      <c r="C147" s="3">
        <v>1956</v>
      </c>
      <c r="D147" s="3"/>
      <c r="E147" s="3"/>
      <c r="F147" s="3"/>
      <c r="G147" s="4">
        <v>39.357595000000003</v>
      </c>
      <c r="H147" s="4">
        <v>-74.421816000000007</v>
      </c>
      <c r="I147" s="5" t="s">
        <v>14</v>
      </c>
      <c r="J147" s="5" t="s">
        <v>14</v>
      </c>
      <c r="K147" s="6"/>
      <c r="L147" s="12"/>
      <c r="M147" s="7">
        <v>22000</v>
      </c>
      <c r="N147" s="12">
        <f t="shared" si="61"/>
        <v>16820.21</v>
      </c>
      <c r="O147" s="12"/>
      <c r="Q147" s="126"/>
      <c r="R147" s="13"/>
      <c r="S147" s="9">
        <v>0.114</v>
      </c>
      <c r="T147" s="8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1:42" s="133" customFormat="1" x14ac:dyDescent="0.25">
      <c r="A148" s="2" t="s">
        <v>12</v>
      </c>
      <c r="B148" s="3" t="s">
        <v>13</v>
      </c>
      <c r="C148" s="3">
        <v>1963</v>
      </c>
      <c r="D148" s="3"/>
      <c r="E148" s="3"/>
      <c r="F148" s="3"/>
      <c r="G148" s="4">
        <v>39.357595000000003</v>
      </c>
      <c r="H148" s="4">
        <v>-74.421816000000007</v>
      </c>
      <c r="I148" s="14" t="s">
        <v>15</v>
      </c>
      <c r="J148" s="14" t="s">
        <v>16</v>
      </c>
      <c r="K148" s="7">
        <v>3696</v>
      </c>
      <c r="L148" s="12">
        <f>K148*0.3048</f>
        <v>1126.5408</v>
      </c>
      <c r="M148" s="7">
        <v>560000</v>
      </c>
      <c r="N148" s="12">
        <f t="shared" si="61"/>
        <v>428150.8</v>
      </c>
      <c r="O148" s="12"/>
      <c r="P148" s="133">
        <f>N148/L148</f>
        <v>380.05796150481189</v>
      </c>
      <c r="Q148" s="126">
        <f>P148/10</f>
        <v>38.005796150481189</v>
      </c>
      <c r="R148" s="8">
        <v>500864</v>
      </c>
      <c r="S148" s="9">
        <v>0.129</v>
      </c>
      <c r="T148" s="8">
        <f>+R148/S148</f>
        <v>3882666.6666666665</v>
      </c>
      <c r="U148" s="133">
        <f>T148/N148</f>
        <v>9.0684559427815312</v>
      </c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1:42" s="133" customFormat="1" x14ac:dyDescent="0.25">
      <c r="A149" s="2" t="s">
        <v>12</v>
      </c>
      <c r="B149" s="3" t="s">
        <v>13</v>
      </c>
      <c r="C149" s="3">
        <v>1966</v>
      </c>
      <c r="D149" s="3"/>
      <c r="E149" s="3"/>
      <c r="F149" s="3"/>
      <c r="G149" s="4">
        <v>39.357595000000003</v>
      </c>
      <c r="H149" s="4">
        <v>-74.421816000000007</v>
      </c>
      <c r="I149" s="14" t="s">
        <v>15</v>
      </c>
      <c r="J149" s="5" t="s">
        <v>14</v>
      </c>
      <c r="K149" s="6"/>
      <c r="L149" s="12"/>
      <c r="M149" s="7">
        <v>125000</v>
      </c>
      <c r="N149" s="12">
        <f t="shared" si="61"/>
        <v>95569.375</v>
      </c>
      <c r="O149" s="12"/>
      <c r="P149" s="12"/>
      <c r="Q149" s="12"/>
      <c r="R149" s="13"/>
      <c r="S149" s="9">
        <v>0.13600000000000001</v>
      </c>
      <c r="T149" s="8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1:42" s="133" customFormat="1" x14ac:dyDescent="0.25">
      <c r="A150" s="2" t="s">
        <v>12</v>
      </c>
      <c r="B150" s="3" t="s">
        <v>13</v>
      </c>
      <c r="C150" s="3">
        <v>1970</v>
      </c>
      <c r="D150" s="3"/>
      <c r="E150" s="3"/>
      <c r="F150" s="3"/>
      <c r="G150" s="4">
        <v>39.357595000000003</v>
      </c>
      <c r="H150" s="4">
        <v>-74.421816000000007</v>
      </c>
      <c r="I150" s="14" t="s">
        <v>15</v>
      </c>
      <c r="J150" s="18" t="s">
        <v>17</v>
      </c>
      <c r="K150" s="7">
        <v>4752</v>
      </c>
      <c r="L150" s="12">
        <f>K150*0.3048</f>
        <v>1448.4096000000002</v>
      </c>
      <c r="M150" s="7">
        <v>830000</v>
      </c>
      <c r="N150" s="12">
        <f t="shared" si="61"/>
        <v>634580.65</v>
      </c>
      <c r="O150" s="12"/>
      <c r="P150" s="133">
        <f>N150/L150</f>
        <v>438.12237229026925</v>
      </c>
      <c r="Q150" s="126">
        <f>P150/10</f>
        <v>43.812237229026927</v>
      </c>
      <c r="R150" s="8">
        <v>1252625</v>
      </c>
      <c r="S150" s="9">
        <v>0.16300000000000001</v>
      </c>
      <c r="T150" s="8">
        <f>+R150/S150</f>
        <v>7684815.9509202447</v>
      </c>
      <c r="U150" s="133">
        <f t="shared" ref="U150:U151" si="63">T150/N150</f>
        <v>12.110069777451052</v>
      </c>
      <c r="Y150" s="46"/>
      <c r="Z150" s="46"/>
      <c r="AA150" s="46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1:42" s="133" customFormat="1" x14ac:dyDescent="0.25">
      <c r="A151" s="2" t="s">
        <v>12</v>
      </c>
      <c r="B151" s="3" t="s">
        <v>13</v>
      </c>
      <c r="C151" s="3">
        <v>1979</v>
      </c>
      <c r="D151" s="3"/>
      <c r="E151" s="3"/>
      <c r="F151" s="3"/>
      <c r="G151" s="4">
        <v>39.357595000000003</v>
      </c>
      <c r="H151" s="4">
        <v>-74.421816000000007</v>
      </c>
      <c r="I151" s="14" t="s">
        <v>15</v>
      </c>
      <c r="J151" s="5" t="s">
        <v>14</v>
      </c>
      <c r="K151" s="6"/>
      <c r="L151" s="12"/>
      <c r="M151" s="7">
        <v>48158</v>
      </c>
      <c r="N151" s="12">
        <f t="shared" si="61"/>
        <v>36819.439689999999</v>
      </c>
      <c r="O151" s="12"/>
      <c r="P151" s="12"/>
      <c r="Q151" s="12"/>
      <c r="R151" s="8">
        <v>133772</v>
      </c>
      <c r="S151" s="9">
        <v>0.30499999999999999</v>
      </c>
      <c r="T151" s="8">
        <f>+R151/S151</f>
        <v>438596.72131147544</v>
      </c>
      <c r="U151" s="133">
        <f t="shared" si="63"/>
        <v>11.912096571925737</v>
      </c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1:42" s="133" customFormat="1" x14ac:dyDescent="0.25">
      <c r="A152" s="2" t="s">
        <v>12</v>
      </c>
      <c r="B152" s="3" t="s">
        <v>13</v>
      </c>
      <c r="C152" s="3">
        <v>1983</v>
      </c>
      <c r="D152" s="3"/>
      <c r="E152" s="3"/>
      <c r="F152" s="3"/>
      <c r="G152" s="4">
        <v>39.357595000000003</v>
      </c>
      <c r="H152" s="4">
        <v>-74.421816000000007</v>
      </c>
      <c r="I152" s="14" t="s">
        <v>1</v>
      </c>
      <c r="J152" s="5" t="s">
        <v>14</v>
      </c>
      <c r="K152" s="6"/>
      <c r="L152" s="12"/>
      <c r="M152" s="7">
        <v>32000</v>
      </c>
      <c r="N152" s="12">
        <f t="shared" si="61"/>
        <v>24465.759999999998</v>
      </c>
      <c r="O152" s="12"/>
      <c r="P152" s="12"/>
      <c r="Q152" s="12"/>
      <c r="R152" s="13"/>
      <c r="S152" s="9">
        <v>0.41799999999999998</v>
      </c>
      <c r="T152" s="8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1:42" s="133" customFormat="1" x14ac:dyDescent="0.25">
      <c r="A153" s="2" t="s">
        <v>12</v>
      </c>
      <c r="B153" s="3" t="s">
        <v>13</v>
      </c>
      <c r="C153" s="3">
        <v>1983</v>
      </c>
      <c r="D153" s="3"/>
      <c r="E153" s="3"/>
      <c r="F153" s="3"/>
      <c r="G153" s="4">
        <v>39.357595000000003</v>
      </c>
      <c r="H153" s="4">
        <v>-74.421816000000007</v>
      </c>
      <c r="I153" s="14" t="s">
        <v>1</v>
      </c>
      <c r="J153" s="5" t="s">
        <v>14</v>
      </c>
      <c r="K153" s="6"/>
      <c r="L153" s="12"/>
      <c r="M153" s="7">
        <v>43000</v>
      </c>
      <c r="N153" s="12">
        <f t="shared" si="61"/>
        <v>32875.864999999998</v>
      </c>
      <c r="O153" s="12"/>
      <c r="P153" s="12"/>
      <c r="Q153" s="12"/>
      <c r="R153" s="13"/>
      <c r="S153" s="9">
        <v>0.41799999999999998</v>
      </c>
      <c r="T153" s="8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1:42" s="133" customFormat="1" x14ac:dyDescent="0.25">
      <c r="A154" s="2" t="s">
        <v>12</v>
      </c>
      <c r="B154" s="3" t="s">
        <v>13</v>
      </c>
      <c r="C154" s="11">
        <v>1986</v>
      </c>
      <c r="D154" s="11"/>
      <c r="E154" s="11"/>
      <c r="F154" s="11"/>
      <c r="G154" s="4">
        <v>39.357595000000003</v>
      </c>
      <c r="H154" s="4">
        <v>-74.421816000000007</v>
      </c>
      <c r="I154" s="5" t="s">
        <v>15</v>
      </c>
      <c r="J154" s="14" t="s">
        <v>16</v>
      </c>
      <c r="K154" s="12">
        <v>24816</v>
      </c>
      <c r="L154" s="12">
        <f>K154*0.3048</f>
        <v>7563.9168</v>
      </c>
      <c r="M154" s="12">
        <v>1000000</v>
      </c>
      <c r="N154" s="12">
        <f t="shared" si="61"/>
        <v>764555</v>
      </c>
      <c r="O154" s="12"/>
      <c r="P154" s="133">
        <f>N154/L154</f>
        <v>101.079245081067</v>
      </c>
      <c r="Q154" s="126">
        <f>P154/10</f>
        <v>10.1079245081067</v>
      </c>
      <c r="R154" s="19">
        <v>7000000</v>
      </c>
      <c r="S154" s="9">
        <v>0.46100000000000002</v>
      </c>
      <c r="T154" s="8">
        <f>+R154/S154</f>
        <v>15184381.778741864</v>
      </c>
      <c r="U154" s="133">
        <f>T154/N154</f>
        <v>19.860417862340661</v>
      </c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1:42" s="133" customFormat="1" x14ac:dyDescent="0.25">
      <c r="A155" s="2" t="s">
        <v>12</v>
      </c>
      <c r="B155" s="3" t="s">
        <v>13</v>
      </c>
      <c r="C155" s="3">
        <v>1997</v>
      </c>
      <c r="D155" s="3"/>
      <c r="E155" s="3"/>
      <c r="F155" s="3"/>
      <c r="G155" s="4">
        <v>39.357595000000003</v>
      </c>
      <c r="H155" s="4">
        <v>-74.421816000000007</v>
      </c>
      <c r="I155" s="14" t="s">
        <v>1</v>
      </c>
      <c r="J155" s="5" t="s">
        <v>14</v>
      </c>
      <c r="K155" s="6"/>
      <c r="L155" s="12"/>
      <c r="M155" s="7">
        <v>450000</v>
      </c>
      <c r="N155" s="12">
        <f t="shared" si="61"/>
        <v>344049.75</v>
      </c>
      <c r="O155" s="12"/>
      <c r="P155" s="12"/>
      <c r="Q155" s="12"/>
      <c r="R155" s="13"/>
      <c r="S155" s="9">
        <v>0.67600000000000005</v>
      </c>
      <c r="T155" s="8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s="133" customFormat="1" x14ac:dyDescent="0.25">
      <c r="A156" s="2" t="s">
        <v>12</v>
      </c>
      <c r="B156" s="3" t="s">
        <v>13</v>
      </c>
      <c r="C156" s="11">
        <v>2004</v>
      </c>
      <c r="D156" s="11"/>
      <c r="E156" s="11"/>
      <c r="F156" s="11"/>
      <c r="G156" s="4">
        <v>39.357595000000003</v>
      </c>
      <c r="H156" s="4">
        <v>-74.421816000000007</v>
      </c>
      <c r="I156" s="5" t="s">
        <v>15</v>
      </c>
      <c r="J156" s="14" t="s">
        <v>16</v>
      </c>
      <c r="K156" s="6">
        <v>18250</v>
      </c>
      <c r="L156" s="12">
        <f>K156*0.3048</f>
        <v>5562.6</v>
      </c>
      <c r="M156" s="12">
        <v>4000000</v>
      </c>
      <c r="N156" s="12">
        <f t="shared" si="61"/>
        <v>3058220</v>
      </c>
      <c r="O156" s="12"/>
      <c r="P156" s="133">
        <f t="shared" ref="P156:P157" si="64">N156/L156</f>
        <v>549.78247582065933</v>
      </c>
      <c r="Q156" s="126">
        <f t="shared" ref="Q156:Q157" si="65">P156/10</f>
        <v>54.978247582065933</v>
      </c>
      <c r="R156" s="13">
        <v>27384615</v>
      </c>
      <c r="S156" s="9">
        <v>0.79300000000000004</v>
      </c>
      <c r="T156" s="8">
        <f t="shared" ref="T156:T164" si="66">+R156/S156</f>
        <v>34532931.904161409</v>
      </c>
      <c r="U156" s="133">
        <f t="shared" ref="U156:U160" si="67">T156/N156</f>
        <v>11.291840320239031</v>
      </c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s="133" customFormat="1" x14ac:dyDescent="0.25">
      <c r="A157" s="2" t="s">
        <v>12</v>
      </c>
      <c r="B157" s="3" t="s">
        <v>13</v>
      </c>
      <c r="C157" s="3">
        <v>2011</v>
      </c>
      <c r="D157" s="3"/>
      <c r="E157" s="3"/>
      <c r="F157" s="3"/>
      <c r="G157" s="4">
        <v>39.357595000000003</v>
      </c>
      <c r="H157" s="4">
        <v>-74.421816000000007</v>
      </c>
      <c r="I157" s="5" t="s">
        <v>15</v>
      </c>
      <c r="J157" s="14" t="s">
        <v>17</v>
      </c>
      <c r="K157" s="6">
        <v>3600</v>
      </c>
      <c r="L157" s="12">
        <f>K157*0.3048</f>
        <v>1097.28</v>
      </c>
      <c r="M157" s="6">
        <v>1003000</v>
      </c>
      <c r="N157" s="12">
        <f t="shared" si="61"/>
        <v>766848.66500000004</v>
      </c>
      <c r="O157" s="12"/>
      <c r="P157" s="133">
        <f t="shared" si="64"/>
        <v>698.86324821376502</v>
      </c>
      <c r="Q157" s="126">
        <f t="shared" si="65"/>
        <v>69.886324821376505</v>
      </c>
      <c r="R157" s="13">
        <v>7658450</v>
      </c>
      <c r="S157" s="20">
        <v>0.96399999999999997</v>
      </c>
      <c r="T157" s="8">
        <f t="shared" si="66"/>
        <v>7944450.2074688803</v>
      </c>
      <c r="U157" s="133">
        <f t="shared" si="67"/>
        <v>10.359867037740596</v>
      </c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s="133" customFormat="1" x14ac:dyDescent="0.25">
      <c r="A158" s="2" t="s">
        <v>12</v>
      </c>
      <c r="B158" s="3" t="s">
        <v>13</v>
      </c>
      <c r="C158" s="3">
        <v>2012</v>
      </c>
      <c r="D158" s="3"/>
      <c r="E158" s="3"/>
      <c r="F158" s="3"/>
      <c r="G158" s="4">
        <v>39.357595000000003</v>
      </c>
      <c r="H158" s="4">
        <v>-74.421816000000007</v>
      </c>
      <c r="I158" s="5" t="s">
        <v>15</v>
      </c>
      <c r="J158" s="5" t="s">
        <v>16</v>
      </c>
      <c r="K158" s="6"/>
      <c r="L158" s="12"/>
      <c r="M158" s="7">
        <v>1325000</v>
      </c>
      <c r="N158" s="12">
        <f t="shared" si="61"/>
        <v>1013035.375</v>
      </c>
      <c r="O158" s="12"/>
      <c r="P158" s="12"/>
      <c r="Q158" s="12"/>
      <c r="R158" s="13">
        <v>21015965</v>
      </c>
      <c r="S158" s="20">
        <v>0.96399999999999997</v>
      </c>
      <c r="T158" s="8">
        <f t="shared" si="66"/>
        <v>21800793.56846473</v>
      </c>
      <c r="U158" s="133">
        <f t="shared" si="67"/>
        <v>21.520268794625981</v>
      </c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s="133" customFormat="1" x14ac:dyDescent="0.25">
      <c r="A159" s="2" t="s">
        <v>12</v>
      </c>
      <c r="B159" s="3" t="s">
        <v>13</v>
      </c>
      <c r="C159" s="3">
        <v>2013</v>
      </c>
      <c r="D159" s="3"/>
      <c r="E159" s="3"/>
      <c r="F159" s="3"/>
      <c r="G159" s="4">
        <v>39.357595000000003</v>
      </c>
      <c r="H159" s="4">
        <v>-74.421816000000007</v>
      </c>
      <c r="I159" s="5" t="s">
        <v>15</v>
      </c>
      <c r="J159" s="5" t="s">
        <v>17</v>
      </c>
      <c r="K159" s="6"/>
      <c r="L159" s="12"/>
      <c r="M159" s="7">
        <v>760000</v>
      </c>
      <c r="N159" s="12">
        <f t="shared" si="61"/>
        <v>581061.79999999993</v>
      </c>
      <c r="O159" s="12"/>
      <c r="P159" s="12"/>
      <c r="Q159" s="12"/>
      <c r="R159" s="13">
        <v>11273117</v>
      </c>
      <c r="S159" s="20">
        <v>0.97799999999999998</v>
      </c>
      <c r="T159" s="8">
        <f t="shared" si="66"/>
        <v>11526704.498977505</v>
      </c>
      <c r="U159" s="133">
        <f t="shared" si="67"/>
        <v>19.837312483762496</v>
      </c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s="133" customFormat="1" x14ac:dyDescent="0.25">
      <c r="A160" s="2" t="s">
        <v>12</v>
      </c>
      <c r="C160" s="165">
        <v>2018</v>
      </c>
      <c r="L160" s="133">
        <v>12965.25</v>
      </c>
      <c r="M160" s="133">
        <v>3493599</v>
      </c>
      <c r="N160" s="12">
        <f t="shared" si="61"/>
        <v>2671048.583445</v>
      </c>
      <c r="O160" s="12"/>
      <c r="P160" s="133">
        <f>N160/L160</f>
        <v>206.01597219066349</v>
      </c>
      <c r="Q160" s="126">
        <f>P160/10</f>
        <v>20.601597219066349</v>
      </c>
      <c r="R160" s="13">
        <v>63000000</v>
      </c>
      <c r="S160" s="9">
        <v>1.0468</v>
      </c>
      <c r="T160" s="8">
        <f t="shared" si="66"/>
        <v>60183416.125334352</v>
      </c>
      <c r="U160" s="133">
        <f t="shared" si="67"/>
        <v>22.531756441401921</v>
      </c>
    </row>
    <row r="161" spans="1:42" s="133" customFormat="1" x14ac:dyDescent="0.25">
      <c r="A161" s="2" t="s">
        <v>21</v>
      </c>
      <c r="B161" s="3" t="s">
        <v>13</v>
      </c>
      <c r="C161" s="11">
        <v>2004</v>
      </c>
      <c r="D161" s="11"/>
      <c r="E161" s="11"/>
      <c r="F161" s="11"/>
      <c r="G161" s="4">
        <v>39.337484000000003</v>
      </c>
      <c r="H161" s="4">
        <v>-74.475291999999996</v>
      </c>
      <c r="I161" s="5" t="s">
        <v>15</v>
      </c>
      <c r="J161" s="14" t="s">
        <v>16</v>
      </c>
      <c r="K161" s="6">
        <v>8500</v>
      </c>
      <c r="L161" s="12">
        <f>K161*0.3048</f>
        <v>2590.8000000000002</v>
      </c>
      <c r="M161" s="12">
        <v>3000000</v>
      </c>
      <c r="N161" s="12">
        <f t="shared" ref="N161:N166" si="68">M161*0.764555</f>
        <v>2293665</v>
      </c>
      <c r="O161" s="12"/>
      <c r="P161" s="133">
        <f t="shared" ref="P161:P162" si="69">N161/L161</f>
        <v>885.31148679944408</v>
      </c>
      <c r="Q161" s="126">
        <f t="shared" ref="Q161:Q162" si="70">P161/10</f>
        <v>88.531148679944408</v>
      </c>
      <c r="R161" s="13">
        <v>9538462</v>
      </c>
      <c r="S161" s="9">
        <v>0.79300000000000004</v>
      </c>
      <c r="T161" s="8">
        <f t="shared" si="66"/>
        <v>12028325.346784363</v>
      </c>
      <c r="U161" s="133">
        <f t="shared" ref="U161:U164" si="71">T161/N161</f>
        <v>5.2441508881132872</v>
      </c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s="133" customFormat="1" x14ac:dyDescent="0.25">
      <c r="A162" s="2" t="s">
        <v>21</v>
      </c>
      <c r="B162" s="3" t="s">
        <v>13</v>
      </c>
      <c r="C162" s="11">
        <v>2011</v>
      </c>
      <c r="D162" s="11"/>
      <c r="E162" s="11"/>
      <c r="F162" s="11"/>
      <c r="G162" s="4">
        <v>39.337484000000003</v>
      </c>
      <c r="H162" s="4">
        <v>-74.475291999999996</v>
      </c>
      <c r="I162" s="5" t="s">
        <v>15</v>
      </c>
      <c r="J162" s="14" t="s">
        <v>17</v>
      </c>
      <c r="K162" s="6">
        <v>3400</v>
      </c>
      <c r="L162" s="12">
        <f>K162*0.3048</f>
        <v>1036.3200000000002</v>
      </c>
      <c r="M162" s="6">
        <v>175000</v>
      </c>
      <c r="N162" s="12">
        <f t="shared" si="68"/>
        <v>133797.125</v>
      </c>
      <c r="O162" s="12"/>
      <c r="P162" s="133">
        <f t="shared" si="69"/>
        <v>129.10792515825224</v>
      </c>
      <c r="Q162" s="126">
        <f t="shared" si="70"/>
        <v>12.910792515825225</v>
      </c>
      <c r="R162" s="13">
        <v>2667550</v>
      </c>
      <c r="S162" s="20">
        <v>0.96399999999999997</v>
      </c>
      <c r="T162" s="8">
        <f t="shared" si="66"/>
        <v>2767168.0497925314</v>
      </c>
      <c r="U162" s="133">
        <f t="shared" si="71"/>
        <v>20.681819955343073</v>
      </c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s="133" customFormat="1" x14ac:dyDescent="0.25">
      <c r="A163" s="2" t="s">
        <v>21</v>
      </c>
      <c r="B163" s="3" t="s">
        <v>13</v>
      </c>
      <c r="C163" s="11">
        <v>2012</v>
      </c>
      <c r="D163" s="11"/>
      <c r="E163" s="11"/>
      <c r="F163" s="11"/>
      <c r="G163" s="4">
        <v>39.337484000000003</v>
      </c>
      <c r="H163" s="4">
        <v>-74.475291999999996</v>
      </c>
      <c r="I163" s="5" t="s">
        <v>15</v>
      </c>
      <c r="J163" s="14" t="s">
        <v>16</v>
      </c>
      <c r="K163" s="6"/>
      <c r="L163" s="12"/>
      <c r="M163" s="7">
        <v>325000</v>
      </c>
      <c r="N163" s="12">
        <f t="shared" si="68"/>
        <v>248480.375</v>
      </c>
      <c r="O163" s="12"/>
      <c r="P163" s="12"/>
      <c r="Q163" s="12"/>
      <c r="R163" s="13">
        <v>6830187</v>
      </c>
      <c r="S163" s="20">
        <v>0.96399999999999997</v>
      </c>
      <c r="T163" s="8">
        <f t="shared" si="66"/>
        <v>7085256.2240663907</v>
      </c>
      <c r="U163" s="133">
        <f t="shared" si="71"/>
        <v>28.514349368904448</v>
      </c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s="133" customFormat="1" x14ac:dyDescent="0.25">
      <c r="A164" s="2" t="s">
        <v>21</v>
      </c>
      <c r="B164" s="3" t="s">
        <v>13</v>
      </c>
      <c r="C164" s="11">
        <v>2014</v>
      </c>
      <c r="D164" s="11"/>
      <c r="E164" s="11"/>
      <c r="F164" s="11"/>
      <c r="G164" s="4">
        <v>39.337484000000003</v>
      </c>
      <c r="H164" s="4">
        <v>-74.475291999999996</v>
      </c>
      <c r="I164" s="5" t="s">
        <v>15</v>
      </c>
      <c r="J164" s="14" t="s">
        <v>17</v>
      </c>
      <c r="K164" s="6"/>
      <c r="L164" s="12"/>
      <c r="M164" s="7">
        <v>340000</v>
      </c>
      <c r="N164" s="12">
        <f t="shared" si="68"/>
        <v>259948.69999999998</v>
      </c>
      <c r="O164" s="12"/>
      <c r="P164" s="12">
        <f>N164/2660</f>
        <v>97.725075187969921</v>
      </c>
      <c r="Q164" s="192">
        <f>P164/10</f>
        <v>9.7725075187969921</v>
      </c>
      <c r="R164" s="13">
        <v>6061143</v>
      </c>
      <c r="S164" s="9">
        <v>0.99399999999999999</v>
      </c>
      <c r="T164" s="8">
        <f t="shared" si="66"/>
        <v>6097729.3762575453</v>
      </c>
      <c r="U164" s="133">
        <f t="shared" si="71"/>
        <v>23.457433625394341</v>
      </c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s="133" customFormat="1" ht="19.75" customHeight="1" x14ac:dyDescent="0.25">
      <c r="A165" s="164" t="s">
        <v>233</v>
      </c>
      <c r="C165" s="133">
        <v>2004</v>
      </c>
      <c r="K165" s="133">
        <v>1360</v>
      </c>
      <c r="L165" s="133">
        <f>K165*0.3048</f>
        <v>414.52800000000002</v>
      </c>
      <c r="M165" s="133">
        <v>10000</v>
      </c>
      <c r="N165" s="133">
        <f t="shared" si="68"/>
        <v>7645.55</v>
      </c>
      <c r="P165" s="133">
        <f>N165/L165</f>
        <v>18.443989308321754</v>
      </c>
      <c r="Q165" s="126">
        <f>P165/10</f>
        <v>1.8443989308321753</v>
      </c>
      <c r="S165" s="133">
        <v>0.79300000000000004</v>
      </c>
    </row>
    <row r="166" spans="1:42" s="133" customFormat="1" x14ac:dyDescent="0.25">
      <c r="A166" s="164" t="s">
        <v>123</v>
      </c>
      <c r="C166" s="133">
        <v>1990</v>
      </c>
      <c r="M166" s="133">
        <v>250000</v>
      </c>
      <c r="N166" s="133">
        <f t="shared" si="68"/>
        <v>191138.75</v>
      </c>
      <c r="R166" s="133">
        <v>949000</v>
      </c>
      <c r="S166" s="133">
        <v>0.57099999999999995</v>
      </c>
      <c r="T166" s="133">
        <f>+R166/S166</f>
        <v>1661996.4973730298</v>
      </c>
      <c r="U166" s="133">
        <f>T166/N166</f>
        <v>8.6952357770103124</v>
      </c>
    </row>
    <row r="167" spans="1:42" s="133" customFormat="1" x14ac:dyDescent="0.25">
      <c r="A167" s="2" t="s">
        <v>72</v>
      </c>
      <c r="B167" s="3" t="s">
        <v>13</v>
      </c>
      <c r="C167" s="3">
        <v>1952</v>
      </c>
      <c r="D167" s="3"/>
      <c r="E167" s="3"/>
      <c r="F167" s="3"/>
      <c r="G167" s="4">
        <v>39.264158000000002</v>
      </c>
      <c r="H167" s="4">
        <v>-74.589957999999996</v>
      </c>
      <c r="I167" s="14" t="s">
        <v>15</v>
      </c>
      <c r="J167" s="14" t="s">
        <v>16</v>
      </c>
      <c r="K167" s="7">
        <v>9504</v>
      </c>
      <c r="L167" s="12">
        <f>K167*0.3048</f>
        <v>2896.8192000000004</v>
      </c>
      <c r="M167" s="7">
        <v>2550000</v>
      </c>
      <c r="N167" s="12">
        <f t="shared" ref="N167:N208" si="72">M167*0.764555</f>
        <v>1949615.25</v>
      </c>
      <c r="O167" s="12"/>
      <c r="P167" s="12">
        <f>N167/L167</f>
        <v>673.01930683143769</v>
      </c>
      <c r="Q167" s="192">
        <f>P167/10</f>
        <v>67.301930683143766</v>
      </c>
      <c r="R167" s="8">
        <v>1912500</v>
      </c>
      <c r="S167" s="20">
        <v>0.111</v>
      </c>
      <c r="T167" s="8">
        <f>+R167/S167</f>
        <v>17229729.729729731</v>
      </c>
      <c r="U167" s="133">
        <f t="shared" ref="U167:U168" si="73">T167/N167</f>
        <v>8.8375025429913574</v>
      </c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s="133" customFormat="1" x14ac:dyDescent="0.25">
      <c r="A168" s="2" t="s">
        <v>72</v>
      </c>
      <c r="B168" s="3" t="s">
        <v>13</v>
      </c>
      <c r="C168" s="3">
        <v>1959</v>
      </c>
      <c r="D168" s="3"/>
      <c r="E168" s="3"/>
      <c r="F168" s="3"/>
      <c r="G168" s="4">
        <v>39.264158000000002</v>
      </c>
      <c r="H168" s="4">
        <v>-74.589957999999996</v>
      </c>
      <c r="I168" s="14" t="s">
        <v>15</v>
      </c>
      <c r="J168" s="14" t="s">
        <v>16</v>
      </c>
      <c r="K168" s="6"/>
      <c r="L168" s="12"/>
      <c r="M168" s="7">
        <v>1618000</v>
      </c>
      <c r="N168" s="12">
        <f t="shared" si="72"/>
        <v>1237049.99</v>
      </c>
      <c r="O168" s="12"/>
      <c r="P168" s="12"/>
      <c r="Q168" s="12"/>
      <c r="R168" s="8">
        <v>469008</v>
      </c>
      <c r="S168" s="9">
        <v>0.122</v>
      </c>
      <c r="T168" s="8">
        <f>+R168/S168</f>
        <v>3844327.8688524589</v>
      </c>
      <c r="U168" s="133">
        <f t="shared" si="73"/>
        <v>3.1076576532306985</v>
      </c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s="133" customFormat="1" x14ac:dyDescent="0.25">
      <c r="A169" s="2" t="s">
        <v>72</v>
      </c>
      <c r="B169" s="3" t="s">
        <v>13</v>
      </c>
      <c r="C169" s="3">
        <v>1961</v>
      </c>
      <c r="D169" s="3"/>
      <c r="E169" s="3"/>
      <c r="F169" s="3"/>
      <c r="G169" s="4">
        <v>39.264158000000002</v>
      </c>
      <c r="H169" s="4">
        <v>-74.589957999999996</v>
      </c>
      <c r="I169" s="5" t="s">
        <v>14</v>
      </c>
      <c r="J169" s="5" t="s">
        <v>14</v>
      </c>
      <c r="K169" s="6"/>
      <c r="L169" s="12"/>
      <c r="M169" s="7">
        <v>1615668</v>
      </c>
      <c r="N169" s="12">
        <f t="shared" si="72"/>
        <v>1235267.0477400001</v>
      </c>
      <c r="O169" s="12"/>
      <c r="P169" s="12"/>
      <c r="Q169" s="12"/>
      <c r="R169" s="13"/>
      <c r="S169" s="9">
        <v>0.126</v>
      </c>
      <c r="T169" s="8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s="133" customFormat="1" x14ac:dyDescent="0.25">
      <c r="A170" s="2" t="s">
        <v>72</v>
      </c>
      <c r="B170" s="3" t="s">
        <v>13</v>
      </c>
      <c r="C170" s="3">
        <v>1962</v>
      </c>
      <c r="D170" s="3"/>
      <c r="E170" s="3"/>
      <c r="F170" s="3"/>
      <c r="G170" s="4">
        <v>39.264158000000002</v>
      </c>
      <c r="H170" s="4">
        <v>-74.589957999999996</v>
      </c>
      <c r="I170" s="14" t="s">
        <v>15</v>
      </c>
      <c r="J170" s="14" t="s">
        <v>17</v>
      </c>
      <c r="K170" s="6"/>
      <c r="L170" s="12"/>
      <c r="M170" s="7">
        <v>248000</v>
      </c>
      <c r="N170" s="12">
        <f t="shared" si="72"/>
        <v>189609.63999999998</v>
      </c>
      <c r="O170" s="12"/>
      <c r="P170" s="12"/>
      <c r="Q170" s="12"/>
      <c r="R170" s="13"/>
      <c r="S170" s="9">
        <v>0.127</v>
      </c>
      <c r="T170" s="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s="133" customFormat="1" x14ac:dyDescent="0.25">
      <c r="A171" s="2" t="s">
        <v>72</v>
      </c>
      <c r="B171" s="3" t="s">
        <v>13</v>
      </c>
      <c r="C171" s="3">
        <v>1966</v>
      </c>
      <c r="D171" s="3"/>
      <c r="E171" s="3"/>
      <c r="F171" s="3"/>
      <c r="G171" s="4">
        <v>39.264158000000002</v>
      </c>
      <c r="H171" s="4">
        <v>-74.589957999999996</v>
      </c>
      <c r="I171" s="5" t="s">
        <v>14</v>
      </c>
      <c r="J171" s="5" t="s">
        <v>14</v>
      </c>
      <c r="K171" s="6"/>
      <c r="L171" s="12"/>
      <c r="M171" s="7">
        <v>40000</v>
      </c>
      <c r="N171" s="12">
        <f t="shared" si="72"/>
        <v>30582.2</v>
      </c>
      <c r="O171" s="12"/>
      <c r="P171" s="12"/>
      <c r="Q171" s="12"/>
      <c r="R171" s="13"/>
      <c r="S171" s="9">
        <v>0.13600000000000001</v>
      </c>
      <c r="T171" s="8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s="133" customFormat="1" x14ac:dyDescent="0.25">
      <c r="A172" s="2" t="s">
        <v>72</v>
      </c>
      <c r="B172" s="3" t="s">
        <v>13</v>
      </c>
      <c r="C172" s="3">
        <v>1966</v>
      </c>
      <c r="D172" s="3"/>
      <c r="E172" s="3"/>
      <c r="F172" s="3"/>
      <c r="G172" s="4">
        <v>39.264158000000002</v>
      </c>
      <c r="H172" s="4">
        <v>-74.589957999999996</v>
      </c>
      <c r="I172" s="5" t="s">
        <v>14</v>
      </c>
      <c r="J172" s="5" t="s">
        <v>14</v>
      </c>
      <c r="K172" s="6"/>
      <c r="L172" s="12"/>
      <c r="M172" s="7">
        <v>80000</v>
      </c>
      <c r="N172" s="12">
        <f t="shared" si="72"/>
        <v>61164.4</v>
      </c>
      <c r="O172" s="12"/>
      <c r="P172" s="12"/>
      <c r="Q172" s="12"/>
      <c r="R172" s="13"/>
      <c r="S172" s="9">
        <v>0.13600000000000001</v>
      </c>
      <c r="T172" s="8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s="133" customFormat="1" x14ac:dyDescent="0.25">
      <c r="A173" s="2" t="s">
        <v>72</v>
      </c>
      <c r="B173" s="3" t="s">
        <v>13</v>
      </c>
      <c r="C173" s="3">
        <v>1970</v>
      </c>
      <c r="D173" s="3"/>
      <c r="E173" s="3"/>
      <c r="F173" s="3"/>
      <c r="G173" s="4">
        <v>39.264158000000002</v>
      </c>
      <c r="H173" s="4">
        <v>-74.589957999999996</v>
      </c>
      <c r="I173" s="14" t="s">
        <v>1</v>
      </c>
      <c r="J173" s="5" t="s">
        <v>14</v>
      </c>
      <c r="K173" s="6"/>
      <c r="L173" s="12"/>
      <c r="M173" s="7">
        <v>475270</v>
      </c>
      <c r="N173" s="12">
        <f t="shared" si="72"/>
        <v>363370.05485000001</v>
      </c>
      <c r="O173" s="12"/>
      <c r="P173" s="12"/>
      <c r="Q173" s="12"/>
      <c r="R173" s="8">
        <v>623714</v>
      </c>
      <c r="S173" s="9">
        <v>0.16300000000000001</v>
      </c>
      <c r="T173" s="8">
        <f t="shared" ref="T173:T184" si="74">+R173/S173</f>
        <v>3826466.2576687117</v>
      </c>
      <c r="U173" s="133">
        <f t="shared" ref="U173:U184" si="75">T173/N173</f>
        <v>10.530494207202313</v>
      </c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s="133" customFormat="1" x14ac:dyDescent="0.25">
      <c r="A174" s="2" t="s">
        <v>72</v>
      </c>
      <c r="B174" s="3" t="s">
        <v>13</v>
      </c>
      <c r="C174" s="3">
        <v>1971</v>
      </c>
      <c r="D174" s="3"/>
      <c r="E174" s="3"/>
      <c r="F174" s="3"/>
      <c r="G174" s="4">
        <v>39.264158000000002</v>
      </c>
      <c r="H174" s="4">
        <v>-74.589957999999996</v>
      </c>
      <c r="I174" s="14" t="s">
        <v>1</v>
      </c>
      <c r="J174" s="5" t="s">
        <v>14</v>
      </c>
      <c r="K174" s="6"/>
      <c r="L174" s="12"/>
      <c r="M174" s="7">
        <v>237900</v>
      </c>
      <c r="N174" s="12">
        <f t="shared" si="72"/>
        <v>181887.63449999999</v>
      </c>
      <c r="O174" s="12"/>
      <c r="P174" s="12"/>
      <c r="Q174" s="12"/>
      <c r="R174" s="8">
        <v>356138</v>
      </c>
      <c r="S174" s="9">
        <v>0.17</v>
      </c>
      <c r="T174" s="8">
        <f t="shared" si="74"/>
        <v>2094929.4117647058</v>
      </c>
      <c r="U174" s="133">
        <f t="shared" si="75"/>
        <v>11.51771211673384</v>
      </c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s="133" customFormat="1" x14ac:dyDescent="0.25">
      <c r="A175" s="2" t="s">
        <v>72</v>
      </c>
      <c r="B175" s="3" t="s">
        <v>13</v>
      </c>
      <c r="C175" s="3">
        <v>1972</v>
      </c>
      <c r="D175" s="3"/>
      <c r="E175" s="3"/>
      <c r="F175" s="3"/>
      <c r="G175" s="4">
        <v>39.264158000000002</v>
      </c>
      <c r="H175" s="4">
        <v>-74.589957999999996</v>
      </c>
      <c r="I175" s="14" t="s">
        <v>1</v>
      </c>
      <c r="J175" s="5" t="s">
        <v>14</v>
      </c>
      <c r="K175" s="6"/>
      <c r="L175" s="12"/>
      <c r="M175" s="7">
        <v>543650</v>
      </c>
      <c r="N175" s="12">
        <f t="shared" si="72"/>
        <v>415650.32575000002</v>
      </c>
      <c r="O175" s="12"/>
      <c r="P175" s="12"/>
      <c r="Q175" s="12"/>
      <c r="R175" s="8">
        <v>900083</v>
      </c>
      <c r="S175" s="9">
        <v>0.17499999999999999</v>
      </c>
      <c r="T175" s="8">
        <f t="shared" si="74"/>
        <v>5143331.4285714291</v>
      </c>
      <c r="U175" s="133">
        <f t="shared" si="75"/>
        <v>12.374178750589921</v>
      </c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s="133" customFormat="1" x14ac:dyDescent="0.25">
      <c r="A176" s="2" t="s">
        <v>72</v>
      </c>
      <c r="B176" s="3" t="s">
        <v>13</v>
      </c>
      <c r="C176" s="3">
        <v>1973</v>
      </c>
      <c r="D176" s="3"/>
      <c r="E176" s="3"/>
      <c r="F176" s="3"/>
      <c r="G176" s="4">
        <v>39.264158000000002</v>
      </c>
      <c r="H176" s="4">
        <v>-74.589957999999996</v>
      </c>
      <c r="I176" s="14" t="s">
        <v>1</v>
      </c>
      <c r="J176" s="5" t="s">
        <v>14</v>
      </c>
      <c r="K176" s="6"/>
      <c r="L176" s="12"/>
      <c r="M176" s="7">
        <v>347341</v>
      </c>
      <c r="N176" s="12">
        <f t="shared" si="72"/>
        <v>265561.29825499997</v>
      </c>
      <c r="O176" s="12"/>
      <c r="P176" s="12"/>
      <c r="Q176" s="12"/>
      <c r="R176" s="8">
        <v>620252</v>
      </c>
      <c r="S176" s="9">
        <v>0.187</v>
      </c>
      <c r="T176" s="8">
        <f t="shared" si="74"/>
        <v>3316855.614973262</v>
      </c>
      <c r="U176" s="133">
        <f t="shared" si="75"/>
        <v>12.489981171082833</v>
      </c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s="133" customFormat="1" x14ac:dyDescent="0.25">
      <c r="A177" s="2" t="s">
        <v>72</v>
      </c>
      <c r="B177" s="3" t="s">
        <v>13</v>
      </c>
      <c r="C177" s="3">
        <v>1974</v>
      </c>
      <c r="D177" s="3"/>
      <c r="E177" s="3"/>
      <c r="F177" s="3"/>
      <c r="G177" s="4">
        <v>39.264158000000002</v>
      </c>
      <c r="H177" s="4">
        <v>-74.589957999999996</v>
      </c>
      <c r="I177" s="14" t="s">
        <v>1</v>
      </c>
      <c r="J177" s="5" t="s">
        <v>14</v>
      </c>
      <c r="K177" s="6"/>
      <c r="L177" s="12"/>
      <c r="M177" s="7">
        <v>167549</v>
      </c>
      <c r="N177" s="12">
        <f t="shared" si="72"/>
        <v>128100.425695</v>
      </c>
      <c r="O177" s="12"/>
      <c r="P177" s="12"/>
      <c r="Q177" s="12"/>
      <c r="R177" s="8">
        <v>318534</v>
      </c>
      <c r="S177" s="9">
        <v>0.20699999999999999</v>
      </c>
      <c r="T177" s="8">
        <f t="shared" si="74"/>
        <v>1538811.5942028987</v>
      </c>
      <c r="U177" s="133">
        <f t="shared" si="75"/>
        <v>12.012540831571657</v>
      </c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s="133" customFormat="1" x14ac:dyDescent="0.25">
      <c r="A178" s="2" t="s">
        <v>72</v>
      </c>
      <c r="B178" s="3" t="s">
        <v>13</v>
      </c>
      <c r="C178" s="3">
        <v>1975</v>
      </c>
      <c r="D178" s="3"/>
      <c r="E178" s="3"/>
      <c r="F178" s="3"/>
      <c r="G178" s="4">
        <v>39.264158000000002</v>
      </c>
      <c r="H178" s="4">
        <v>-74.589957999999996</v>
      </c>
      <c r="I178" s="14" t="s">
        <v>1</v>
      </c>
      <c r="J178" s="5" t="s">
        <v>14</v>
      </c>
      <c r="K178" s="6"/>
      <c r="L178" s="12"/>
      <c r="M178" s="7">
        <v>166799</v>
      </c>
      <c r="N178" s="12">
        <f t="shared" si="72"/>
        <v>127527.009445</v>
      </c>
      <c r="O178" s="12"/>
      <c r="P178" s="12"/>
      <c r="Q178" s="12"/>
      <c r="R178" s="8">
        <v>359481</v>
      </c>
      <c r="S178" s="9">
        <v>0.22600000000000001</v>
      </c>
      <c r="T178" s="8">
        <f t="shared" si="74"/>
        <v>1590623.8938053097</v>
      </c>
      <c r="U178" s="133">
        <f t="shared" si="75"/>
        <v>12.472839288929737</v>
      </c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s="133" customFormat="1" x14ac:dyDescent="0.25">
      <c r="A179" s="2" t="s">
        <v>72</v>
      </c>
      <c r="B179" s="3" t="s">
        <v>13</v>
      </c>
      <c r="C179" s="3">
        <v>1976</v>
      </c>
      <c r="D179" s="3"/>
      <c r="E179" s="3"/>
      <c r="F179" s="3"/>
      <c r="G179" s="4">
        <v>39.264158000000002</v>
      </c>
      <c r="H179" s="4">
        <v>-74.589957999999996</v>
      </c>
      <c r="I179" s="14" t="s">
        <v>1</v>
      </c>
      <c r="J179" s="5" t="s">
        <v>14</v>
      </c>
      <c r="K179" s="6"/>
      <c r="L179" s="12"/>
      <c r="M179" s="7">
        <v>81656</v>
      </c>
      <c r="N179" s="12">
        <f t="shared" si="72"/>
        <v>62430.503080000002</v>
      </c>
      <c r="O179" s="12"/>
      <c r="P179" s="12"/>
      <c r="Q179" s="12"/>
      <c r="R179" s="8">
        <v>183085</v>
      </c>
      <c r="S179" s="9">
        <v>0.23899999999999999</v>
      </c>
      <c r="T179" s="8">
        <f t="shared" si="74"/>
        <v>766046.02510460257</v>
      </c>
      <c r="U179" s="133">
        <f t="shared" si="75"/>
        <v>12.270380460060879</v>
      </c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s="133" customFormat="1" x14ac:dyDescent="0.25">
      <c r="A180" s="2" t="s">
        <v>72</v>
      </c>
      <c r="B180" s="3" t="s">
        <v>13</v>
      </c>
      <c r="C180" s="3">
        <v>1977</v>
      </c>
      <c r="D180" s="3"/>
      <c r="E180" s="3"/>
      <c r="F180" s="3"/>
      <c r="G180" s="4">
        <v>39.264158000000002</v>
      </c>
      <c r="H180" s="4">
        <v>-74.589957999999996</v>
      </c>
      <c r="I180" s="14" t="s">
        <v>1</v>
      </c>
      <c r="J180" s="5" t="s">
        <v>14</v>
      </c>
      <c r="K180" s="6"/>
      <c r="L180" s="12"/>
      <c r="M180" s="7">
        <v>169949</v>
      </c>
      <c r="N180" s="12">
        <f t="shared" si="72"/>
        <v>129935.357695</v>
      </c>
      <c r="O180" s="12"/>
      <c r="P180" s="12"/>
      <c r="Q180" s="12"/>
      <c r="R180" s="8">
        <v>406577</v>
      </c>
      <c r="S180" s="9">
        <v>0.254</v>
      </c>
      <c r="T180" s="8">
        <f t="shared" si="74"/>
        <v>1600696.8503937009</v>
      </c>
      <c r="U180" s="133">
        <f t="shared" si="75"/>
        <v>12.319178388310981</v>
      </c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s="133" customFormat="1" x14ac:dyDescent="0.25">
      <c r="A181" s="2" t="s">
        <v>72</v>
      </c>
      <c r="B181" s="3" t="s">
        <v>13</v>
      </c>
      <c r="C181" s="3">
        <v>1978</v>
      </c>
      <c r="D181" s="3"/>
      <c r="E181" s="3"/>
      <c r="F181" s="3"/>
      <c r="G181" s="4">
        <v>39.264158000000002</v>
      </c>
      <c r="H181" s="4">
        <v>-74.589957999999996</v>
      </c>
      <c r="I181" s="14" t="s">
        <v>1</v>
      </c>
      <c r="J181" s="5" t="s">
        <v>14</v>
      </c>
      <c r="K181" s="6"/>
      <c r="L181" s="12"/>
      <c r="M181" s="7">
        <v>121686</v>
      </c>
      <c r="N181" s="12">
        <f t="shared" si="72"/>
        <v>93035.639729999995</v>
      </c>
      <c r="O181" s="12"/>
      <c r="P181" s="12"/>
      <c r="Q181" s="12"/>
      <c r="R181" s="8">
        <v>313624</v>
      </c>
      <c r="S181" s="9">
        <v>0.27400000000000002</v>
      </c>
      <c r="T181" s="8">
        <f t="shared" si="74"/>
        <v>1144613.1386861312</v>
      </c>
      <c r="U181" s="133">
        <f t="shared" si="75"/>
        <v>12.302953384401167</v>
      </c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s="133" customFormat="1" x14ac:dyDescent="0.25">
      <c r="A182" s="2" t="s">
        <v>72</v>
      </c>
      <c r="B182" s="3" t="s">
        <v>13</v>
      </c>
      <c r="C182" s="3">
        <v>1979</v>
      </c>
      <c r="D182" s="3"/>
      <c r="E182" s="3"/>
      <c r="F182" s="3"/>
      <c r="G182" s="4">
        <v>39.264158000000002</v>
      </c>
      <c r="H182" s="4">
        <v>-74.589957999999996</v>
      </c>
      <c r="I182" s="14" t="s">
        <v>1</v>
      </c>
      <c r="J182" s="5" t="s">
        <v>14</v>
      </c>
      <c r="K182" s="6"/>
      <c r="L182" s="12"/>
      <c r="M182" s="7">
        <v>124702</v>
      </c>
      <c r="N182" s="12">
        <f t="shared" si="72"/>
        <v>95341.537609999999</v>
      </c>
      <c r="O182" s="12"/>
      <c r="P182" s="12"/>
      <c r="Q182" s="12"/>
      <c r="R182" s="8">
        <v>346394</v>
      </c>
      <c r="S182" s="9">
        <v>0.30499999999999999</v>
      </c>
      <c r="T182" s="8">
        <f t="shared" si="74"/>
        <v>1135718.0327868853</v>
      </c>
      <c r="U182" s="133">
        <f t="shared" si="75"/>
        <v>11.912101076370352</v>
      </c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s="133" customFormat="1" x14ac:dyDescent="0.25">
      <c r="A183" s="2" t="s">
        <v>72</v>
      </c>
      <c r="B183" s="3" t="s">
        <v>13</v>
      </c>
      <c r="C183" s="3">
        <v>1980</v>
      </c>
      <c r="D183" s="3"/>
      <c r="E183" s="3"/>
      <c r="F183" s="3"/>
      <c r="G183" s="4">
        <v>39.264158000000002</v>
      </c>
      <c r="H183" s="4">
        <v>-74.589957999999996</v>
      </c>
      <c r="I183" s="14" t="s">
        <v>1</v>
      </c>
      <c r="J183" s="5" t="s">
        <v>14</v>
      </c>
      <c r="K183" s="6"/>
      <c r="L183" s="12"/>
      <c r="M183" s="7">
        <v>150015</v>
      </c>
      <c r="N183" s="12">
        <f t="shared" si="72"/>
        <v>114694.71832499999</v>
      </c>
      <c r="O183" s="12"/>
      <c r="P183" s="12"/>
      <c r="Q183" s="12"/>
      <c r="R183" s="8">
        <v>647147</v>
      </c>
      <c r="S183" s="9">
        <v>0.34599999999999997</v>
      </c>
      <c r="T183" s="8">
        <f t="shared" si="74"/>
        <v>1870367.0520231216</v>
      </c>
      <c r="U183" s="133">
        <f t="shared" si="75"/>
        <v>16.307351195747589</v>
      </c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s="133" customFormat="1" x14ac:dyDescent="0.25">
      <c r="A184" s="2" t="s">
        <v>72</v>
      </c>
      <c r="B184" s="3" t="s">
        <v>13</v>
      </c>
      <c r="C184" s="3">
        <v>1982</v>
      </c>
      <c r="D184" s="3"/>
      <c r="E184" s="3"/>
      <c r="F184" s="3"/>
      <c r="G184" s="4">
        <v>39.264158000000002</v>
      </c>
      <c r="H184" s="4">
        <v>-74.589957999999996</v>
      </c>
      <c r="I184" s="14" t="s">
        <v>1</v>
      </c>
      <c r="J184" s="5" t="s">
        <v>14</v>
      </c>
      <c r="K184" s="6"/>
      <c r="L184" s="12"/>
      <c r="M184" s="7">
        <v>1200000</v>
      </c>
      <c r="N184" s="12">
        <f t="shared" si="72"/>
        <v>917466</v>
      </c>
      <c r="O184" s="12"/>
      <c r="P184" s="12"/>
      <c r="Q184" s="12"/>
      <c r="R184" s="8">
        <v>5200000</v>
      </c>
      <c r="S184" s="9">
        <v>0.40100000000000002</v>
      </c>
      <c r="T184" s="8">
        <f t="shared" si="74"/>
        <v>12967581.047381544</v>
      </c>
      <c r="U184" s="133">
        <f t="shared" si="75"/>
        <v>14.134127092863981</v>
      </c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s="133" customFormat="1" x14ac:dyDescent="0.25">
      <c r="A185" s="2" t="s">
        <v>72</v>
      </c>
      <c r="B185" s="3" t="s">
        <v>13</v>
      </c>
      <c r="C185" s="3">
        <v>1983</v>
      </c>
      <c r="D185" s="3"/>
      <c r="E185" s="3"/>
      <c r="F185" s="3"/>
      <c r="G185" s="4">
        <v>39.264158000000002</v>
      </c>
      <c r="H185" s="4">
        <v>-74.589957999999996</v>
      </c>
      <c r="I185" s="5" t="s">
        <v>14</v>
      </c>
      <c r="J185" s="5" t="s">
        <v>14</v>
      </c>
      <c r="K185" s="6">
        <v>8600</v>
      </c>
      <c r="L185" s="12">
        <f>K185*0.3048</f>
        <v>2621.2800000000002</v>
      </c>
      <c r="M185" s="7">
        <v>1217647</v>
      </c>
      <c r="N185" s="12">
        <f t="shared" si="72"/>
        <v>930958.10208500002</v>
      </c>
      <c r="O185" s="12"/>
      <c r="P185" s="12">
        <f>N185/L185</f>
        <v>355.154009523973</v>
      </c>
      <c r="Q185" s="192">
        <f>P185/10</f>
        <v>35.5154009523973</v>
      </c>
      <c r="R185" s="13"/>
      <c r="S185" s="9">
        <v>0.41799999999999998</v>
      </c>
      <c r="T185" s="8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s="133" customFormat="1" x14ac:dyDescent="0.25">
      <c r="A186" s="10" t="s">
        <v>72</v>
      </c>
      <c r="B186" s="3" t="s">
        <v>13</v>
      </c>
      <c r="C186" s="3">
        <v>1989</v>
      </c>
      <c r="D186" s="3"/>
      <c r="E186" s="3"/>
      <c r="F186" s="3"/>
      <c r="G186" s="4">
        <v>39.264158000000002</v>
      </c>
      <c r="H186" s="4">
        <v>-74.589957999999996</v>
      </c>
      <c r="I186" s="5" t="s">
        <v>14</v>
      </c>
      <c r="J186" s="5" t="s">
        <v>14</v>
      </c>
      <c r="K186" s="6"/>
      <c r="L186" s="12"/>
      <c r="M186" s="7">
        <v>250000</v>
      </c>
      <c r="N186" s="12">
        <f t="shared" si="72"/>
        <v>191138.75</v>
      </c>
      <c r="O186" s="12"/>
      <c r="P186" s="12"/>
      <c r="Q186" s="12"/>
      <c r="R186" s="13"/>
      <c r="S186" s="9">
        <v>0.52100000000000002</v>
      </c>
      <c r="T186" s="8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s="133" customFormat="1" x14ac:dyDescent="0.25">
      <c r="A187" s="10" t="s">
        <v>72</v>
      </c>
      <c r="B187" s="3" t="s">
        <v>13</v>
      </c>
      <c r="C187" s="3">
        <v>1990</v>
      </c>
      <c r="D187" s="3"/>
      <c r="E187" s="3"/>
      <c r="F187" s="3"/>
      <c r="G187" s="4">
        <v>39.264158000000002</v>
      </c>
      <c r="H187" s="4">
        <v>-74.589957999999996</v>
      </c>
      <c r="I187" s="5" t="s">
        <v>14</v>
      </c>
      <c r="J187" s="5" t="s">
        <v>14</v>
      </c>
      <c r="K187" s="6"/>
      <c r="L187" s="12"/>
      <c r="M187" s="7">
        <v>40000</v>
      </c>
      <c r="N187" s="12">
        <f t="shared" si="72"/>
        <v>30582.2</v>
      </c>
      <c r="O187" s="12"/>
      <c r="P187" s="12"/>
      <c r="Q187" s="12"/>
      <c r="R187" s="13"/>
      <c r="S187" s="9">
        <v>0.57099999999999995</v>
      </c>
      <c r="T187" s="8"/>
      <c r="Y187" s="10"/>
      <c r="Z187" s="10"/>
      <c r="AA187" s="10"/>
      <c r="AB187" s="10"/>
      <c r="AC187" s="10"/>
      <c r="AD187" s="10"/>
      <c r="AE187" s="10"/>
      <c r="AF187" s="10"/>
      <c r="AG187" s="10"/>
      <c r="AH187" s="57"/>
      <c r="AI187" s="57"/>
      <c r="AJ187" s="57"/>
      <c r="AK187" s="57"/>
      <c r="AL187" s="57"/>
      <c r="AM187" s="57"/>
      <c r="AN187" s="57"/>
      <c r="AO187" s="57"/>
      <c r="AP187" s="57"/>
    </row>
    <row r="188" spans="1:42" s="133" customFormat="1" x14ac:dyDescent="0.25">
      <c r="A188" s="10" t="s">
        <v>72</v>
      </c>
      <c r="B188" s="3" t="s">
        <v>13</v>
      </c>
      <c r="C188" s="3">
        <v>1991</v>
      </c>
      <c r="D188" s="3"/>
      <c r="E188" s="3"/>
      <c r="F188" s="3"/>
      <c r="G188" s="4">
        <v>39.264158000000002</v>
      </c>
      <c r="H188" s="4">
        <v>-74.589957999999996</v>
      </c>
      <c r="I188" s="14" t="s">
        <v>15</v>
      </c>
      <c r="J188" s="5" t="s">
        <v>19</v>
      </c>
      <c r="K188" s="6"/>
      <c r="L188" s="12"/>
      <c r="M188" s="7">
        <v>100000</v>
      </c>
      <c r="N188" s="12">
        <f t="shared" si="72"/>
        <v>76455.5</v>
      </c>
      <c r="O188" s="12"/>
      <c r="P188" s="12"/>
      <c r="Q188" s="12"/>
      <c r="R188" s="13"/>
      <c r="S188" s="9">
        <v>0.57099999999999995</v>
      </c>
      <c r="T188" s="8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1:42" s="133" customFormat="1" x14ac:dyDescent="0.25">
      <c r="A189" s="10" t="s">
        <v>72</v>
      </c>
      <c r="B189" s="3" t="s">
        <v>13</v>
      </c>
      <c r="C189" s="3">
        <v>1992</v>
      </c>
      <c r="D189" s="3"/>
      <c r="E189" s="3"/>
      <c r="F189" s="3"/>
      <c r="G189" s="4">
        <v>39.264158000000002</v>
      </c>
      <c r="H189" s="4">
        <v>-74.589957999999996</v>
      </c>
      <c r="I189" s="14" t="s">
        <v>15</v>
      </c>
      <c r="J189" s="14" t="s">
        <v>16</v>
      </c>
      <c r="K189" s="7">
        <v>13000</v>
      </c>
      <c r="L189" s="12">
        <f>K189*0.3048</f>
        <v>3962.4</v>
      </c>
      <c r="M189" s="7">
        <v>2618000</v>
      </c>
      <c r="N189" s="12">
        <f t="shared" si="72"/>
        <v>2001604.99</v>
      </c>
      <c r="O189" s="12"/>
      <c r="P189" s="12"/>
      <c r="Q189" s="12"/>
      <c r="R189" s="8">
        <v>10952000</v>
      </c>
      <c r="S189" s="9">
        <v>0.58799999999999997</v>
      </c>
      <c r="T189" s="8">
        <f>+R189/S190</f>
        <v>18072607.260726072</v>
      </c>
      <c r="U189" s="133">
        <f t="shared" ref="U189:U198" si="76">T189/N189</f>
        <v>9.0290578565784205</v>
      </c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s="133" customFormat="1" x14ac:dyDescent="0.25">
      <c r="A190" s="10" t="s">
        <v>72</v>
      </c>
      <c r="B190" s="3" t="s">
        <v>13</v>
      </c>
      <c r="C190" s="3">
        <v>1993</v>
      </c>
      <c r="D190" s="3"/>
      <c r="E190" s="3"/>
      <c r="F190" s="3"/>
      <c r="G190" s="4">
        <v>39.264158000000002</v>
      </c>
      <c r="H190" s="4">
        <v>-74.589957999999996</v>
      </c>
      <c r="I190" s="14" t="s">
        <v>15</v>
      </c>
      <c r="J190" s="14" t="s">
        <v>16</v>
      </c>
      <c r="K190" s="7">
        <v>11800</v>
      </c>
      <c r="L190" s="12">
        <f>K190*0.3048</f>
        <v>3596.6400000000003</v>
      </c>
      <c r="M190" s="7">
        <v>2727000</v>
      </c>
      <c r="N190" s="12">
        <f t="shared" si="72"/>
        <v>2084941.4849999999</v>
      </c>
      <c r="O190" s="12"/>
      <c r="P190" s="12">
        <f>N190/L190</f>
        <v>579.69145786066986</v>
      </c>
      <c r="Q190" s="192">
        <f>P190/10</f>
        <v>57.969145786066989</v>
      </c>
      <c r="R190" s="8">
        <v>14571909</v>
      </c>
      <c r="S190" s="9">
        <v>0.60599999999999998</v>
      </c>
      <c r="T190" s="8">
        <f t="shared" ref="T190:T198" si="77">+R190/S190</f>
        <v>24046054.455445547</v>
      </c>
      <c r="U190" s="133">
        <f t="shared" si="76"/>
        <v>11.533203511198565</v>
      </c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s="133" customFormat="1" x14ac:dyDescent="0.25">
      <c r="A191" s="10" t="s">
        <v>72</v>
      </c>
      <c r="B191" s="3" t="s">
        <v>13</v>
      </c>
      <c r="C191" s="3">
        <v>1993</v>
      </c>
      <c r="D191" s="3"/>
      <c r="E191" s="3"/>
      <c r="F191" s="3"/>
      <c r="G191" s="4">
        <v>39.264158000000002</v>
      </c>
      <c r="H191" s="4">
        <v>-74.589957999999996</v>
      </c>
      <c r="I191" s="14" t="s">
        <v>15</v>
      </c>
      <c r="J191" s="18" t="s">
        <v>17</v>
      </c>
      <c r="K191" s="6"/>
      <c r="L191" s="12"/>
      <c r="M191" s="7">
        <v>846000</v>
      </c>
      <c r="N191" s="12">
        <f t="shared" si="72"/>
        <v>646813.53</v>
      </c>
      <c r="O191" s="12"/>
      <c r="P191" s="12"/>
      <c r="Q191" s="12"/>
      <c r="R191" s="8">
        <v>2915131</v>
      </c>
      <c r="S191" s="9">
        <v>0.60599999999999998</v>
      </c>
      <c r="T191" s="8">
        <f t="shared" si="77"/>
        <v>4810447.194719472</v>
      </c>
      <c r="U191" s="133">
        <f t="shared" si="76"/>
        <v>7.4371468307403399</v>
      </c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s="133" customFormat="1" x14ac:dyDescent="0.25">
      <c r="A192" s="10" t="s">
        <v>72</v>
      </c>
      <c r="B192" s="3" t="s">
        <v>13</v>
      </c>
      <c r="C192" s="3">
        <v>1994</v>
      </c>
      <c r="D192" s="3"/>
      <c r="E192" s="3"/>
      <c r="F192" s="3"/>
      <c r="G192" s="4">
        <v>39.264158000000002</v>
      </c>
      <c r="H192" s="4">
        <v>-74.589957999999996</v>
      </c>
      <c r="I192" s="14" t="s">
        <v>15</v>
      </c>
      <c r="J192" s="14" t="s">
        <v>16</v>
      </c>
      <c r="K192" s="7">
        <v>6336</v>
      </c>
      <c r="L192" s="12">
        <f t="shared" ref="L192:L202" si="78">K192*0.3048</f>
        <v>1931.2128</v>
      </c>
      <c r="M192" s="7">
        <v>606000</v>
      </c>
      <c r="N192" s="12">
        <f t="shared" si="72"/>
        <v>463320.33</v>
      </c>
      <c r="O192" s="12"/>
      <c r="P192" s="12">
        <f t="shared" ref="P192:P196" si="79">N192/L192</f>
        <v>239.91158819991253</v>
      </c>
      <c r="Q192" s="192">
        <f t="shared" ref="Q192:Q196" si="80">P192/10</f>
        <v>23.991158819991252</v>
      </c>
      <c r="R192" s="8">
        <v>3217825</v>
      </c>
      <c r="S192" s="9">
        <v>0.621</v>
      </c>
      <c r="T192" s="8">
        <f t="shared" si="77"/>
        <v>5181682.7697262485</v>
      </c>
      <c r="U192" s="133">
        <f t="shared" si="76"/>
        <v>11.183801862798138</v>
      </c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1:42" s="133" customFormat="1" x14ac:dyDescent="0.25">
      <c r="A193" s="10" t="s">
        <v>72</v>
      </c>
      <c r="B193" s="3" t="s">
        <v>13</v>
      </c>
      <c r="C193" s="3">
        <v>1995</v>
      </c>
      <c r="D193" s="3"/>
      <c r="E193" s="3"/>
      <c r="F193" s="3"/>
      <c r="G193" s="4">
        <v>39.264158000000002</v>
      </c>
      <c r="H193" s="4">
        <v>-74.589957999999996</v>
      </c>
      <c r="I193" s="14" t="s">
        <v>1</v>
      </c>
      <c r="J193" s="5" t="s">
        <v>14</v>
      </c>
      <c r="K193" s="7">
        <v>10560</v>
      </c>
      <c r="L193" s="12">
        <f t="shared" si="78"/>
        <v>3218.6880000000001</v>
      </c>
      <c r="M193" s="7">
        <v>360000</v>
      </c>
      <c r="N193" s="12">
        <f t="shared" si="72"/>
        <v>275239.8</v>
      </c>
      <c r="O193" s="12"/>
      <c r="P193" s="12">
        <f t="shared" si="79"/>
        <v>85.513041338582667</v>
      </c>
      <c r="Q193" s="192">
        <f t="shared" si="80"/>
        <v>8.5513041338582667</v>
      </c>
      <c r="R193" s="8">
        <v>1232572</v>
      </c>
      <c r="S193" s="20">
        <v>0.64100000000000001</v>
      </c>
      <c r="T193" s="8">
        <f t="shared" si="77"/>
        <v>1922889.2355694228</v>
      </c>
      <c r="U193" s="133">
        <f t="shared" si="76"/>
        <v>6.9862324982412529</v>
      </c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s="133" customFormat="1" x14ac:dyDescent="0.25">
      <c r="A194" s="10" t="s">
        <v>72</v>
      </c>
      <c r="B194" s="3" t="s">
        <v>13</v>
      </c>
      <c r="C194" s="3">
        <v>1995</v>
      </c>
      <c r="D194" s="3"/>
      <c r="E194" s="3"/>
      <c r="F194" s="3"/>
      <c r="G194" s="4">
        <v>39.264158000000002</v>
      </c>
      <c r="H194" s="4">
        <v>-74.589957999999996</v>
      </c>
      <c r="I194" s="14" t="s">
        <v>15</v>
      </c>
      <c r="J194" s="14" t="s">
        <v>16</v>
      </c>
      <c r="K194" s="7">
        <v>24816</v>
      </c>
      <c r="L194" s="12">
        <f t="shared" si="78"/>
        <v>7563.9168</v>
      </c>
      <c r="M194" s="7">
        <v>1411000</v>
      </c>
      <c r="N194" s="12">
        <f t="shared" si="72"/>
        <v>1078787.105</v>
      </c>
      <c r="O194" s="12"/>
      <c r="P194" s="12">
        <f t="shared" si="79"/>
        <v>142.62281480938552</v>
      </c>
      <c r="Q194" s="192">
        <f t="shared" si="80"/>
        <v>14.262281480938551</v>
      </c>
      <c r="R194" s="8">
        <v>5749776</v>
      </c>
      <c r="S194" s="20">
        <v>0.64100000000000001</v>
      </c>
      <c r="T194" s="8">
        <f t="shared" si="77"/>
        <v>8970009.3603744153</v>
      </c>
      <c r="U194" s="133">
        <f t="shared" si="76"/>
        <v>8.3149022812748719</v>
      </c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s="133" customFormat="1" x14ac:dyDescent="0.25">
      <c r="A195" s="2" t="s">
        <v>73</v>
      </c>
      <c r="B195" s="3" t="s">
        <v>13</v>
      </c>
      <c r="C195" s="11">
        <v>1997</v>
      </c>
      <c r="D195" s="11"/>
      <c r="E195" s="11"/>
      <c r="F195" s="11"/>
      <c r="G195" s="4">
        <v>39.264158000000002</v>
      </c>
      <c r="H195" s="4">
        <v>-74.589957999999996</v>
      </c>
      <c r="I195" s="5" t="s">
        <v>15</v>
      </c>
      <c r="J195" s="18" t="s">
        <v>16</v>
      </c>
      <c r="K195" s="6">
        <v>7000</v>
      </c>
      <c r="L195" s="12">
        <f t="shared" si="78"/>
        <v>2133.6</v>
      </c>
      <c r="M195" s="12">
        <v>800000</v>
      </c>
      <c r="N195" s="12">
        <f t="shared" si="72"/>
        <v>611644</v>
      </c>
      <c r="O195" s="12"/>
      <c r="P195" s="12">
        <f t="shared" si="79"/>
        <v>286.67229096362956</v>
      </c>
      <c r="Q195" s="192">
        <f t="shared" si="80"/>
        <v>28.667229096362956</v>
      </c>
      <c r="R195" s="19">
        <v>4945000</v>
      </c>
      <c r="S195" s="9">
        <v>0.67600000000000005</v>
      </c>
      <c r="T195" s="8">
        <f t="shared" si="77"/>
        <v>7315088.7573964493</v>
      </c>
      <c r="U195" s="133">
        <f t="shared" si="76"/>
        <v>11.959716366704242</v>
      </c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s="133" customFormat="1" x14ac:dyDescent="0.25">
      <c r="A196" s="10" t="s">
        <v>72</v>
      </c>
      <c r="B196" s="3" t="s">
        <v>13</v>
      </c>
      <c r="C196" s="11">
        <v>2000</v>
      </c>
      <c r="D196" s="11"/>
      <c r="E196" s="11"/>
      <c r="F196" s="11"/>
      <c r="G196" s="4">
        <v>39.264158000000002</v>
      </c>
      <c r="H196" s="4">
        <v>-74.589957999999996</v>
      </c>
      <c r="I196" s="5" t="s">
        <v>15</v>
      </c>
      <c r="J196" s="18" t="s">
        <v>16</v>
      </c>
      <c r="K196" s="6">
        <v>12500</v>
      </c>
      <c r="L196" s="12">
        <f t="shared" si="78"/>
        <v>3810</v>
      </c>
      <c r="M196" s="12">
        <v>1351000</v>
      </c>
      <c r="N196" s="12">
        <f t="shared" si="72"/>
        <v>1032913.8049999999</v>
      </c>
      <c r="O196" s="12"/>
      <c r="P196" s="12">
        <f t="shared" si="79"/>
        <v>271.10598556430443</v>
      </c>
      <c r="Q196" s="192">
        <f t="shared" si="80"/>
        <v>27.110598556430443</v>
      </c>
      <c r="R196" s="19">
        <v>6943000</v>
      </c>
      <c r="S196" s="9">
        <v>0.72499999999999998</v>
      </c>
      <c r="T196" s="8">
        <f t="shared" si="77"/>
        <v>9576551.7241379321</v>
      </c>
      <c r="U196" s="133">
        <f t="shared" si="76"/>
        <v>9.2713948422229997</v>
      </c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s="133" customFormat="1" x14ac:dyDescent="0.25">
      <c r="A197" s="10" t="s">
        <v>72</v>
      </c>
      <c r="B197" s="3" t="s">
        <v>13</v>
      </c>
      <c r="C197" s="11">
        <v>2004</v>
      </c>
      <c r="D197" s="11"/>
      <c r="E197" s="11"/>
      <c r="F197" s="11"/>
      <c r="G197" s="4">
        <v>39.264158000000002</v>
      </c>
      <c r="H197" s="4">
        <v>-74.589957999999996</v>
      </c>
      <c r="I197" s="5" t="s">
        <v>1</v>
      </c>
      <c r="J197" s="18" t="s">
        <v>16</v>
      </c>
      <c r="K197" s="6">
        <v>1000</v>
      </c>
      <c r="L197" s="12">
        <f t="shared" si="78"/>
        <v>304.8</v>
      </c>
      <c r="M197" s="12">
        <v>62000</v>
      </c>
      <c r="N197" s="12">
        <f t="shared" si="72"/>
        <v>47402.409999999996</v>
      </c>
      <c r="O197" s="12"/>
      <c r="P197" s="195">
        <f>SUM(N197:N198)/SUM(L197:L198)</f>
        <v>397.04112298462684</v>
      </c>
      <c r="Q197" s="197">
        <f>P197/10</f>
        <v>39.704112298462682</v>
      </c>
      <c r="R197" s="13">
        <v>306900</v>
      </c>
      <c r="S197" s="9">
        <v>0.79300000000000004</v>
      </c>
      <c r="T197" s="8">
        <f t="shared" si="77"/>
        <v>387011.34930643125</v>
      </c>
      <c r="U197" s="133">
        <f t="shared" si="76"/>
        <v>8.1643812900321162</v>
      </c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s="133" customFormat="1" x14ac:dyDescent="0.25">
      <c r="A198" s="10" t="s">
        <v>72</v>
      </c>
      <c r="B198" s="3" t="s">
        <v>13</v>
      </c>
      <c r="C198" s="11">
        <v>2004</v>
      </c>
      <c r="D198" s="11"/>
      <c r="E198" s="11"/>
      <c r="F198" s="11"/>
      <c r="G198" s="4">
        <v>39.264158000000002</v>
      </c>
      <c r="H198" s="4">
        <v>-74.589957999999996</v>
      </c>
      <c r="I198" s="5" t="s">
        <v>15</v>
      </c>
      <c r="J198" s="18" t="s">
        <v>16</v>
      </c>
      <c r="K198" s="6">
        <v>9500</v>
      </c>
      <c r="L198" s="12">
        <f t="shared" si="78"/>
        <v>2895.6000000000004</v>
      </c>
      <c r="M198" s="12">
        <v>1600000</v>
      </c>
      <c r="N198" s="12">
        <f t="shared" si="72"/>
        <v>1223288</v>
      </c>
      <c r="O198" s="12"/>
      <c r="P198" s="195"/>
      <c r="Q198" s="197"/>
      <c r="R198" s="19">
        <v>8314000</v>
      </c>
      <c r="S198" s="9">
        <v>0.79300000000000004</v>
      </c>
      <c r="T198" s="8">
        <f t="shared" si="77"/>
        <v>10484237.074401008</v>
      </c>
      <c r="U198" s="133">
        <f t="shared" si="76"/>
        <v>8.5705386420867438</v>
      </c>
      <c r="Y198" s="10"/>
      <c r="Z198" s="10"/>
      <c r="AA198" s="10"/>
      <c r="AB198" s="10"/>
      <c r="AC198" s="10"/>
      <c r="AD198" s="10"/>
      <c r="AE198" s="10"/>
      <c r="AF198" s="10"/>
      <c r="AG198" s="10"/>
      <c r="AH198" s="57"/>
      <c r="AI198" s="57"/>
      <c r="AJ198" s="57"/>
      <c r="AK198" s="57"/>
      <c r="AL198" s="57"/>
      <c r="AM198" s="57"/>
      <c r="AN198" s="57"/>
      <c r="AO198" s="57"/>
      <c r="AP198" s="57"/>
    </row>
    <row r="199" spans="1:42" s="133" customFormat="1" x14ac:dyDescent="0.25">
      <c r="A199" s="10" t="s">
        <v>72</v>
      </c>
      <c r="B199" s="3" t="s">
        <v>13</v>
      </c>
      <c r="C199" s="11">
        <v>2008</v>
      </c>
      <c r="D199" s="11"/>
      <c r="E199" s="11"/>
      <c r="F199" s="11"/>
      <c r="G199" s="4">
        <v>39.264158000000002</v>
      </c>
      <c r="H199" s="4">
        <v>-74.589957999999996</v>
      </c>
      <c r="I199" s="5" t="s">
        <v>1</v>
      </c>
      <c r="J199" s="18" t="s">
        <v>16</v>
      </c>
      <c r="K199" s="6">
        <v>11000</v>
      </c>
      <c r="L199" s="12">
        <f t="shared" si="78"/>
        <v>3352.8</v>
      </c>
      <c r="M199" s="12">
        <v>900825</v>
      </c>
      <c r="N199" s="12">
        <f t="shared" si="72"/>
        <v>688730.25787500001</v>
      </c>
      <c r="O199" s="12"/>
      <c r="P199" s="12">
        <f>N199/L199</f>
        <v>205.41942790354329</v>
      </c>
      <c r="Q199" s="192">
        <f>P199/10</f>
        <v>20.54194279035433</v>
      </c>
      <c r="R199" s="26"/>
      <c r="S199" s="33">
        <v>0.90400000000000003</v>
      </c>
      <c r="T199" s="8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s="133" customFormat="1" x14ac:dyDescent="0.25">
      <c r="A200" s="10" t="s">
        <v>72</v>
      </c>
      <c r="B200" s="3" t="s">
        <v>13</v>
      </c>
      <c r="C200" s="11">
        <v>2010</v>
      </c>
      <c r="D200" s="11"/>
      <c r="E200" s="11"/>
      <c r="F200" s="11"/>
      <c r="G200" s="4">
        <v>39.264158000000002</v>
      </c>
      <c r="H200" s="4">
        <v>-74.589957999999996</v>
      </c>
      <c r="I200" s="5" t="s">
        <v>15</v>
      </c>
      <c r="J200" s="18" t="s">
        <v>16</v>
      </c>
      <c r="K200" s="6">
        <v>9500</v>
      </c>
      <c r="L200" s="12">
        <f t="shared" si="78"/>
        <v>2895.6000000000004</v>
      </c>
      <c r="M200" s="12">
        <v>1400000</v>
      </c>
      <c r="N200" s="12">
        <f t="shared" si="72"/>
        <v>1070377</v>
      </c>
      <c r="O200" s="12"/>
      <c r="P200" s="12">
        <f>N200/L200</f>
        <v>369.65637518994333</v>
      </c>
      <c r="Q200" s="192">
        <f>P200/10</f>
        <v>36.965637518994335</v>
      </c>
      <c r="R200" s="19">
        <v>13824000</v>
      </c>
      <c r="S200" s="9">
        <v>0.91600000000000004</v>
      </c>
      <c r="T200" s="8">
        <f t="shared" ref="T200:T208" si="81">+R200/S200</f>
        <v>15091703.056768559</v>
      </c>
      <c r="U200" s="133">
        <f t="shared" ref="U200:U208" si="82">T200/N200</f>
        <v>14.099427637896328</v>
      </c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s="133" customFormat="1" x14ac:dyDescent="0.25">
      <c r="A201" s="10" t="s">
        <v>72</v>
      </c>
      <c r="B201" s="3" t="s">
        <v>13</v>
      </c>
      <c r="C201" s="11">
        <v>2013</v>
      </c>
      <c r="D201" s="11"/>
      <c r="E201" s="11"/>
      <c r="F201" s="11"/>
      <c r="G201" s="4">
        <v>39.264158000000002</v>
      </c>
      <c r="H201" s="4">
        <v>-74.589957999999996</v>
      </c>
      <c r="I201" s="5" t="s">
        <v>24</v>
      </c>
      <c r="J201" s="18" t="s">
        <v>16</v>
      </c>
      <c r="K201" s="6">
        <v>4487</v>
      </c>
      <c r="L201" s="12">
        <f t="shared" si="78"/>
        <v>1367.6376</v>
      </c>
      <c r="M201" s="12">
        <v>90000</v>
      </c>
      <c r="N201" s="12">
        <f t="shared" si="72"/>
        <v>68809.95</v>
      </c>
      <c r="O201" s="12"/>
      <c r="P201" s="195">
        <f>SUM(N201:N203)/SUM(L201:L203)</f>
        <v>276.94618668991006</v>
      </c>
      <c r="Q201" s="197">
        <f>P201/10</f>
        <v>27.694618668991005</v>
      </c>
      <c r="R201" s="19">
        <v>1100000</v>
      </c>
      <c r="S201" s="20">
        <v>0.97799999999999998</v>
      </c>
      <c r="T201" s="8">
        <f t="shared" si="81"/>
        <v>1124744.3762781187</v>
      </c>
      <c r="U201" s="133">
        <f t="shared" si="82"/>
        <v>16.345664780720213</v>
      </c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s="133" customFormat="1" x14ac:dyDescent="0.25">
      <c r="A202" s="10" t="s">
        <v>72</v>
      </c>
      <c r="B202" s="3" t="s">
        <v>13</v>
      </c>
      <c r="C202" s="11">
        <v>2013</v>
      </c>
      <c r="D202" s="11"/>
      <c r="E202" s="11"/>
      <c r="F202" s="11"/>
      <c r="G202" s="4">
        <v>39.264158000000002</v>
      </c>
      <c r="H202" s="4">
        <v>-74.589957999999996</v>
      </c>
      <c r="I202" s="5" t="s">
        <v>15</v>
      </c>
      <c r="J202" s="18" t="s">
        <v>16</v>
      </c>
      <c r="K202" s="6">
        <v>12144</v>
      </c>
      <c r="L202" s="12">
        <f t="shared" si="78"/>
        <v>3701.4912000000004</v>
      </c>
      <c r="M202" s="12">
        <v>1000000</v>
      </c>
      <c r="N202" s="12">
        <f t="shared" si="72"/>
        <v>764555</v>
      </c>
      <c r="O202" s="12"/>
      <c r="P202" s="195"/>
      <c r="Q202" s="197"/>
      <c r="R202" s="19">
        <v>11993000</v>
      </c>
      <c r="S202" s="20">
        <v>0.97799999999999998</v>
      </c>
      <c r="T202" s="8">
        <f t="shared" si="81"/>
        <v>12262781.18609407</v>
      </c>
      <c r="U202" s="133">
        <f t="shared" si="82"/>
        <v>16.039109267605429</v>
      </c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s="133" customFormat="1" x14ac:dyDescent="0.25">
      <c r="A203" s="2" t="s">
        <v>72</v>
      </c>
      <c r="B203" s="3" t="s">
        <v>13</v>
      </c>
      <c r="C203" s="11">
        <v>2013</v>
      </c>
      <c r="D203" s="11"/>
      <c r="E203" s="11"/>
      <c r="F203" s="11"/>
      <c r="G203" s="4">
        <v>39.264158000000002</v>
      </c>
      <c r="H203" s="4">
        <v>-74.589957999999996</v>
      </c>
      <c r="I203" s="5" t="s">
        <v>15</v>
      </c>
      <c r="J203" s="18" t="s">
        <v>17</v>
      </c>
      <c r="K203" s="6"/>
      <c r="L203" s="12"/>
      <c r="M203" s="7">
        <v>746200</v>
      </c>
      <c r="N203" s="12">
        <f t="shared" si="72"/>
        <v>570510.94099999999</v>
      </c>
      <c r="O203" s="12"/>
      <c r="P203" s="195"/>
      <c r="Q203" s="197"/>
      <c r="R203" s="62">
        <v>5467700</v>
      </c>
      <c r="S203" s="20">
        <v>0.97799999999999998</v>
      </c>
      <c r="T203" s="8">
        <f t="shared" si="81"/>
        <v>5590695.2965235179</v>
      </c>
      <c r="U203" s="133">
        <f t="shared" si="82"/>
        <v>9.7994532527703413</v>
      </c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s="133" customFormat="1" x14ac:dyDescent="0.25">
      <c r="A204" s="10" t="s">
        <v>72</v>
      </c>
      <c r="C204" s="139">
        <v>2015</v>
      </c>
      <c r="D204" s="139"/>
      <c r="G204" s="139"/>
      <c r="L204" s="133">
        <v>3750</v>
      </c>
      <c r="M204" s="140">
        <v>1514600</v>
      </c>
      <c r="N204" s="12">
        <f t="shared" si="72"/>
        <v>1157995.003</v>
      </c>
      <c r="O204" s="12"/>
      <c r="P204" s="198">
        <f>SUM(N204:N205)/SUM(L204:L205)</f>
        <v>278.53992385871157</v>
      </c>
      <c r="Q204" s="199">
        <f>P204/10</f>
        <v>27.853992385871159</v>
      </c>
      <c r="R204" s="141">
        <v>21217060</v>
      </c>
      <c r="S204" s="133">
        <v>0.995</v>
      </c>
      <c r="T204" s="8">
        <f t="shared" si="81"/>
        <v>21323678.391959798</v>
      </c>
      <c r="U204" s="133">
        <f t="shared" si="82"/>
        <v>18.414309506273231</v>
      </c>
    </row>
    <row r="205" spans="1:42" s="133" customFormat="1" x14ac:dyDescent="0.25">
      <c r="A205" s="10" t="s">
        <v>72</v>
      </c>
      <c r="C205" s="139">
        <v>2015</v>
      </c>
      <c r="D205" s="139"/>
      <c r="L205" s="133">
        <v>3080</v>
      </c>
      <c r="M205" s="140">
        <v>973681</v>
      </c>
      <c r="N205" s="12">
        <f t="shared" si="72"/>
        <v>744432.67695500003</v>
      </c>
      <c r="O205" s="12"/>
      <c r="P205" s="198"/>
      <c r="Q205" s="199"/>
      <c r="R205" s="141">
        <v>11162930</v>
      </c>
      <c r="S205" s="133">
        <v>0.995</v>
      </c>
      <c r="T205" s="8">
        <f t="shared" si="81"/>
        <v>11219025.12562814</v>
      </c>
      <c r="U205" s="133">
        <f t="shared" si="82"/>
        <v>15.070570479949948</v>
      </c>
    </row>
    <row r="206" spans="1:42" s="133" customFormat="1" x14ac:dyDescent="0.25">
      <c r="A206" s="10" t="s">
        <v>72</v>
      </c>
      <c r="C206" s="139">
        <v>2016</v>
      </c>
      <c r="D206" s="139"/>
      <c r="G206" s="139"/>
      <c r="L206" s="198">
        <v>3750</v>
      </c>
      <c r="M206" s="140">
        <v>317200</v>
      </c>
      <c r="N206" s="12">
        <f t="shared" si="72"/>
        <v>242516.84599999999</v>
      </c>
      <c r="O206" s="12"/>
      <c r="P206" s="198">
        <f>SUM(N206:N207)/L206</f>
        <v>100.10573466666666</v>
      </c>
      <c r="Q206" s="199">
        <f>P206/10</f>
        <v>10.010573466666667</v>
      </c>
      <c r="R206" s="141">
        <v>4443451</v>
      </c>
      <c r="S206" s="176">
        <v>1</v>
      </c>
      <c r="T206" s="8">
        <f t="shared" si="81"/>
        <v>4443451</v>
      </c>
      <c r="U206" s="133">
        <f t="shared" si="82"/>
        <v>18.322236468471967</v>
      </c>
    </row>
    <row r="207" spans="1:42" s="133" customFormat="1" x14ac:dyDescent="0.25">
      <c r="A207" s="10" t="s">
        <v>72</v>
      </c>
      <c r="C207" s="139">
        <v>2016</v>
      </c>
      <c r="D207" s="139"/>
      <c r="G207" s="139"/>
      <c r="L207" s="198"/>
      <c r="M207" s="140">
        <v>173800</v>
      </c>
      <c r="N207" s="12">
        <f t="shared" si="72"/>
        <v>132879.65899999999</v>
      </c>
      <c r="O207" s="12"/>
      <c r="P207" s="198"/>
      <c r="Q207" s="199"/>
      <c r="R207" s="141">
        <v>2434653</v>
      </c>
      <c r="S207" s="176">
        <v>1</v>
      </c>
      <c r="T207" s="8">
        <f t="shared" si="81"/>
        <v>2434653</v>
      </c>
      <c r="U207" s="133">
        <f t="shared" si="82"/>
        <v>18.322239975043889</v>
      </c>
    </row>
    <row r="208" spans="1:42" s="133" customFormat="1" x14ac:dyDescent="0.25">
      <c r="A208" s="10" t="s">
        <v>72</v>
      </c>
      <c r="C208" s="139">
        <v>2017</v>
      </c>
      <c r="D208" s="139"/>
      <c r="G208" s="139"/>
      <c r="L208" s="133">
        <v>3080</v>
      </c>
      <c r="M208" s="140">
        <v>1276777</v>
      </c>
      <c r="N208" s="12">
        <f t="shared" si="72"/>
        <v>976166.23923499999</v>
      </c>
      <c r="O208" s="12"/>
      <c r="P208" s="133">
        <f>N208/L208</f>
        <v>316.93709066071426</v>
      </c>
      <c r="Q208" s="193">
        <f>P208/10</f>
        <v>31.693709066071428</v>
      </c>
      <c r="R208" s="141">
        <v>13189091</v>
      </c>
      <c r="S208" s="133">
        <v>1.0213000000000001</v>
      </c>
      <c r="T208" s="8">
        <f t="shared" si="81"/>
        <v>12914022.324488396</v>
      </c>
      <c r="U208" s="133">
        <f t="shared" si="82"/>
        <v>13.229326937806036</v>
      </c>
    </row>
    <row r="209" spans="1:42" s="133" customFormat="1" x14ac:dyDescent="0.25">
      <c r="A209" s="2" t="s">
        <v>96</v>
      </c>
      <c r="B209" s="3" t="s">
        <v>13</v>
      </c>
      <c r="C209" s="3">
        <v>1966</v>
      </c>
      <c r="D209" s="3"/>
      <c r="E209" s="3"/>
      <c r="F209" s="3"/>
      <c r="G209" s="4">
        <v>39.194612999999997</v>
      </c>
      <c r="H209" s="4">
        <v>-74.657435000000007</v>
      </c>
      <c r="I209" s="14" t="s">
        <v>1</v>
      </c>
      <c r="J209" s="5" t="s">
        <v>14</v>
      </c>
      <c r="K209" s="6"/>
      <c r="L209" s="12"/>
      <c r="M209" s="7">
        <v>10000</v>
      </c>
      <c r="N209" s="12">
        <f t="shared" ref="N209:N220" si="83">M209*0.764555</f>
        <v>7645.55</v>
      </c>
      <c r="O209" s="12"/>
      <c r="P209" s="12"/>
      <c r="Q209" s="192"/>
      <c r="R209" s="13"/>
      <c r="S209" s="9">
        <v>0.13600000000000001</v>
      </c>
      <c r="T209" s="8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s="133" customFormat="1" x14ac:dyDescent="0.25">
      <c r="A210" s="2" t="s">
        <v>96</v>
      </c>
      <c r="B210" s="3" t="s">
        <v>13</v>
      </c>
      <c r="C210" s="3">
        <v>1950</v>
      </c>
      <c r="D210" s="3"/>
      <c r="E210" s="3"/>
      <c r="F210" s="3"/>
      <c r="G210" s="4">
        <v>39.194612999999997</v>
      </c>
      <c r="H210" s="4">
        <v>-74.657435000000007</v>
      </c>
      <c r="I210" s="14" t="s">
        <v>15</v>
      </c>
      <c r="J210" s="5" t="s">
        <v>14</v>
      </c>
      <c r="K210" s="6"/>
      <c r="L210" s="12"/>
      <c r="M210" s="7">
        <v>134000</v>
      </c>
      <c r="N210" s="12">
        <f t="shared" si="83"/>
        <v>102450.37</v>
      </c>
      <c r="O210" s="12"/>
      <c r="P210" s="12"/>
      <c r="Q210" s="192"/>
      <c r="R210" s="13"/>
      <c r="S210" s="9">
        <v>0.10100000000000001</v>
      </c>
      <c r="T210" s="8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s="133" customFormat="1" x14ac:dyDescent="0.25">
      <c r="A211" s="2" t="s">
        <v>67</v>
      </c>
      <c r="B211" s="3" t="s">
        <v>13</v>
      </c>
      <c r="C211" s="11">
        <v>1992</v>
      </c>
      <c r="D211" s="11"/>
      <c r="E211" s="11"/>
      <c r="F211" s="11"/>
      <c r="G211" s="4">
        <v>39.194612999999997</v>
      </c>
      <c r="H211" s="4">
        <v>-74.657435000000007</v>
      </c>
      <c r="I211" s="14" t="s">
        <v>1</v>
      </c>
      <c r="J211" s="5" t="s">
        <v>14</v>
      </c>
      <c r="K211" s="6"/>
      <c r="L211" s="12"/>
      <c r="M211" s="12">
        <v>23000</v>
      </c>
      <c r="N211" s="12">
        <f t="shared" si="83"/>
        <v>17584.764999999999</v>
      </c>
      <c r="O211" s="12"/>
      <c r="P211" s="12"/>
      <c r="Q211" s="192"/>
      <c r="R211" s="19">
        <v>102679</v>
      </c>
      <c r="S211" s="9">
        <v>0.58799999999999997</v>
      </c>
      <c r="T211" s="8">
        <f>+R211/S212</f>
        <v>268793.19371727749</v>
      </c>
      <c r="U211" s="133">
        <f t="shared" ref="U211:U215" si="84">T211/N211</f>
        <v>15.285572125489166</v>
      </c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s="133" customFormat="1" x14ac:dyDescent="0.25">
      <c r="A212" s="2" t="s">
        <v>67</v>
      </c>
      <c r="B212" s="3" t="s">
        <v>13</v>
      </c>
      <c r="C212" s="3">
        <v>1981</v>
      </c>
      <c r="D212" s="3"/>
      <c r="E212" s="3"/>
      <c r="F212" s="3"/>
      <c r="G212" s="4">
        <v>39.194612999999997</v>
      </c>
      <c r="H212" s="4">
        <v>-74.657435000000007</v>
      </c>
      <c r="I212" s="5" t="s">
        <v>14</v>
      </c>
      <c r="J212" s="5" t="s">
        <v>14</v>
      </c>
      <c r="K212" s="6"/>
      <c r="L212" s="12"/>
      <c r="M212" s="7">
        <v>36000</v>
      </c>
      <c r="N212" s="12">
        <f t="shared" si="83"/>
        <v>27523.98</v>
      </c>
      <c r="O212" s="12"/>
      <c r="P212" s="12"/>
      <c r="Q212" s="192"/>
      <c r="R212" s="8">
        <v>93240</v>
      </c>
      <c r="S212" s="9">
        <v>0.38200000000000001</v>
      </c>
      <c r="T212" s="8">
        <f t="shared" ref="T212:T220" si="85">+R212/S212</f>
        <v>244083.76963350785</v>
      </c>
      <c r="U212" s="133">
        <f t="shared" si="84"/>
        <v>8.8680405098938397</v>
      </c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s="133" customFormat="1" x14ac:dyDescent="0.25">
      <c r="A213" s="2" t="s">
        <v>67</v>
      </c>
      <c r="B213" s="3" t="s">
        <v>13</v>
      </c>
      <c r="C213" s="3">
        <v>1982</v>
      </c>
      <c r="D213" s="3"/>
      <c r="E213" s="3"/>
      <c r="F213" s="3"/>
      <c r="G213" s="4">
        <v>39.194612999999997</v>
      </c>
      <c r="H213" s="4">
        <v>-74.657435000000007</v>
      </c>
      <c r="I213" s="14" t="s">
        <v>24</v>
      </c>
      <c r="J213" s="5" t="s">
        <v>14</v>
      </c>
      <c r="K213" s="6"/>
      <c r="L213" s="12"/>
      <c r="M213" s="7">
        <v>45000</v>
      </c>
      <c r="N213" s="12">
        <f t="shared" si="83"/>
        <v>34404.974999999999</v>
      </c>
      <c r="O213" s="12"/>
      <c r="P213" s="12"/>
      <c r="Q213" s="192"/>
      <c r="R213" s="8">
        <v>90000</v>
      </c>
      <c r="S213" s="9">
        <v>0.40100000000000002</v>
      </c>
      <c r="T213" s="8">
        <f t="shared" si="85"/>
        <v>224438.90274314213</v>
      </c>
      <c r="U213" s="133">
        <f t="shared" si="84"/>
        <v>6.52344327362953</v>
      </c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s="133" customFormat="1" x14ac:dyDescent="0.25">
      <c r="A214" s="2" t="s">
        <v>67</v>
      </c>
      <c r="B214" s="3" t="s">
        <v>13</v>
      </c>
      <c r="C214" s="3">
        <v>1984</v>
      </c>
      <c r="D214" s="3"/>
      <c r="E214" s="3"/>
      <c r="F214" s="3"/>
      <c r="G214" s="4">
        <v>39.194612999999997</v>
      </c>
      <c r="H214" s="4">
        <v>-74.657435000000007</v>
      </c>
      <c r="I214" s="14" t="s">
        <v>1</v>
      </c>
      <c r="J214" s="5" t="s">
        <v>14</v>
      </c>
      <c r="K214" s="6"/>
      <c r="L214" s="12"/>
      <c r="M214" s="7">
        <v>120000</v>
      </c>
      <c r="N214" s="12">
        <f t="shared" si="83"/>
        <v>91746.599999999991</v>
      </c>
      <c r="O214" s="12"/>
      <c r="P214" s="12"/>
      <c r="Q214" s="192"/>
      <c r="R214" s="8">
        <v>2453600</v>
      </c>
      <c r="S214" s="9">
        <v>0.437</v>
      </c>
      <c r="T214" s="8">
        <f t="shared" si="85"/>
        <v>5614645.308924485</v>
      </c>
      <c r="U214" s="133">
        <f t="shared" si="84"/>
        <v>61.197312041258044</v>
      </c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1:42" s="133" customFormat="1" x14ac:dyDescent="0.25">
      <c r="A215" s="2" t="s">
        <v>67</v>
      </c>
      <c r="B215" s="3" t="s">
        <v>13</v>
      </c>
      <c r="C215" s="3">
        <v>2009</v>
      </c>
      <c r="D215" s="3"/>
      <c r="E215" s="3"/>
      <c r="F215" s="3"/>
      <c r="G215" s="4">
        <v>39.194612999999997</v>
      </c>
      <c r="H215" s="4">
        <v>-74.657435000000007</v>
      </c>
      <c r="I215" s="5" t="s">
        <v>1</v>
      </c>
      <c r="J215" s="5" t="s">
        <v>16</v>
      </c>
      <c r="K215" s="6">
        <v>10258</v>
      </c>
      <c r="L215" s="12">
        <f>K215*0.3048</f>
        <v>3126.6384000000003</v>
      </c>
      <c r="M215" s="7">
        <v>891000</v>
      </c>
      <c r="N215" s="12">
        <f t="shared" si="83"/>
        <v>681218.505</v>
      </c>
      <c r="O215" s="12"/>
      <c r="P215" s="12">
        <f>N215/L215</f>
        <v>217.87569198919834</v>
      </c>
      <c r="Q215" s="192">
        <f t="shared" ref="Q215:Q217" si="86">P215/10</f>
        <v>21.787569198919833</v>
      </c>
      <c r="R215" s="8">
        <v>6026820.3300000001</v>
      </c>
      <c r="S215" s="20">
        <v>0.90100000000000002</v>
      </c>
      <c r="T215" s="8">
        <f t="shared" si="85"/>
        <v>6689034.7724750275</v>
      </c>
      <c r="U215" s="133">
        <f t="shared" si="84"/>
        <v>9.8192205927744549</v>
      </c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s="133" customFormat="1" x14ac:dyDescent="0.25">
      <c r="A216" s="2" t="s">
        <v>67</v>
      </c>
      <c r="B216" s="3" t="s">
        <v>13</v>
      </c>
      <c r="C216" s="3">
        <v>2001</v>
      </c>
      <c r="D216" s="3"/>
      <c r="E216" s="3"/>
      <c r="F216" s="3"/>
      <c r="G216" s="4">
        <v>39.194612999999997</v>
      </c>
      <c r="H216" s="4">
        <v>-74.657435000000007</v>
      </c>
      <c r="I216" s="5" t="s">
        <v>1</v>
      </c>
      <c r="J216" s="5" t="s">
        <v>16</v>
      </c>
      <c r="K216" s="6">
        <v>4500</v>
      </c>
      <c r="L216" s="12">
        <f>K216*0.3048</f>
        <v>1371.6000000000001</v>
      </c>
      <c r="M216" s="7">
        <v>506139</v>
      </c>
      <c r="N216" s="12">
        <f t="shared" si="83"/>
        <v>386971.103145</v>
      </c>
      <c r="O216" s="12"/>
      <c r="P216" s="12">
        <f>N216/L216</f>
        <v>282.13116298118985</v>
      </c>
      <c r="Q216" s="192">
        <f t="shared" si="86"/>
        <v>28.213116298118983</v>
      </c>
      <c r="R216" s="26"/>
      <c r="S216" s="9">
        <v>0.746</v>
      </c>
      <c r="T216" s="8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s="133" customFormat="1" x14ac:dyDescent="0.25">
      <c r="A217" s="2" t="s">
        <v>67</v>
      </c>
      <c r="B217" s="3" t="s">
        <v>13</v>
      </c>
      <c r="C217" s="3">
        <v>2012</v>
      </c>
      <c r="D217" s="3"/>
      <c r="E217" s="3"/>
      <c r="F217" s="3"/>
      <c r="G217" s="4">
        <v>39.194612999999997</v>
      </c>
      <c r="H217" s="4">
        <v>-74.657435000000007</v>
      </c>
      <c r="I217" s="14" t="s">
        <v>15</v>
      </c>
      <c r="J217" s="5" t="s">
        <v>17</v>
      </c>
      <c r="K217" s="6">
        <v>2400</v>
      </c>
      <c r="L217" s="12">
        <f>K217*0.3048</f>
        <v>731.52</v>
      </c>
      <c r="M217" s="6">
        <v>450000</v>
      </c>
      <c r="N217" s="12">
        <f t="shared" si="83"/>
        <v>344049.75</v>
      </c>
      <c r="O217" s="12"/>
      <c r="P217" s="12">
        <f>N217/L217</f>
        <v>470.32172736220474</v>
      </c>
      <c r="Q217" s="192">
        <f t="shared" si="86"/>
        <v>47.032172736220474</v>
      </c>
      <c r="R217" s="13">
        <v>4200000</v>
      </c>
      <c r="S217" s="20">
        <v>0.96399999999999997</v>
      </c>
      <c r="T217" s="8">
        <f t="shared" si="85"/>
        <v>4356846.4730290454</v>
      </c>
      <c r="U217" s="133">
        <f t="shared" ref="U217:U220" si="87">T217/N217</f>
        <v>12.663419964784294</v>
      </c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s="133" customFormat="1" x14ac:dyDescent="0.25">
      <c r="A218" s="2" t="s">
        <v>67</v>
      </c>
      <c r="B218" s="3" t="s">
        <v>13</v>
      </c>
      <c r="C218" s="3">
        <v>1984</v>
      </c>
      <c r="D218" s="3"/>
      <c r="E218" s="3"/>
      <c r="F218" s="3"/>
      <c r="G218" s="4">
        <v>39.194612999999997</v>
      </c>
      <c r="H218" s="4">
        <v>-74.657435000000007</v>
      </c>
      <c r="I218" s="14" t="s">
        <v>1</v>
      </c>
      <c r="J218" s="5" t="s">
        <v>14</v>
      </c>
      <c r="K218" s="6"/>
      <c r="L218" s="12"/>
      <c r="M218" s="7">
        <v>592000</v>
      </c>
      <c r="N218" s="12">
        <f t="shared" si="83"/>
        <v>452616.56</v>
      </c>
      <c r="O218" s="12"/>
      <c r="P218" s="12"/>
      <c r="Q218" s="192"/>
      <c r="R218" s="8">
        <v>3929142</v>
      </c>
      <c r="S218" s="9">
        <v>0.437</v>
      </c>
      <c r="T218" s="8">
        <f t="shared" si="85"/>
        <v>8991171.6247139592</v>
      </c>
      <c r="U218" s="133">
        <f t="shared" si="87"/>
        <v>19.864875524470335</v>
      </c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s="133" customFormat="1" x14ac:dyDescent="0.25">
      <c r="A219" s="2" t="s">
        <v>67</v>
      </c>
      <c r="B219" s="3" t="s">
        <v>13</v>
      </c>
      <c r="C219" s="3">
        <v>1984</v>
      </c>
      <c r="D219" s="3"/>
      <c r="E219" s="3"/>
      <c r="F219" s="3"/>
      <c r="G219" s="4">
        <v>39.194612999999997</v>
      </c>
      <c r="H219" s="4">
        <v>-74.657435000000007</v>
      </c>
      <c r="I219" s="14" t="s">
        <v>1</v>
      </c>
      <c r="J219" s="5" t="s">
        <v>14</v>
      </c>
      <c r="K219" s="6"/>
      <c r="L219" s="12"/>
      <c r="M219" s="7">
        <v>1600000</v>
      </c>
      <c r="N219" s="12">
        <f t="shared" si="83"/>
        <v>1223288</v>
      </c>
      <c r="O219" s="12"/>
      <c r="P219" s="12"/>
      <c r="Q219" s="192"/>
      <c r="R219" s="8">
        <v>6451613</v>
      </c>
      <c r="S219" s="9">
        <v>0.437</v>
      </c>
      <c r="T219" s="8">
        <f t="shared" si="85"/>
        <v>14763416.475972541</v>
      </c>
      <c r="U219" s="133">
        <f t="shared" si="87"/>
        <v>12.068635085092424</v>
      </c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s="133" customFormat="1" x14ac:dyDescent="0.25">
      <c r="A220" s="2" t="s">
        <v>67</v>
      </c>
      <c r="B220" s="3"/>
      <c r="C220" s="3">
        <v>2015</v>
      </c>
      <c r="D220" s="3"/>
      <c r="E220" s="3"/>
      <c r="F220" s="3"/>
      <c r="G220" s="4"/>
      <c r="H220" s="4"/>
      <c r="I220" s="14"/>
      <c r="J220" s="5"/>
      <c r="K220" s="6">
        <v>84480</v>
      </c>
      <c r="L220" s="12">
        <f>K220*0.3048</f>
        <v>25749.504000000001</v>
      </c>
      <c r="M220" s="7">
        <v>4700000</v>
      </c>
      <c r="N220" s="12">
        <f t="shared" si="83"/>
        <v>3593408.5</v>
      </c>
      <c r="O220" s="12"/>
      <c r="P220" s="12">
        <f>N220/L220</f>
        <v>139.55253274004812</v>
      </c>
      <c r="Q220" s="192">
        <f>P220/10</f>
        <v>13.955253274004813</v>
      </c>
      <c r="R220" s="8">
        <v>67845356</v>
      </c>
      <c r="S220" s="133">
        <v>0.995</v>
      </c>
      <c r="T220" s="8">
        <f t="shared" si="85"/>
        <v>68186287.437185928</v>
      </c>
      <c r="U220" s="133">
        <f t="shared" si="87"/>
        <v>18.975378790690211</v>
      </c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s="133" customFormat="1" x14ac:dyDescent="0.25">
      <c r="A221" s="46" t="s">
        <v>65</v>
      </c>
      <c r="B221" s="63" t="s">
        <v>13</v>
      </c>
      <c r="C221" s="63">
        <v>1962</v>
      </c>
      <c r="D221" s="63"/>
      <c r="E221" s="63"/>
      <c r="F221" s="63"/>
      <c r="G221" s="40">
        <v>39.166421999999997</v>
      </c>
      <c r="H221" s="40">
        <v>-74.682469999999995</v>
      </c>
      <c r="I221" s="48" t="s">
        <v>15</v>
      </c>
      <c r="J221" s="41" t="s">
        <v>35</v>
      </c>
      <c r="K221" s="64">
        <v>35200</v>
      </c>
      <c r="L221" s="12">
        <f>K221*0.3048</f>
        <v>10728.960000000001</v>
      </c>
      <c r="M221" s="65">
        <v>905082</v>
      </c>
      <c r="N221" s="12">
        <f t="shared" ref="N221:N232" si="88">M221*0.764555</f>
        <v>691984.96851000004</v>
      </c>
      <c r="O221" s="12"/>
      <c r="P221" s="12">
        <f>N221/L221</f>
        <v>64.496928734005905</v>
      </c>
      <c r="Q221" s="192">
        <f t="shared" ref="Q221:Q229" si="89">P221/10</f>
        <v>6.4496928734005907</v>
      </c>
      <c r="R221" s="66">
        <v>1066800</v>
      </c>
      <c r="S221" s="44">
        <v>0.127</v>
      </c>
      <c r="T221" s="45">
        <f>+R221/S221</f>
        <v>8400000</v>
      </c>
      <c r="U221" s="133">
        <f t="shared" ref="U221:U222" si="90">T221/N221</f>
        <v>12.138992004533129</v>
      </c>
      <c r="Y221" s="10"/>
      <c r="Z221" s="10"/>
      <c r="AA221" s="10"/>
      <c r="AB221" s="10"/>
      <c r="AC221" s="10"/>
      <c r="AD221" s="10"/>
      <c r="AE221" s="10"/>
      <c r="AF221" s="10"/>
      <c r="AG221" s="10"/>
      <c r="AH221" s="57"/>
      <c r="AI221" s="57"/>
      <c r="AJ221" s="57"/>
      <c r="AK221" s="57"/>
      <c r="AL221" s="57"/>
      <c r="AM221" s="57"/>
      <c r="AN221" s="57"/>
      <c r="AO221" s="57"/>
      <c r="AP221" s="57"/>
    </row>
    <row r="222" spans="1:42" s="133" customFormat="1" x14ac:dyDescent="0.25">
      <c r="A222" s="29" t="s">
        <v>66</v>
      </c>
      <c r="B222" s="3" t="s">
        <v>13</v>
      </c>
      <c r="C222" s="3">
        <v>1965</v>
      </c>
      <c r="D222" s="3"/>
      <c r="E222" s="3"/>
      <c r="F222" s="3"/>
      <c r="G222" s="4">
        <v>39.141177999999996</v>
      </c>
      <c r="H222" s="4">
        <v>-74.699749999999995</v>
      </c>
      <c r="I222" s="14" t="s">
        <v>1</v>
      </c>
      <c r="J222" s="5" t="s">
        <v>14</v>
      </c>
      <c r="K222" s="6"/>
      <c r="L222" s="12"/>
      <c r="M222" s="7">
        <v>60000</v>
      </c>
      <c r="N222" s="12">
        <f t="shared" si="88"/>
        <v>45873.299999999996</v>
      </c>
      <c r="O222" s="12"/>
      <c r="P222" s="12"/>
      <c r="Q222" s="192"/>
      <c r="R222" s="8">
        <v>63845</v>
      </c>
      <c r="S222" s="9">
        <v>0.13200000000000001</v>
      </c>
      <c r="T222" s="8">
        <f>+R222/S222</f>
        <v>483674.24242424237</v>
      </c>
      <c r="U222" s="133">
        <f t="shared" si="90"/>
        <v>10.543698456929029</v>
      </c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s="133" customFormat="1" x14ac:dyDescent="0.25">
      <c r="A223" s="29" t="s">
        <v>66</v>
      </c>
      <c r="B223" s="3" t="s">
        <v>13</v>
      </c>
      <c r="C223" s="3">
        <v>1978</v>
      </c>
      <c r="D223" s="3"/>
      <c r="E223" s="3"/>
      <c r="F223" s="3"/>
      <c r="G223" s="4">
        <v>39.141177999999996</v>
      </c>
      <c r="H223" s="4">
        <v>-74.699749999999995</v>
      </c>
      <c r="I223" s="5" t="s">
        <v>14</v>
      </c>
      <c r="J223" s="5" t="s">
        <v>14</v>
      </c>
      <c r="K223" s="6"/>
      <c r="L223" s="12"/>
      <c r="M223" s="7">
        <v>700000</v>
      </c>
      <c r="N223" s="12">
        <f t="shared" si="88"/>
        <v>535188.5</v>
      </c>
      <c r="O223" s="12"/>
      <c r="P223" s="12"/>
      <c r="Q223" s="192"/>
      <c r="R223" s="13"/>
      <c r="S223" s="9">
        <v>0.27400000000000002</v>
      </c>
      <c r="T223" s="8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s="133" customFormat="1" x14ac:dyDescent="0.25">
      <c r="A224" s="29" t="s">
        <v>66</v>
      </c>
      <c r="B224" s="3" t="s">
        <v>13</v>
      </c>
      <c r="C224" s="3">
        <v>1981</v>
      </c>
      <c r="D224" s="3"/>
      <c r="E224" s="3"/>
      <c r="F224" s="3"/>
      <c r="G224" s="4">
        <v>39.141177999999996</v>
      </c>
      <c r="H224" s="4">
        <v>-74.699749999999995</v>
      </c>
      <c r="I224" s="5" t="s">
        <v>14</v>
      </c>
      <c r="J224" s="5" t="s">
        <v>14</v>
      </c>
      <c r="K224" s="6"/>
      <c r="L224" s="12"/>
      <c r="M224" s="7">
        <v>20880</v>
      </c>
      <c r="N224" s="12">
        <f t="shared" si="88"/>
        <v>15963.9084</v>
      </c>
      <c r="O224" s="12"/>
      <c r="P224" s="12"/>
      <c r="Q224" s="192"/>
      <c r="R224" s="8">
        <v>54080</v>
      </c>
      <c r="S224" s="9">
        <v>0.38200000000000001</v>
      </c>
      <c r="T224" s="8">
        <f t="shared" ref="T224:T232" si="91">+R224/S224</f>
        <v>141570.68062827224</v>
      </c>
      <c r="U224" s="133">
        <f t="shared" ref="U224:U231" si="92">T224/N224</f>
        <v>8.8681716958656711</v>
      </c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s="133" customFormat="1" x14ac:dyDescent="0.25">
      <c r="A225" s="29" t="s">
        <v>66</v>
      </c>
      <c r="B225" s="3" t="s">
        <v>13</v>
      </c>
      <c r="C225" s="3">
        <v>1983</v>
      </c>
      <c r="D225" s="3"/>
      <c r="E225" s="3"/>
      <c r="F225" s="3"/>
      <c r="G225" s="4">
        <v>39.141177999999996</v>
      </c>
      <c r="H225" s="4">
        <v>-74.699749999999995</v>
      </c>
      <c r="I225" s="14" t="s">
        <v>1</v>
      </c>
      <c r="J225" s="5" t="s">
        <v>14</v>
      </c>
      <c r="K225" s="6"/>
      <c r="L225" s="12"/>
      <c r="M225" s="7">
        <v>45000</v>
      </c>
      <c r="N225" s="12">
        <f t="shared" si="88"/>
        <v>34404.974999999999</v>
      </c>
      <c r="O225" s="12"/>
      <c r="P225" s="12"/>
      <c r="Q225" s="192"/>
      <c r="R225" s="8">
        <v>194294</v>
      </c>
      <c r="S225" s="9">
        <v>0.41799999999999998</v>
      </c>
      <c r="T225" s="8">
        <f t="shared" si="91"/>
        <v>464818.18181818182</v>
      </c>
      <c r="U225" s="133">
        <f t="shared" si="92"/>
        <v>13.510202574429478</v>
      </c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s="133" customFormat="1" ht="13.25" customHeight="1" x14ac:dyDescent="0.35">
      <c r="A226" s="29" t="s">
        <v>66</v>
      </c>
      <c r="B226" s="3" t="s">
        <v>13</v>
      </c>
      <c r="C226" s="3">
        <v>1984</v>
      </c>
      <c r="D226" s="3"/>
      <c r="E226" s="3"/>
      <c r="F226" s="3"/>
      <c r="G226" s="181">
        <v>39.141177999999996</v>
      </c>
      <c r="H226" s="181">
        <v>-74.699749999999995</v>
      </c>
      <c r="I226" s="14" t="s">
        <v>1</v>
      </c>
      <c r="J226" s="5" t="s">
        <v>14</v>
      </c>
      <c r="K226" s="6"/>
      <c r="L226" s="12"/>
      <c r="M226" s="7">
        <v>800000</v>
      </c>
      <c r="N226" s="12">
        <f t="shared" si="88"/>
        <v>611644</v>
      </c>
      <c r="O226" s="12"/>
      <c r="P226" s="12"/>
      <c r="Q226" s="192"/>
      <c r="R226" s="8">
        <v>3652500</v>
      </c>
      <c r="S226" s="9">
        <v>0.437</v>
      </c>
      <c r="T226" s="8">
        <f t="shared" si="91"/>
        <v>8358123.5697940504</v>
      </c>
      <c r="U226" s="133">
        <f t="shared" si="92"/>
        <v>13.665013585997819</v>
      </c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1:42" s="133" customFormat="1" x14ac:dyDescent="0.25">
      <c r="A227" s="29" t="s">
        <v>66</v>
      </c>
      <c r="B227" s="3" t="s">
        <v>13</v>
      </c>
      <c r="C227" s="3">
        <v>1987</v>
      </c>
      <c r="D227" s="3"/>
      <c r="E227" s="3"/>
      <c r="F227" s="3"/>
      <c r="G227" s="4">
        <v>39.141177999999996</v>
      </c>
      <c r="H227" s="4">
        <v>-74.699749999999995</v>
      </c>
      <c r="I227" s="5" t="s">
        <v>14</v>
      </c>
      <c r="J227" s="5" t="s">
        <v>14</v>
      </c>
      <c r="K227" s="6"/>
      <c r="L227" s="12"/>
      <c r="M227" s="7">
        <v>158000</v>
      </c>
      <c r="N227" s="12">
        <f t="shared" si="88"/>
        <v>120799.69</v>
      </c>
      <c r="O227" s="12"/>
      <c r="P227" s="12"/>
      <c r="Q227" s="192"/>
      <c r="R227" s="8">
        <v>528244</v>
      </c>
      <c r="S227" s="9">
        <v>0.47599999999999998</v>
      </c>
      <c r="T227" s="8">
        <f t="shared" si="91"/>
        <v>1109756.3025210085</v>
      </c>
      <c r="U227" s="133">
        <f t="shared" si="92"/>
        <v>9.1867479338813585</v>
      </c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1:42" s="133" customFormat="1" x14ac:dyDescent="0.25">
      <c r="A228" s="29" t="s">
        <v>66</v>
      </c>
      <c r="B228" s="3" t="s">
        <v>13</v>
      </c>
      <c r="C228" s="21">
        <v>2009</v>
      </c>
      <c r="D228" s="21"/>
      <c r="E228" s="21"/>
      <c r="F228" s="21"/>
      <c r="G228" s="4">
        <v>39.141177999999996</v>
      </c>
      <c r="H228" s="4">
        <v>-74.699749999999995</v>
      </c>
      <c r="I228" s="5" t="s">
        <v>1</v>
      </c>
      <c r="J228" s="18" t="s">
        <v>14</v>
      </c>
      <c r="K228" s="24">
        <v>6500</v>
      </c>
      <c r="L228" s="12">
        <f>K228*0.3048</f>
        <v>1981.2</v>
      </c>
      <c r="M228" s="25">
        <v>216630</v>
      </c>
      <c r="N228" s="12">
        <f t="shared" si="88"/>
        <v>165625.54965</v>
      </c>
      <c r="O228" s="12"/>
      <c r="P228" s="12">
        <f>N228/L228</f>
        <v>83.598601680799518</v>
      </c>
      <c r="Q228" s="192">
        <f t="shared" si="89"/>
        <v>8.3598601680799511</v>
      </c>
      <c r="R228" s="26">
        <v>1987684</v>
      </c>
      <c r="S228" s="20">
        <v>0.90100000000000002</v>
      </c>
      <c r="T228" s="8">
        <f t="shared" si="91"/>
        <v>2206086.5704772472</v>
      </c>
      <c r="U228" s="133">
        <f t="shared" si="92"/>
        <v>13.319723769304618</v>
      </c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1:42" s="133" customFormat="1" x14ac:dyDescent="0.25">
      <c r="A229" s="29" t="s">
        <v>66</v>
      </c>
      <c r="B229" s="3" t="s">
        <v>13</v>
      </c>
      <c r="C229" s="21">
        <v>2009</v>
      </c>
      <c r="D229" s="21"/>
      <c r="E229" s="21"/>
      <c r="F229" s="21"/>
      <c r="G229" s="4">
        <v>39.141177999999996</v>
      </c>
      <c r="H229" s="4">
        <v>-74.699749999999995</v>
      </c>
      <c r="I229" s="5" t="s">
        <v>1</v>
      </c>
      <c r="J229" s="18" t="s">
        <v>14</v>
      </c>
      <c r="K229" s="24">
        <v>3500</v>
      </c>
      <c r="L229" s="12">
        <f>K229*0.3048</f>
        <v>1066.8</v>
      </c>
      <c r="M229" s="25">
        <v>178167</v>
      </c>
      <c r="N229" s="12">
        <f t="shared" si="88"/>
        <v>136218.47068500001</v>
      </c>
      <c r="O229" s="12"/>
      <c r="P229" s="12">
        <f>N229/L229</f>
        <v>127.68885516029248</v>
      </c>
      <c r="Q229" s="192">
        <f t="shared" si="89"/>
        <v>12.768885516029247</v>
      </c>
      <c r="R229" s="26">
        <v>1626286</v>
      </c>
      <c r="S229" s="20">
        <v>0.90100000000000002</v>
      </c>
      <c r="T229" s="8">
        <f t="shared" si="91"/>
        <v>1804978.9123196448</v>
      </c>
      <c r="U229" s="133">
        <f t="shared" si="92"/>
        <v>13.250617946618924</v>
      </c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s="133" customFormat="1" x14ac:dyDescent="0.25">
      <c r="A230" s="29" t="s">
        <v>66</v>
      </c>
      <c r="B230" s="34" t="s">
        <v>13</v>
      </c>
      <c r="C230" s="58">
        <v>2010</v>
      </c>
      <c r="D230" s="58"/>
      <c r="E230" s="58"/>
      <c r="F230" s="58"/>
      <c r="G230" s="56">
        <v>39.141177999999996</v>
      </c>
      <c r="H230" s="56">
        <v>-74.699749999999995</v>
      </c>
      <c r="I230" s="5" t="s">
        <v>1</v>
      </c>
      <c r="J230" s="18" t="s">
        <v>14</v>
      </c>
      <c r="K230" s="6">
        <v>5500</v>
      </c>
      <c r="L230" s="12">
        <f>K230*0.3048</f>
        <v>1676.4</v>
      </c>
      <c r="M230" s="7">
        <v>700000</v>
      </c>
      <c r="N230" s="12">
        <f t="shared" si="88"/>
        <v>535188.5</v>
      </c>
      <c r="O230" s="12"/>
      <c r="P230" s="12">
        <f>N230/L230</f>
        <v>319.248687664042</v>
      </c>
      <c r="Q230" s="192">
        <f>P230/10</f>
        <v>31.924868766404199</v>
      </c>
      <c r="R230" s="26">
        <v>6000000</v>
      </c>
      <c r="S230" s="9">
        <v>0.91600000000000004</v>
      </c>
      <c r="T230" s="8">
        <f t="shared" si="91"/>
        <v>6550218.3406113535</v>
      </c>
      <c r="U230" s="133">
        <f t="shared" si="92"/>
        <v>12.239086491229452</v>
      </c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s="133" customFormat="1" x14ac:dyDescent="0.25">
      <c r="A231" s="29" t="s">
        <v>66</v>
      </c>
      <c r="B231" s="34"/>
      <c r="C231" s="58">
        <v>2016</v>
      </c>
      <c r="D231" s="58"/>
      <c r="E231" s="58"/>
      <c r="F231" s="58"/>
      <c r="G231" s="56"/>
      <c r="H231" s="56"/>
      <c r="I231" s="5"/>
      <c r="J231" s="18"/>
      <c r="K231" s="6"/>
      <c r="L231" s="12">
        <v>10782.6</v>
      </c>
      <c r="M231" s="7">
        <v>2590000</v>
      </c>
      <c r="N231" s="12">
        <f t="shared" si="88"/>
        <v>1980197.45</v>
      </c>
      <c r="O231" s="12">
        <f>N231/L231*7780</f>
        <v>1428777.4897520079</v>
      </c>
      <c r="P231" s="12">
        <f>N231/L231</f>
        <v>183.64749225604214</v>
      </c>
      <c r="Q231" s="192">
        <f>P231/10</f>
        <v>18.364749225604214</v>
      </c>
      <c r="R231" s="174">
        <v>57609736</v>
      </c>
      <c r="S231" s="9">
        <v>1</v>
      </c>
      <c r="T231" s="8">
        <f t="shared" si="91"/>
        <v>57609736</v>
      </c>
      <c r="U231" s="133">
        <f t="shared" si="92"/>
        <v>29.092925051489186</v>
      </c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s="133" customFormat="1" ht="14.4" customHeight="1" x14ac:dyDescent="0.25">
      <c r="A232" s="29" t="s">
        <v>66</v>
      </c>
      <c r="B232" s="3" t="s">
        <v>13</v>
      </c>
      <c r="C232" s="11">
        <v>2012</v>
      </c>
      <c r="D232" s="11"/>
      <c r="E232" s="11"/>
      <c r="F232" s="11"/>
      <c r="G232" s="182">
        <v>39.141177999999996</v>
      </c>
      <c r="H232" s="182">
        <v>-74.699749999999995</v>
      </c>
      <c r="I232" s="14" t="s">
        <v>15</v>
      </c>
      <c r="J232" s="5" t="s">
        <v>17</v>
      </c>
      <c r="K232" s="12">
        <v>14750</v>
      </c>
      <c r="L232" s="12">
        <f>K232*0.3048</f>
        <v>4495.8</v>
      </c>
      <c r="M232" s="12">
        <v>394797</v>
      </c>
      <c r="N232" s="12">
        <f t="shared" si="88"/>
        <v>301844.02033500001</v>
      </c>
      <c r="O232" s="12"/>
      <c r="P232" s="12">
        <f>N232/L232</f>
        <v>67.139112134659015</v>
      </c>
      <c r="Q232" s="192">
        <f>P232/10</f>
        <v>6.7139112134659014</v>
      </c>
      <c r="R232" s="19">
        <v>5000000</v>
      </c>
      <c r="S232" s="20">
        <v>0.96399999999999997</v>
      </c>
      <c r="T232" s="8">
        <f t="shared" si="91"/>
        <v>5186721.9917012453</v>
      </c>
      <c r="U232" s="133">
        <f>T232/N232</f>
        <v>17.183451194245258</v>
      </c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s="133" customFormat="1" x14ac:dyDescent="0.25">
      <c r="A233" s="2" t="s">
        <v>23</v>
      </c>
      <c r="B233" s="3" t="s">
        <v>13</v>
      </c>
      <c r="C233" s="3">
        <v>1962</v>
      </c>
      <c r="D233" s="3"/>
      <c r="E233" s="3"/>
      <c r="F233" s="3"/>
      <c r="G233" s="4">
        <v>39.100225999999999</v>
      </c>
      <c r="H233" s="4">
        <v>-74.710549999999998</v>
      </c>
      <c r="I233" s="5" t="s">
        <v>14</v>
      </c>
      <c r="J233" s="5" t="s">
        <v>14</v>
      </c>
      <c r="K233" s="6"/>
      <c r="L233" s="12"/>
      <c r="M233" s="7">
        <v>90600</v>
      </c>
      <c r="N233" s="12">
        <f t="shared" ref="N233:N244" si="93">M233*0.764555</f>
        <v>69268.683000000005</v>
      </c>
      <c r="O233" s="12"/>
      <c r="P233" s="12"/>
      <c r="Q233" s="194"/>
      <c r="R233" s="13"/>
      <c r="S233" s="9">
        <v>0.127</v>
      </c>
      <c r="T233" s="8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s="133" customFormat="1" x14ac:dyDescent="0.25">
      <c r="A234" s="2" t="s">
        <v>23</v>
      </c>
      <c r="B234" s="3" t="s">
        <v>13</v>
      </c>
      <c r="C234" s="3">
        <v>1987</v>
      </c>
      <c r="D234" s="3"/>
      <c r="E234" s="3"/>
      <c r="F234" s="3"/>
      <c r="G234" s="4">
        <v>39.100225999999999</v>
      </c>
      <c r="H234" s="4">
        <v>-74.710549999999998</v>
      </c>
      <c r="I234" s="14" t="s">
        <v>1</v>
      </c>
      <c r="J234" s="5" t="s">
        <v>14</v>
      </c>
      <c r="K234" s="7">
        <v>6000</v>
      </c>
      <c r="L234" s="12">
        <f t="shared" ref="L234:L243" si="94">K234*0.3048</f>
        <v>1828.8000000000002</v>
      </c>
      <c r="M234" s="7">
        <v>1305000</v>
      </c>
      <c r="N234" s="12">
        <f t="shared" si="93"/>
        <v>997744.27500000002</v>
      </c>
      <c r="O234" s="12"/>
      <c r="P234" s="12">
        <f t="shared" ref="P234:P242" si="95">N234/L234</f>
        <v>545.5732037401574</v>
      </c>
      <c r="Q234" s="194">
        <f t="shared" ref="Q234:Q242" si="96">P234/10</f>
        <v>54.557320374015738</v>
      </c>
      <c r="R234" s="8">
        <v>2873940</v>
      </c>
      <c r="S234" s="9">
        <v>0.47599999999999998</v>
      </c>
      <c r="T234" s="8">
        <f>+R234/S234</f>
        <v>6037689.0756302522</v>
      </c>
      <c r="U234" s="133">
        <f t="shared" ref="U234:U238" si="97">T234/N234</f>
        <v>6.0513392328212081</v>
      </c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s="133" customFormat="1" x14ac:dyDescent="0.25">
      <c r="A235" s="2" t="s">
        <v>23</v>
      </c>
      <c r="B235" s="3" t="s">
        <v>13</v>
      </c>
      <c r="C235" s="11">
        <v>1990</v>
      </c>
      <c r="D235" s="11"/>
      <c r="E235" s="11"/>
      <c r="F235" s="11"/>
      <c r="G235" s="4">
        <v>39.100225999999999</v>
      </c>
      <c r="H235" s="4">
        <v>-74.710549999999998</v>
      </c>
      <c r="I235" s="14" t="s">
        <v>24</v>
      </c>
      <c r="J235" s="5" t="s">
        <v>14</v>
      </c>
      <c r="K235" s="12">
        <v>2500</v>
      </c>
      <c r="L235" s="12">
        <f t="shared" si="94"/>
        <v>762</v>
      </c>
      <c r="M235" s="12">
        <v>404000</v>
      </c>
      <c r="N235" s="12">
        <f t="shared" si="93"/>
        <v>308880.21999999997</v>
      </c>
      <c r="O235" s="12"/>
      <c r="P235" s="12">
        <f t="shared" si="95"/>
        <v>405.35461942257211</v>
      </c>
      <c r="Q235" s="194">
        <f t="shared" si="96"/>
        <v>40.535461942257214</v>
      </c>
      <c r="R235" s="19">
        <v>600000</v>
      </c>
      <c r="S235" s="9">
        <v>0.57099999999999995</v>
      </c>
      <c r="T235" s="8">
        <f>+R235/S235</f>
        <v>1050788.0910683013</v>
      </c>
      <c r="U235" s="133">
        <f t="shared" si="97"/>
        <v>3.401927423738242</v>
      </c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s="133" customFormat="1" x14ac:dyDescent="0.25">
      <c r="A236" s="2" t="s">
        <v>23</v>
      </c>
      <c r="B236" s="3" t="s">
        <v>13</v>
      </c>
      <c r="C236" s="3">
        <v>1992</v>
      </c>
      <c r="D236" s="3"/>
      <c r="E236" s="3"/>
      <c r="F236" s="3"/>
      <c r="G236" s="4">
        <v>39.100225999999999</v>
      </c>
      <c r="H236" s="4">
        <v>-74.710549999999998</v>
      </c>
      <c r="I236" s="14" t="s">
        <v>24</v>
      </c>
      <c r="J236" s="5" t="s">
        <v>14</v>
      </c>
      <c r="K236" s="7">
        <v>3000</v>
      </c>
      <c r="L236" s="12">
        <f t="shared" si="94"/>
        <v>914.40000000000009</v>
      </c>
      <c r="M236" s="7">
        <v>410000</v>
      </c>
      <c r="N236" s="12">
        <f t="shared" si="93"/>
        <v>313467.55</v>
      </c>
      <c r="O236" s="12"/>
      <c r="P236" s="12">
        <f t="shared" si="95"/>
        <v>342.81228127734028</v>
      </c>
      <c r="Q236" s="194">
        <f t="shared" si="96"/>
        <v>34.281228127734025</v>
      </c>
      <c r="R236" s="8">
        <v>1188000</v>
      </c>
      <c r="S236" s="9">
        <v>0.58799999999999997</v>
      </c>
      <c r="T236" s="8">
        <f>+R236/S237</f>
        <v>1960396.0396039605</v>
      </c>
      <c r="U236" s="133">
        <f t="shared" si="97"/>
        <v>6.253904238585335</v>
      </c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1:42" s="133" customFormat="1" x14ac:dyDescent="0.25">
      <c r="A237" s="2" t="s">
        <v>23</v>
      </c>
      <c r="B237" s="3" t="s">
        <v>13</v>
      </c>
      <c r="C237" s="3">
        <v>1993</v>
      </c>
      <c r="D237" s="3"/>
      <c r="E237" s="3"/>
      <c r="F237" s="3"/>
      <c r="G237" s="4">
        <v>39.100225999999999</v>
      </c>
      <c r="H237" s="4">
        <v>-74.710549999999998</v>
      </c>
      <c r="I237" s="14" t="s">
        <v>15</v>
      </c>
      <c r="J237" s="18" t="s">
        <v>17</v>
      </c>
      <c r="K237" s="7">
        <v>2800</v>
      </c>
      <c r="L237" s="12">
        <f t="shared" si="94"/>
        <v>853.44</v>
      </c>
      <c r="M237" s="7">
        <v>239000</v>
      </c>
      <c r="N237" s="12">
        <f t="shared" si="93"/>
        <v>182728.64499999999</v>
      </c>
      <c r="O237" s="12"/>
      <c r="P237" s="12">
        <f t="shared" si="95"/>
        <v>214.1083673134608</v>
      </c>
      <c r="Q237" s="194">
        <f t="shared" si="96"/>
        <v>21.41083673134608</v>
      </c>
      <c r="R237" s="8">
        <v>1777193</v>
      </c>
      <c r="S237" s="9">
        <v>0.60599999999999998</v>
      </c>
      <c r="T237" s="8">
        <f>+R237/S237</f>
        <v>2932661.7161716172</v>
      </c>
      <c r="U237" s="133">
        <f t="shared" si="97"/>
        <v>16.049271947327238</v>
      </c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1:42" s="133" customFormat="1" x14ac:dyDescent="0.25">
      <c r="A238" s="29" t="s">
        <v>23</v>
      </c>
      <c r="B238" s="3" t="s">
        <v>13</v>
      </c>
      <c r="C238" s="21">
        <v>2003</v>
      </c>
      <c r="D238" s="21"/>
      <c r="E238" s="21"/>
      <c r="F238" s="21"/>
      <c r="G238" s="22">
        <v>39.098427999999998</v>
      </c>
      <c r="H238" s="22">
        <v>-74.711459000000005</v>
      </c>
      <c r="I238" s="23" t="s">
        <v>15</v>
      </c>
      <c r="J238" s="18" t="s">
        <v>16</v>
      </c>
      <c r="K238" s="24">
        <v>6260</v>
      </c>
      <c r="L238" s="12">
        <f t="shared" si="94"/>
        <v>1908.048</v>
      </c>
      <c r="M238" s="25">
        <v>1300000</v>
      </c>
      <c r="N238" s="12">
        <f t="shared" si="93"/>
        <v>993921.5</v>
      </c>
      <c r="O238" s="12"/>
      <c r="P238" s="12">
        <f t="shared" si="95"/>
        <v>520.91011337240991</v>
      </c>
      <c r="Q238" s="194">
        <f t="shared" si="96"/>
        <v>52.091011337240992</v>
      </c>
      <c r="R238" s="26">
        <v>20072385</v>
      </c>
      <c r="S238" s="20">
        <v>0.77500000000000002</v>
      </c>
      <c r="T238" s="8">
        <f>+R238/S238</f>
        <v>25899851.612903226</v>
      </c>
      <c r="U238" s="133">
        <f t="shared" si="97"/>
        <v>26.058246665257997</v>
      </c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 spans="1:42" s="133" customFormat="1" x14ac:dyDescent="0.25">
      <c r="A239" s="2" t="s">
        <v>23</v>
      </c>
      <c r="B239" s="3" t="s">
        <v>13</v>
      </c>
      <c r="C239" s="3">
        <v>2005</v>
      </c>
      <c r="D239" s="3"/>
      <c r="E239" s="3"/>
      <c r="F239" s="3"/>
      <c r="G239" s="22">
        <v>39.098427999999998</v>
      </c>
      <c r="H239" s="22">
        <v>-74.711459000000005</v>
      </c>
      <c r="I239" s="5" t="s">
        <v>1</v>
      </c>
      <c r="J239" s="18" t="s">
        <v>14</v>
      </c>
      <c r="K239" s="31">
        <v>1400</v>
      </c>
      <c r="L239" s="12">
        <f t="shared" si="94"/>
        <v>426.72</v>
      </c>
      <c r="M239" s="32">
        <v>57000</v>
      </c>
      <c r="N239" s="12">
        <f t="shared" si="93"/>
        <v>43579.635000000002</v>
      </c>
      <c r="O239" s="12"/>
      <c r="P239" s="12">
        <f t="shared" si="95"/>
        <v>102.12700365579302</v>
      </c>
      <c r="Q239" s="194">
        <f t="shared" si="96"/>
        <v>10.212700365579302</v>
      </c>
      <c r="R239" s="13"/>
      <c r="S239" s="9">
        <v>0.82</v>
      </c>
      <c r="T239" s="8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 spans="1:42" s="133" customFormat="1" x14ac:dyDescent="0.25">
      <c r="A240" s="29" t="s">
        <v>23</v>
      </c>
      <c r="B240" s="3" t="s">
        <v>13</v>
      </c>
      <c r="C240" s="21">
        <v>2008</v>
      </c>
      <c r="D240" s="21"/>
      <c r="E240" s="21"/>
      <c r="F240" s="21">
        <f>COUNT(C233:C247)</f>
        <v>15</v>
      </c>
      <c r="G240" s="22">
        <v>39.098427999999998</v>
      </c>
      <c r="H240" s="22">
        <v>-74.711459000000005</v>
      </c>
      <c r="I240" s="23" t="s">
        <v>15</v>
      </c>
      <c r="J240" s="18" t="s">
        <v>16</v>
      </c>
      <c r="K240" s="24">
        <v>2600</v>
      </c>
      <c r="L240" s="12">
        <f t="shared" si="94"/>
        <v>792.48</v>
      </c>
      <c r="M240" s="25">
        <v>225000</v>
      </c>
      <c r="N240" s="12">
        <f t="shared" si="93"/>
        <v>172024.875</v>
      </c>
      <c r="O240" s="12"/>
      <c r="P240" s="12">
        <f t="shared" si="95"/>
        <v>217.07156647486372</v>
      </c>
      <c r="Q240" s="194">
        <f t="shared" si="96"/>
        <v>21.707156647486372</v>
      </c>
      <c r="R240" s="26"/>
      <c r="S240" s="33">
        <v>0.90400000000000003</v>
      </c>
      <c r="T240" s="8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 spans="1:42" s="133" customFormat="1" x14ac:dyDescent="0.25">
      <c r="A241" s="29" t="s">
        <v>23</v>
      </c>
      <c r="B241" s="3" t="s">
        <v>13</v>
      </c>
      <c r="C241" s="21">
        <v>2010</v>
      </c>
      <c r="D241" s="21"/>
      <c r="E241" s="21"/>
      <c r="F241" s="21"/>
      <c r="G241" s="22">
        <v>39.098427999999998</v>
      </c>
      <c r="H241" s="22">
        <v>-74.711459000000005</v>
      </c>
      <c r="I241" s="23" t="s">
        <v>15</v>
      </c>
      <c r="J241" s="18" t="s">
        <v>17</v>
      </c>
      <c r="K241" s="24">
        <v>2200</v>
      </c>
      <c r="L241" s="12">
        <f t="shared" si="94"/>
        <v>670.56000000000006</v>
      </c>
      <c r="M241" s="25">
        <v>500000</v>
      </c>
      <c r="N241" s="12">
        <f t="shared" si="93"/>
        <v>382277.5</v>
      </c>
      <c r="O241" s="12"/>
      <c r="P241" s="12">
        <f t="shared" si="95"/>
        <v>570.08694225721774</v>
      </c>
      <c r="Q241" s="194">
        <f t="shared" si="96"/>
        <v>57.008694225721776</v>
      </c>
      <c r="R241" s="26">
        <v>4500000</v>
      </c>
      <c r="S241" s="9">
        <v>0.91600000000000004</v>
      </c>
      <c r="T241" s="8">
        <f>+R241/S241</f>
        <v>4912663.7554585151</v>
      </c>
      <c r="U241" s="133">
        <f t="shared" ref="U241:U244" si="98">T241/N241</f>
        <v>12.851040815790924</v>
      </c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 spans="1:42" s="133" customFormat="1" x14ac:dyDescent="0.25">
      <c r="A242" s="29" t="s">
        <v>23</v>
      </c>
      <c r="B242" s="3" t="s">
        <v>13</v>
      </c>
      <c r="C242" s="21">
        <v>2011</v>
      </c>
      <c r="D242" s="21"/>
      <c r="E242" s="21"/>
      <c r="F242" s="21"/>
      <c r="G242" s="22">
        <v>39.098427999999998</v>
      </c>
      <c r="H242" s="22">
        <v>-74.711459000000005</v>
      </c>
      <c r="I242" s="23" t="s">
        <v>15</v>
      </c>
      <c r="J242" s="18" t="s">
        <v>17</v>
      </c>
      <c r="K242" s="24">
        <v>4475</v>
      </c>
      <c r="L242" s="12">
        <f t="shared" si="94"/>
        <v>1363.98</v>
      </c>
      <c r="M242" s="25">
        <v>450000</v>
      </c>
      <c r="N242" s="12">
        <f t="shared" si="93"/>
        <v>344049.75</v>
      </c>
      <c r="O242" s="12"/>
      <c r="P242" s="12">
        <f t="shared" si="95"/>
        <v>252.23958562442263</v>
      </c>
      <c r="Q242" s="194">
        <f t="shared" si="96"/>
        <v>25.223958562442263</v>
      </c>
      <c r="R242" s="26">
        <v>9338000</v>
      </c>
      <c r="S242" s="20">
        <v>0.96399999999999997</v>
      </c>
      <c r="T242" s="8">
        <f>+R242/S242</f>
        <v>9686721.9917012453</v>
      </c>
      <c r="U242" s="133">
        <f t="shared" si="98"/>
        <v>28.15500372170375</v>
      </c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 spans="1:42" s="133" customFormat="1" x14ac:dyDescent="0.25">
      <c r="A243" s="29" t="s">
        <v>23</v>
      </c>
      <c r="B243" s="3" t="s">
        <v>13</v>
      </c>
      <c r="C243" s="34">
        <v>2013</v>
      </c>
      <c r="D243" s="34"/>
      <c r="E243" s="34"/>
      <c r="F243" s="34"/>
      <c r="G243" s="22">
        <v>39.098427999999998</v>
      </c>
      <c r="H243" s="22">
        <v>-74.711459000000005</v>
      </c>
      <c r="I243" s="23" t="s">
        <v>15</v>
      </c>
      <c r="J243" s="18" t="s">
        <v>17</v>
      </c>
      <c r="K243" s="35">
        <v>5000</v>
      </c>
      <c r="L243" s="12">
        <f t="shared" si="94"/>
        <v>1524</v>
      </c>
      <c r="M243" s="25">
        <v>75000</v>
      </c>
      <c r="N243" s="12">
        <f t="shared" si="93"/>
        <v>57341.625</v>
      </c>
      <c r="O243" s="12"/>
      <c r="P243" s="195">
        <f>SUM(N243:N244)/L243</f>
        <v>60.882959478346464</v>
      </c>
      <c r="Q243" s="205">
        <f>P243/10</f>
        <v>6.0882959478346468</v>
      </c>
      <c r="R243" s="36">
        <v>2150543</v>
      </c>
      <c r="S243" s="20">
        <v>0.97799999999999998</v>
      </c>
      <c r="T243" s="8">
        <f>+R243/S243</f>
        <v>2198919.2229038854</v>
      </c>
      <c r="U243" s="133">
        <f t="shared" si="98"/>
        <v>38.34769633584478</v>
      </c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 spans="1:42" s="133" customFormat="1" x14ac:dyDescent="0.25">
      <c r="A244" s="29" t="s">
        <v>23</v>
      </c>
      <c r="B244" s="3" t="s">
        <v>13</v>
      </c>
      <c r="C244" s="21">
        <v>2013</v>
      </c>
      <c r="D244" s="21"/>
      <c r="E244" s="21"/>
      <c r="F244" s="21"/>
      <c r="G244" s="22">
        <v>39.098427999999998</v>
      </c>
      <c r="H244" s="22">
        <v>-74.711459000000005</v>
      </c>
      <c r="I244" s="23" t="s">
        <v>15</v>
      </c>
      <c r="J244" s="18" t="s">
        <v>17</v>
      </c>
      <c r="K244" s="35"/>
      <c r="L244" s="12"/>
      <c r="M244" s="6">
        <v>46359</v>
      </c>
      <c r="N244" s="12">
        <f t="shared" si="93"/>
        <v>35444.005245</v>
      </c>
      <c r="O244" s="12"/>
      <c r="P244" s="195"/>
      <c r="Q244" s="205"/>
      <c r="R244" s="37">
        <v>418984.2</v>
      </c>
      <c r="S244" s="20">
        <v>0.97799999999999998</v>
      </c>
      <c r="T244" s="8">
        <f>+R244/S244</f>
        <v>428409.20245398773</v>
      </c>
      <c r="U244" s="133">
        <f t="shared" si="98"/>
        <v>12.086929778186464</v>
      </c>
      <c r="Y244" s="73"/>
      <c r="Z244" s="73"/>
      <c r="AA244" s="73"/>
      <c r="AB244" s="27"/>
      <c r="AC244" s="27"/>
      <c r="AD244" s="27"/>
      <c r="AE244" s="27"/>
      <c r="AF244" s="27"/>
      <c r="AG244" s="27"/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 spans="1:42" s="133" customFormat="1" x14ac:dyDescent="0.25">
      <c r="A245" s="29" t="s">
        <v>23</v>
      </c>
      <c r="B245" s="3"/>
      <c r="C245" s="21">
        <v>2015</v>
      </c>
      <c r="D245" s="21"/>
      <c r="E245" s="21"/>
      <c r="F245" s="21"/>
      <c r="G245" s="22"/>
      <c r="H245" s="22"/>
      <c r="I245" s="23"/>
      <c r="J245" s="18"/>
      <c r="K245" s="35"/>
      <c r="L245" s="12">
        <v>1364.33</v>
      </c>
      <c r="M245" s="6">
        <v>740000</v>
      </c>
      <c r="N245" s="12">
        <f>M245*0.764555</f>
        <v>565770.69999999995</v>
      </c>
      <c r="O245" s="12"/>
      <c r="P245" s="12">
        <f>N245/L245</f>
        <v>414.68757558655165</v>
      </c>
      <c r="Q245" s="194">
        <f>P245/10</f>
        <v>41.468757558655163</v>
      </c>
      <c r="R245" s="37"/>
      <c r="S245" s="133">
        <v>0.995</v>
      </c>
      <c r="T245" s="8"/>
      <c r="Y245" s="73"/>
      <c r="Z245" s="73"/>
      <c r="AA245" s="73"/>
      <c r="AB245" s="27"/>
      <c r="AC245" s="27"/>
      <c r="AD245" s="27"/>
      <c r="AE245" s="27"/>
      <c r="AF245" s="27"/>
      <c r="AG245" s="27"/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 spans="1:42" s="133" customFormat="1" x14ac:dyDescent="0.25">
      <c r="A246" s="29" t="s">
        <v>23</v>
      </c>
      <c r="B246" s="3"/>
      <c r="C246" s="21">
        <v>2017</v>
      </c>
      <c r="D246" s="21"/>
      <c r="E246" s="21"/>
      <c r="F246" s="21"/>
      <c r="G246" s="22"/>
      <c r="H246" s="22"/>
      <c r="I246" s="23"/>
      <c r="J246" s="18"/>
      <c r="K246" s="24"/>
      <c r="L246" s="12">
        <v>1978</v>
      </c>
      <c r="M246" s="25">
        <v>944000</v>
      </c>
      <c r="N246" s="12">
        <f>M246*0.764555</f>
        <v>721739.92</v>
      </c>
      <c r="O246" s="12"/>
      <c r="P246" s="12">
        <f>N246/L246</f>
        <v>364.88368048533874</v>
      </c>
      <c r="Q246" s="194">
        <f>P246/10</f>
        <v>36.488368048533872</v>
      </c>
      <c r="R246" s="26">
        <v>21350124</v>
      </c>
      <c r="S246" s="133">
        <v>1.0213000000000001</v>
      </c>
      <c r="T246" s="8">
        <f>+R246/S246</f>
        <v>20904850.680505235</v>
      </c>
      <c r="U246" s="133">
        <f>T246/N246</f>
        <v>28.964520461200529</v>
      </c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 spans="1:42" s="133" customFormat="1" x14ac:dyDescent="0.25">
      <c r="A247" s="29" t="s">
        <v>23</v>
      </c>
      <c r="B247" s="3"/>
      <c r="C247" s="21">
        <v>2019</v>
      </c>
      <c r="D247" s="21"/>
      <c r="E247" s="21"/>
      <c r="F247" s="21"/>
      <c r="G247" s="22"/>
      <c r="H247" s="22"/>
      <c r="I247" s="23"/>
      <c r="J247" s="18"/>
      <c r="K247" s="35"/>
      <c r="L247" s="12">
        <v>1108</v>
      </c>
      <c r="M247" s="6">
        <v>675000</v>
      </c>
      <c r="N247" s="12">
        <f>M247*0.764555</f>
        <v>516074.625</v>
      </c>
      <c r="O247" s="12"/>
      <c r="P247" s="12">
        <f>N247/L247</f>
        <v>465.77132220216606</v>
      </c>
      <c r="Q247" s="194">
        <f>P247/10</f>
        <v>46.577132220216605</v>
      </c>
      <c r="R247" s="37">
        <v>7560000</v>
      </c>
      <c r="S247" s="81">
        <v>1.07</v>
      </c>
      <c r="T247" s="8">
        <f>+R247/S247</f>
        <v>7065420.5607476635</v>
      </c>
      <c r="U247" s="133">
        <f>T247/N247</f>
        <v>13.690695528282685</v>
      </c>
      <c r="Y247" s="73"/>
      <c r="Z247" s="73"/>
      <c r="AA247" s="73"/>
      <c r="AB247" s="27"/>
      <c r="AC247" s="27"/>
      <c r="AD247" s="27"/>
      <c r="AE247" s="27"/>
      <c r="AF247" s="27"/>
      <c r="AG247" s="27"/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 spans="1:42" s="133" customFormat="1" x14ac:dyDescent="0.25">
      <c r="A248" s="2" t="s">
        <v>95</v>
      </c>
      <c r="B248" s="3" t="s">
        <v>13</v>
      </c>
      <c r="C248" s="3">
        <v>1967</v>
      </c>
      <c r="D248" s="3"/>
      <c r="E248" s="3"/>
      <c r="F248" s="3"/>
      <c r="G248" s="4">
        <v>39.050752000000003</v>
      </c>
      <c r="H248" s="4">
        <v>-74.756134000000003</v>
      </c>
      <c r="I248" s="5" t="s">
        <v>14</v>
      </c>
      <c r="J248" s="5" t="s">
        <v>14</v>
      </c>
      <c r="K248" s="6"/>
      <c r="L248" s="12"/>
      <c r="M248" s="7">
        <v>175218</v>
      </c>
      <c r="N248" s="12">
        <f t="shared" ref="N248:N255" si="99">M248*0.764555</f>
        <v>133963.79798999999</v>
      </c>
      <c r="O248" s="12"/>
      <c r="P248" s="12"/>
      <c r="Q248" s="12"/>
      <c r="R248" s="13"/>
      <c r="S248" s="9">
        <v>0.14000000000000001</v>
      </c>
      <c r="T248" s="8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 spans="1:42" s="133" customFormat="1" x14ac:dyDescent="0.25">
      <c r="A249" s="2" t="s">
        <v>95</v>
      </c>
      <c r="B249" s="3" t="s">
        <v>13</v>
      </c>
      <c r="C249" s="3">
        <v>1968</v>
      </c>
      <c r="D249" s="3"/>
      <c r="E249" s="3"/>
      <c r="F249" s="3"/>
      <c r="G249" s="4">
        <v>39.050752000000003</v>
      </c>
      <c r="H249" s="4">
        <v>-74.756134000000003</v>
      </c>
      <c r="I249" s="14" t="s">
        <v>1</v>
      </c>
      <c r="J249" s="5" t="s">
        <v>14</v>
      </c>
      <c r="K249" s="6"/>
      <c r="L249" s="12"/>
      <c r="M249" s="7">
        <v>200000</v>
      </c>
      <c r="N249" s="12">
        <f t="shared" si="99"/>
        <v>152911</v>
      </c>
      <c r="O249" s="12"/>
      <c r="P249" s="12"/>
      <c r="Q249" s="12"/>
      <c r="R249" s="8">
        <v>255464</v>
      </c>
      <c r="S249" s="9">
        <v>0.14599999999999999</v>
      </c>
      <c r="T249" s="8">
        <f>+R249/S249</f>
        <v>1749753.4246575343</v>
      </c>
      <c r="U249" s="133">
        <f>T249/N249</f>
        <v>11.442953251613908</v>
      </c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</row>
    <row r="250" spans="1:42" s="133" customFormat="1" x14ac:dyDescent="0.25">
      <c r="A250" s="51" t="s">
        <v>95</v>
      </c>
      <c r="B250" s="3" t="s">
        <v>13</v>
      </c>
      <c r="C250" s="21">
        <v>2003</v>
      </c>
      <c r="D250" s="21"/>
      <c r="E250" s="21"/>
      <c r="F250" s="21"/>
      <c r="G250" s="4">
        <v>39.050752000000003</v>
      </c>
      <c r="H250" s="4">
        <v>-74.756134000000003</v>
      </c>
      <c r="I250" s="23" t="s">
        <v>15</v>
      </c>
      <c r="J250" s="18" t="s">
        <v>16</v>
      </c>
      <c r="K250" s="24">
        <v>13300</v>
      </c>
      <c r="L250" s="12">
        <f>K250*0.3048</f>
        <v>4053.84</v>
      </c>
      <c r="M250" s="25">
        <v>2900000</v>
      </c>
      <c r="N250" s="12">
        <f t="shared" si="99"/>
        <v>2217209.5</v>
      </c>
      <c r="O250" s="12"/>
      <c r="P250" s="12">
        <f>N250/L250</f>
        <v>546.9405551279774</v>
      </c>
      <c r="Q250" s="194">
        <f t="shared" ref="Q250:Q251" si="100">P250/10</f>
        <v>54.694055512797739</v>
      </c>
      <c r="R250" s="26"/>
      <c r="S250" s="20">
        <v>0.77500000000000002</v>
      </c>
      <c r="T250" s="8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</row>
    <row r="251" spans="1:42" s="133" customFormat="1" x14ac:dyDescent="0.25">
      <c r="A251" s="51" t="s">
        <v>95</v>
      </c>
      <c r="B251" s="3" t="s">
        <v>13</v>
      </c>
      <c r="C251" s="21">
        <v>2009</v>
      </c>
      <c r="D251" s="21"/>
      <c r="E251" s="21"/>
      <c r="F251" s="21"/>
      <c r="G251" s="4">
        <v>39.050752000000003</v>
      </c>
      <c r="H251" s="4">
        <v>-74.756134000000003</v>
      </c>
      <c r="I251" s="23" t="s">
        <v>15</v>
      </c>
      <c r="J251" s="18" t="s">
        <v>17</v>
      </c>
      <c r="K251" s="24">
        <v>3700</v>
      </c>
      <c r="L251" s="12">
        <f>K251*0.3048</f>
        <v>1127.76</v>
      </c>
      <c r="M251" s="25">
        <v>319670</v>
      </c>
      <c r="N251" s="12">
        <f t="shared" si="99"/>
        <v>244405.29684999998</v>
      </c>
      <c r="O251" s="12"/>
      <c r="P251" s="12">
        <f>N251/L251</f>
        <v>216.71747255621761</v>
      </c>
      <c r="Q251" s="194">
        <f t="shared" si="100"/>
        <v>21.67174725562176</v>
      </c>
      <c r="R251" s="26">
        <v>1500000</v>
      </c>
      <c r="S251" s="20">
        <v>0.90100000000000002</v>
      </c>
      <c r="T251" s="8">
        <f t="shared" ref="T251:T258" si="101">+R251/S251</f>
        <v>1664816.8701442841</v>
      </c>
      <c r="U251" s="133">
        <f t="shared" ref="U251:U255" si="102">T251/N251</f>
        <v>6.8117053582764209</v>
      </c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</row>
    <row r="252" spans="1:42" s="133" customFormat="1" x14ac:dyDescent="0.25">
      <c r="A252" s="51" t="s">
        <v>95</v>
      </c>
      <c r="B252" s="3" t="s">
        <v>13</v>
      </c>
      <c r="C252" s="21">
        <v>2011</v>
      </c>
      <c r="D252" s="21"/>
      <c r="E252" s="21"/>
      <c r="F252" s="21"/>
      <c r="G252" s="4">
        <v>39.050752000000003</v>
      </c>
      <c r="H252" s="4">
        <v>-74.756134000000003</v>
      </c>
      <c r="I252" s="23" t="s">
        <v>15</v>
      </c>
      <c r="J252" s="18" t="s">
        <v>17</v>
      </c>
      <c r="K252" s="24">
        <v>11200</v>
      </c>
      <c r="L252" s="12">
        <f>K252*0.3048</f>
        <v>3413.76</v>
      </c>
      <c r="M252" s="25">
        <v>580000</v>
      </c>
      <c r="N252" s="12">
        <f t="shared" si="99"/>
        <v>443441.89999999997</v>
      </c>
      <c r="O252" s="12"/>
      <c r="P252" s="12">
        <f>N252/L252</f>
        <v>129.89838184289462</v>
      </c>
      <c r="Q252" s="194">
        <f>P252/10</f>
        <v>12.989838184289463</v>
      </c>
      <c r="R252" s="26">
        <v>9338000</v>
      </c>
      <c r="S252" s="20">
        <v>0.96399999999999997</v>
      </c>
      <c r="T252" s="8">
        <f t="shared" si="101"/>
        <v>9686721.9917012453</v>
      </c>
      <c r="U252" s="133">
        <f t="shared" si="102"/>
        <v>21.844399439252914</v>
      </c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 spans="1:42" s="133" customFormat="1" x14ac:dyDescent="0.25">
      <c r="A253" s="51" t="s">
        <v>95</v>
      </c>
      <c r="B253" s="3" t="s">
        <v>13</v>
      </c>
      <c r="C253" s="21">
        <v>2013</v>
      </c>
      <c r="D253" s="21"/>
      <c r="E253" s="21"/>
      <c r="F253" s="21"/>
      <c r="G253" s="4">
        <v>39.050752000000003</v>
      </c>
      <c r="H253" s="4">
        <v>-74.756134000000003</v>
      </c>
      <c r="I253" s="23" t="s">
        <v>15</v>
      </c>
      <c r="J253" s="18" t="s">
        <v>17</v>
      </c>
      <c r="K253" s="6">
        <v>8750</v>
      </c>
      <c r="L253" s="12">
        <f>K253*0.3048</f>
        <v>2667</v>
      </c>
      <c r="M253" s="6">
        <v>100000</v>
      </c>
      <c r="N253" s="12">
        <f t="shared" si="99"/>
        <v>76455.5</v>
      </c>
      <c r="O253" s="12"/>
      <c r="P253" s="195">
        <f>SUM(N253:N254)/L253</f>
        <v>104.63538620172477</v>
      </c>
      <c r="Q253" s="205">
        <f>P253/10</f>
        <v>10.463538620172477</v>
      </c>
      <c r="R253" s="13">
        <v>2440250</v>
      </c>
      <c r="S253" s="20">
        <v>0.97799999999999998</v>
      </c>
      <c r="T253" s="8">
        <f t="shared" si="101"/>
        <v>2495143.1492842538</v>
      </c>
      <c r="U253" s="133">
        <f t="shared" si="102"/>
        <v>32.635234211852044</v>
      </c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 spans="1:42" s="133" customFormat="1" x14ac:dyDescent="0.25">
      <c r="A254" s="51" t="s">
        <v>95</v>
      </c>
      <c r="B254" s="3" t="s">
        <v>13</v>
      </c>
      <c r="C254" s="21">
        <v>2013</v>
      </c>
      <c r="D254" s="21"/>
      <c r="E254" s="21">
        <v>1962</v>
      </c>
      <c r="F254" s="21"/>
      <c r="G254" s="4">
        <v>39.050752000000003</v>
      </c>
      <c r="H254" s="4">
        <v>-74.756134000000003</v>
      </c>
      <c r="I254" s="23" t="s">
        <v>15</v>
      </c>
      <c r="J254" s="18" t="s">
        <v>17</v>
      </c>
      <c r="K254" s="6"/>
      <c r="L254" s="12"/>
      <c r="M254" s="6">
        <v>265000</v>
      </c>
      <c r="N254" s="12">
        <f t="shared" si="99"/>
        <v>202607.07499999998</v>
      </c>
      <c r="O254" s="12"/>
      <c r="P254" s="195"/>
      <c r="Q254" s="205"/>
      <c r="R254" s="13">
        <v>3121700</v>
      </c>
      <c r="S254" s="20">
        <v>0.97799999999999998</v>
      </c>
      <c r="T254" s="8">
        <f t="shared" si="101"/>
        <v>3191922.2903885483</v>
      </c>
      <c r="U254" s="133">
        <f t="shared" si="102"/>
        <v>15.754248909563245</v>
      </c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</row>
    <row r="255" spans="1:42" s="133" customFormat="1" x14ac:dyDescent="0.25">
      <c r="A255" s="51" t="s">
        <v>95</v>
      </c>
      <c r="B255" s="3"/>
      <c r="C255" s="21">
        <v>2017</v>
      </c>
      <c r="D255" s="21"/>
      <c r="E255" s="21"/>
      <c r="F255" s="21"/>
      <c r="G255" s="4"/>
      <c r="H255" s="4"/>
      <c r="I255" s="23"/>
      <c r="J255" s="18"/>
      <c r="K255" s="6"/>
      <c r="L255" s="12">
        <v>3712</v>
      </c>
      <c r="M255" s="6">
        <v>714000</v>
      </c>
      <c r="N255" s="12">
        <f t="shared" si="99"/>
        <v>545892.27</v>
      </c>
      <c r="O255" s="12"/>
      <c r="P255" s="12">
        <f>N255/L255</f>
        <v>147.06149515086207</v>
      </c>
      <c r="Q255" s="194">
        <f>P255/10</f>
        <v>14.706149515086206</v>
      </c>
      <c r="R255" s="13">
        <v>6000000</v>
      </c>
      <c r="S255" s="133">
        <v>1.0213000000000001</v>
      </c>
      <c r="T255" s="8">
        <f t="shared" si="101"/>
        <v>5874865.3676686566</v>
      </c>
      <c r="U255" s="133">
        <f t="shared" si="102"/>
        <v>10.761950096250047</v>
      </c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</row>
    <row r="256" spans="1:42" s="133" customFormat="1" x14ac:dyDescent="0.25">
      <c r="A256" s="2" t="s">
        <v>69</v>
      </c>
      <c r="B256" s="3" t="s">
        <v>13</v>
      </c>
      <c r="C256" s="3">
        <v>1966</v>
      </c>
      <c r="D256" s="3"/>
      <c r="E256" s="3"/>
      <c r="F256" s="3"/>
      <c r="G256" s="4">
        <v>38.993906000000003</v>
      </c>
      <c r="H256" s="4">
        <v>-74.794163999999995</v>
      </c>
      <c r="I256" s="14" t="s">
        <v>1</v>
      </c>
      <c r="J256" s="5" t="s">
        <v>14</v>
      </c>
      <c r="K256" s="6"/>
      <c r="L256" s="12"/>
      <c r="M256" s="7">
        <v>5000</v>
      </c>
      <c r="N256" s="12">
        <f t="shared" ref="N256:N263" si="103">M256*0.764555</f>
        <v>3822.7750000000001</v>
      </c>
      <c r="O256" s="12"/>
      <c r="P256" s="12"/>
      <c r="Q256" s="12"/>
      <c r="R256" s="8">
        <v>5698</v>
      </c>
      <c r="S256" s="9">
        <v>0.13600000000000001</v>
      </c>
      <c r="T256" s="8">
        <f t="shared" si="101"/>
        <v>41897.058823529405</v>
      </c>
      <c r="U256" s="133">
        <f t="shared" ref="U256:U258" si="104">T256/N256</f>
        <v>10.959854771345267</v>
      </c>
      <c r="Y256" s="57"/>
      <c r="Z256" s="57"/>
      <c r="AA256" s="57"/>
      <c r="AB256" s="57"/>
      <c r="AC256" s="57"/>
      <c r="AD256" s="57"/>
      <c r="AE256" s="57"/>
      <c r="AF256" s="57"/>
      <c r="AG256" s="57"/>
      <c r="AH256" s="10"/>
      <c r="AI256" s="10"/>
      <c r="AJ256" s="10"/>
      <c r="AK256" s="10"/>
      <c r="AL256" s="10"/>
      <c r="AM256" s="10"/>
      <c r="AN256" s="10"/>
      <c r="AO256" s="10"/>
      <c r="AP256" s="10"/>
    </row>
    <row r="257" spans="1:42" s="133" customFormat="1" x14ac:dyDescent="0.25">
      <c r="A257" s="2" t="s">
        <v>69</v>
      </c>
      <c r="B257" s="3" t="s">
        <v>13</v>
      </c>
      <c r="C257" s="3">
        <v>1989</v>
      </c>
      <c r="D257" s="3"/>
      <c r="E257" s="3"/>
      <c r="F257" s="3"/>
      <c r="G257" s="4">
        <v>38.993906000000003</v>
      </c>
      <c r="H257" s="4">
        <v>-74.794163999999995</v>
      </c>
      <c r="I257" s="14" t="s">
        <v>1</v>
      </c>
      <c r="J257" s="5" t="s">
        <v>14</v>
      </c>
      <c r="K257" s="6"/>
      <c r="L257" s="12"/>
      <c r="M257" s="7">
        <v>190000</v>
      </c>
      <c r="N257" s="12">
        <f t="shared" si="103"/>
        <v>145265.44999999998</v>
      </c>
      <c r="O257" s="12"/>
      <c r="P257" s="12"/>
      <c r="Q257" s="12"/>
      <c r="R257" s="8">
        <v>875000</v>
      </c>
      <c r="S257" s="9">
        <v>0.52100000000000002</v>
      </c>
      <c r="T257" s="8">
        <f t="shared" si="101"/>
        <v>1679462.5719769674</v>
      </c>
      <c r="U257" s="133">
        <f t="shared" si="104"/>
        <v>11.561335279496726</v>
      </c>
      <c r="Y257" s="57"/>
      <c r="Z257" s="57"/>
      <c r="AA257" s="57"/>
      <c r="AB257" s="57"/>
      <c r="AC257" s="57"/>
      <c r="AD257" s="57"/>
      <c r="AE257" s="57"/>
      <c r="AF257" s="57"/>
      <c r="AG257" s="57"/>
      <c r="AH257" s="10"/>
      <c r="AI257" s="10"/>
      <c r="AJ257" s="10"/>
      <c r="AK257" s="10"/>
      <c r="AL257" s="10"/>
      <c r="AM257" s="10"/>
      <c r="AN257" s="10"/>
      <c r="AO257" s="10"/>
      <c r="AP257" s="10"/>
    </row>
    <row r="258" spans="1:42" s="133" customFormat="1" x14ac:dyDescent="0.25">
      <c r="A258" s="2" t="s">
        <v>69</v>
      </c>
      <c r="B258" s="3" t="s">
        <v>13</v>
      </c>
      <c r="C258" s="3">
        <v>2009</v>
      </c>
      <c r="D258" s="3"/>
      <c r="E258" s="3"/>
      <c r="F258" s="3"/>
      <c r="G258" s="4">
        <v>38.993906000000003</v>
      </c>
      <c r="H258" s="4">
        <v>-74.794163999999995</v>
      </c>
      <c r="I258" s="4" t="s">
        <v>1</v>
      </c>
      <c r="J258" s="5" t="s">
        <v>14</v>
      </c>
      <c r="K258" s="6">
        <v>10400</v>
      </c>
      <c r="L258" s="12">
        <f>K258*0.3048</f>
        <v>3169.92</v>
      </c>
      <c r="M258" s="7">
        <v>1186400</v>
      </c>
      <c r="N258" s="12">
        <f t="shared" si="103"/>
        <v>907068.05200000003</v>
      </c>
      <c r="O258" s="12"/>
      <c r="P258" s="12">
        <f>N258/L258</f>
        <v>286.14856273975369</v>
      </c>
      <c r="Q258" s="192">
        <f t="shared" ref="Q258:Q260" si="105">P258/10</f>
        <v>28.61485627397537</v>
      </c>
      <c r="R258" s="8">
        <v>10640526</v>
      </c>
      <c r="S258" s="20">
        <v>0.90100000000000002</v>
      </c>
      <c r="T258" s="8">
        <f t="shared" si="101"/>
        <v>11809684.794672586</v>
      </c>
      <c r="U258" s="133">
        <f t="shared" si="104"/>
        <v>13.019623796288865</v>
      </c>
      <c r="Y258" s="57"/>
      <c r="Z258" s="57"/>
      <c r="AA258" s="57"/>
      <c r="AB258" s="57"/>
      <c r="AC258" s="57"/>
      <c r="AD258" s="57"/>
      <c r="AE258" s="57"/>
      <c r="AF258" s="57"/>
      <c r="AG258" s="57"/>
      <c r="AH258" s="10"/>
      <c r="AI258" s="10"/>
      <c r="AJ258" s="10"/>
      <c r="AK258" s="10"/>
      <c r="AL258" s="10"/>
      <c r="AM258" s="10"/>
      <c r="AN258" s="10"/>
      <c r="AO258" s="10"/>
      <c r="AP258" s="10"/>
    </row>
    <row r="259" spans="1:42" s="133" customFormat="1" x14ac:dyDescent="0.25">
      <c r="A259" s="2" t="s">
        <v>69</v>
      </c>
      <c r="B259" s="3" t="s">
        <v>13</v>
      </c>
      <c r="C259" s="21">
        <v>2010</v>
      </c>
      <c r="D259" s="21"/>
      <c r="E259" s="21"/>
      <c r="F259" s="21"/>
      <c r="G259" s="4">
        <v>38.993906000000003</v>
      </c>
      <c r="H259" s="4">
        <v>-74.794163999999995</v>
      </c>
      <c r="I259" s="23" t="s">
        <v>70</v>
      </c>
      <c r="J259" s="18" t="s">
        <v>17</v>
      </c>
      <c r="K259" s="24">
        <v>5200</v>
      </c>
      <c r="L259" s="12">
        <f>K259*0.3048</f>
        <v>1584.96</v>
      </c>
      <c r="M259" s="25">
        <v>464000</v>
      </c>
      <c r="N259" s="12">
        <f t="shared" si="103"/>
        <v>354753.52</v>
      </c>
      <c r="O259" s="12"/>
      <c r="P259" s="12">
        <f>N259/L259</f>
        <v>223.82490409852616</v>
      </c>
      <c r="Q259" s="192">
        <f t="shared" si="105"/>
        <v>22.382490409852615</v>
      </c>
      <c r="R259" s="26"/>
      <c r="S259" s="9">
        <v>0.91600000000000004</v>
      </c>
      <c r="T259" s="8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</row>
    <row r="260" spans="1:42" s="133" customFormat="1" x14ac:dyDescent="0.25">
      <c r="A260" s="2" t="s">
        <v>69</v>
      </c>
      <c r="B260" s="3" t="s">
        <v>13</v>
      </c>
      <c r="C260" s="21">
        <v>2012</v>
      </c>
      <c r="D260" s="21"/>
      <c r="E260" s="21"/>
      <c r="F260" s="21"/>
      <c r="G260" s="4">
        <v>38.993906000000003</v>
      </c>
      <c r="H260" s="4">
        <v>-74.794163999999995</v>
      </c>
      <c r="I260" s="23" t="s">
        <v>70</v>
      </c>
      <c r="J260" s="18" t="s">
        <v>17</v>
      </c>
      <c r="K260" s="24">
        <v>1200</v>
      </c>
      <c r="L260" s="12">
        <f>K260*0.3048</f>
        <v>365.76</v>
      </c>
      <c r="M260" s="25">
        <v>96000</v>
      </c>
      <c r="N260" s="12">
        <f t="shared" si="103"/>
        <v>73397.279999999999</v>
      </c>
      <c r="O260" s="12"/>
      <c r="P260" s="12">
        <f>N260/L260</f>
        <v>200.67060367454067</v>
      </c>
      <c r="Q260" s="192">
        <f t="shared" si="105"/>
        <v>20.067060367454069</v>
      </c>
      <c r="R260" s="26"/>
      <c r="S260" s="20">
        <v>0.96399999999999997</v>
      </c>
      <c r="T260" s="8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</row>
    <row r="261" spans="1:42" s="133" customFormat="1" x14ac:dyDescent="0.25">
      <c r="A261" s="2" t="s">
        <v>69</v>
      </c>
      <c r="B261" s="3" t="s">
        <v>13</v>
      </c>
      <c r="C261" s="21">
        <v>2013</v>
      </c>
      <c r="D261" s="21"/>
      <c r="E261" s="21"/>
      <c r="F261" s="21"/>
      <c r="G261" s="4">
        <v>38.993906000000003</v>
      </c>
      <c r="H261" s="4">
        <v>-74.794163999999995</v>
      </c>
      <c r="I261" s="23" t="s">
        <v>70</v>
      </c>
      <c r="J261" s="18" t="s">
        <v>17</v>
      </c>
      <c r="K261" s="24">
        <v>6400</v>
      </c>
      <c r="L261" s="12">
        <f>K261*0.3048</f>
        <v>1950.72</v>
      </c>
      <c r="M261" s="25">
        <v>150530</v>
      </c>
      <c r="N261" s="12">
        <f t="shared" si="103"/>
        <v>115088.46415</v>
      </c>
      <c r="O261" s="12"/>
      <c r="P261" s="12">
        <f>N261/L261</f>
        <v>58.997941349860561</v>
      </c>
      <c r="Q261" s="192">
        <f>P261/10</f>
        <v>5.8997941349860561</v>
      </c>
      <c r="R261" s="26"/>
      <c r="S261" s="20">
        <v>0.97799999999999998</v>
      </c>
      <c r="T261" s="8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</row>
    <row r="262" spans="1:42" s="133" customFormat="1" x14ac:dyDescent="0.25">
      <c r="A262" s="2" t="s">
        <v>69</v>
      </c>
      <c r="B262" s="3"/>
      <c r="C262" s="21">
        <v>2015</v>
      </c>
      <c r="D262" s="21"/>
      <c r="E262" s="21"/>
      <c r="F262" s="21"/>
      <c r="G262" s="4"/>
      <c r="H262" s="4"/>
      <c r="I262" s="23"/>
      <c r="J262" s="18"/>
      <c r="K262" s="24"/>
      <c r="M262" s="12">
        <v>35364</v>
      </c>
      <c r="N262" s="12">
        <f t="shared" si="103"/>
        <v>27037.723020000001</v>
      </c>
      <c r="O262" s="12"/>
      <c r="P262" s="195">
        <f>AVERAGE(N262:N263)/L263</f>
        <v>61.60703710526316</v>
      </c>
      <c r="Q262" s="197">
        <f>P262/10</f>
        <v>6.1607037105263158</v>
      </c>
      <c r="R262" s="200">
        <v>22321000</v>
      </c>
      <c r="S262" s="198">
        <v>0.995</v>
      </c>
      <c r="T262" s="203"/>
      <c r="U262" s="198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</row>
    <row r="263" spans="1:42" s="133" customFormat="1" x14ac:dyDescent="0.25">
      <c r="A263" s="2" t="s">
        <v>69</v>
      </c>
      <c r="B263" s="3"/>
      <c r="C263" s="21">
        <v>2015</v>
      </c>
      <c r="D263" s="21"/>
      <c r="E263" s="21"/>
      <c r="F263" s="21"/>
      <c r="G263" s="4"/>
      <c r="H263" s="4"/>
      <c r="I263" s="23"/>
      <c r="J263" s="18"/>
      <c r="K263" s="24"/>
      <c r="L263" s="12">
        <v>418</v>
      </c>
      <c r="M263" s="12">
        <v>32000</v>
      </c>
      <c r="N263" s="12">
        <f t="shared" si="103"/>
        <v>24465.759999999998</v>
      </c>
      <c r="O263" s="12"/>
      <c r="P263" s="195"/>
      <c r="Q263" s="197"/>
      <c r="R263" s="201"/>
      <c r="S263" s="202"/>
      <c r="T263" s="204"/>
      <c r="U263" s="202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</row>
    <row r="264" spans="1:42" s="133" customFormat="1" x14ac:dyDescent="0.25">
      <c r="A264" s="133" t="s">
        <v>97</v>
      </c>
      <c r="B264" s="133" t="s">
        <v>13</v>
      </c>
      <c r="C264" s="133">
        <v>1963</v>
      </c>
      <c r="G264" s="133">
        <v>38.978994999999998</v>
      </c>
      <c r="H264" s="133">
        <v>-74.817971</v>
      </c>
      <c r="I264" s="133" t="s">
        <v>15</v>
      </c>
      <c r="J264" s="133" t="s">
        <v>17</v>
      </c>
      <c r="M264" s="133">
        <v>25000</v>
      </c>
      <c r="N264" s="133">
        <f>M264*0.764555</f>
        <v>19113.875</v>
      </c>
      <c r="S264" s="133">
        <v>0.129</v>
      </c>
    </row>
    <row r="265" spans="1:42" s="133" customFormat="1" x14ac:dyDescent="0.25">
      <c r="A265" s="133" t="s">
        <v>97</v>
      </c>
      <c r="B265" s="133" t="s">
        <v>13</v>
      </c>
      <c r="C265" s="133">
        <v>1991</v>
      </c>
      <c r="G265" s="133">
        <v>38.978994999999998</v>
      </c>
      <c r="H265" s="133">
        <v>-74.817971</v>
      </c>
      <c r="I265" s="133" t="s">
        <v>15</v>
      </c>
      <c r="J265" s="133" t="s">
        <v>19</v>
      </c>
      <c r="M265" s="133">
        <v>100000</v>
      </c>
      <c r="N265" s="133">
        <f>M265*0.764555</f>
        <v>76455.5</v>
      </c>
      <c r="R265" s="133">
        <v>434783</v>
      </c>
      <c r="S265" s="133">
        <v>0.57099999999999995</v>
      </c>
      <c r="T265" s="133">
        <f>+R265/S265</f>
        <v>761441.33099824877</v>
      </c>
      <c r="U265" s="133">
        <f>T265/N265</f>
        <v>9.9592747545729061</v>
      </c>
    </row>
    <row r="266" spans="1:42" s="133" customFormat="1" x14ac:dyDescent="0.25">
      <c r="A266" s="2" t="s">
        <v>36</v>
      </c>
      <c r="B266" s="3" t="s">
        <v>13</v>
      </c>
      <c r="C266" s="3">
        <v>1967</v>
      </c>
      <c r="D266" s="3"/>
      <c r="E266" s="3"/>
      <c r="F266" s="3"/>
      <c r="G266" s="4">
        <v>38.929501999999999</v>
      </c>
      <c r="H266" s="4">
        <v>-74.924211999999997</v>
      </c>
      <c r="I266" s="5" t="s">
        <v>14</v>
      </c>
      <c r="J266" s="5" t="s">
        <v>14</v>
      </c>
      <c r="K266" s="6"/>
      <c r="L266" s="12"/>
      <c r="M266" s="7">
        <v>2500</v>
      </c>
      <c r="N266" s="12">
        <f t="shared" ref="N266:N292" si="106">M266*0.764555</f>
        <v>1911.3875</v>
      </c>
      <c r="O266" s="12"/>
      <c r="P266" s="12"/>
      <c r="Q266" s="12"/>
      <c r="R266" s="13"/>
      <c r="S266" s="9">
        <v>0.14000000000000001</v>
      </c>
      <c r="T266" s="8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</row>
    <row r="267" spans="1:42" s="133" customFormat="1" x14ac:dyDescent="0.25">
      <c r="A267" s="2" t="s">
        <v>36</v>
      </c>
      <c r="B267" s="3" t="s">
        <v>13</v>
      </c>
      <c r="C267" s="3">
        <v>1967</v>
      </c>
      <c r="D267" s="3"/>
      <c r="E267" s="3"/>
      <c r="F267" s="3"/>
      <c r="G267" s="4">
        <v>38.929501999999999</v>
      </c>
      <c r="H267" s="4">
        <v>-74.924211999999997</v>
      </c>
      <c r="I267" s="5" t="s">
        <v>14</v>
      </c>
      <c r="J267" s="5" t="s">
        <v>14</v>
      </c>
      <c r="K267" s="6"/>
      <c r="L267" s="12"/>
      <c r="M267" s="7">
        <v>15000</v>
      </c>
      <c r="N267" s="12">
        <f t="shared" si="106"/>
        <v>11468.324999999999</v>
      </c>
      <c r="O267" s="12"/>
      <c r="P267" s="12"/>
      <c r="Q267" s="12"/>
      <c r="R267" s="13"/>
      <c r="S267" s="9">
        <v>0.14000000000000001</v>
      </c>
      <c r="T267" s="8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</row>
    <row r="268" spans="1:42" s="133" customFormat="1" x14ac:dyDescent="0.25">
      <c r="A268" s="2" t="s">
        <v>36</v>
      </c>
      <c r="B268" s="3" t="s">
        <v>13</v>
      </c>
      <c r="C268" s="3">
        <v>1967</v>
      </c>
      <c r="D268" s="3"/>
      <c r="E268" s="3"/>
      <c r="F268" s="3"/>
      <c r="G268" s="4">
        <v>38.929501999999999</v>
      </c>
      <c r="H268" s="4">
        <v>-74.924211999999997</v>
      </c>
      <c r="I268" s="14" t="s">
        <v>1</v>
      </c>
      <c r="J268" s="5" t="s">
        <v>14</v>
      </c>
      <c r="K268" s="6"/>
      <c r="L268" s="12"/>
      <c r="M268" s="7">
        <v>300000</v>
      </c>
      <c r="N268" s="12">
        <f t="shared" si="106"/>
        <v>229366.5</v>
      </c>
      <c r="O268" s="12"/>
      <c r="P268" s="12"/>
      <c r="Q268" s="12"/>
      <c r="R268" s="19">
        <v>161659</v>
      </c>
      <c r="S268" s="9">
        <v>0.14000000000000001</v>
      </c>
      <c r="T268" s="8">
        <f>+R268/S268</f>
        <v>1154707.1428571427</v>
      </c>
      <c r="U268" s="133">
        <f t="shared" ref="U268:U276" si="107">T268/N268</f>
        <v>5.0343321402957395</v>
      </c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</row>
    <row r="269" spans="1:42" s="133" customFormat="1" x14ac:dyDescent="0.25">
      <c r="A269" s="2" t="s">
        <v>36</v>
      </c>
      <c r="B269" s="3" t="s">
        <v>13</v>
      </c>
      <c r="C269" s="3">
        <v>1969</v>
      </c>
      <c r="D269" s="3"/>
      <c r="E269" s="3"/>
      <c r="F269" s="3"/>
      <c r="G269" s="4">
        <v>38.929501999999999</v>
      </c>
      <c r="H269" s="4">
        <v>-74.924211999999997</v>
      </c>
      <c r="I269" s="14" t="s">
        <v>1</v>
      </c>
      <c r="J269" s="5" t="s">
        <v>14</v>
      </c>
      <c r="K269" s="6"/>
      <c r="L269" s="12"/>
      <c r="M269" s="7">
        <v>253851</v>
      </c>
      <c r="N269" s="12">
        <f t="shared" si="106"/>
        <v>194083.051305</v>
      </c>
      <c r="O269" s="12"/>
      <c r="P269" s="12"/>
      <c r="Q269" s="12"/>
      <c r="R269" s="8">
        <v>256495</v>
      </c>
      <c r="S269" s="9">
        <v>0.154</v>
      </c>
      <c r="T269" s="8">
        <f>+R269/S269</f>
        <v>1665551.9480519481</v>
      </c>
      <c r="U269" s="133">
        <f t="shared" si="107"/>
        <v>8.5816455216099534</v>
      </c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</row>
    <row r="270" spans="1:42" s="133" customFormat="1" x14ac:dyDescent="0.25">
      <c r="A270" s="2" t="s">
        <v>36</v>
      </c>
      <c r="B270" s="3" t="s">
        <v>13</v>
      </c>
      <c r="C270" s="3">
        <v>1981</v>
      </c>
      <c r="D270" s="3"/>
      <c r="E270" s="3"/>
      <c r="F270" s="3"/>
      <c r="G270" s="4">
        <v>38.929501999999999</v>
      </c>
      <c r="H270" s="4">
        <v>-74.924211999999997</v>
      </c>
      <c r="I270" s="5" t="s">
        <v>14</v>
      </c>
      <c r="J270" s="5" t="s">
        <v>14</v>
      </c>
      <c r="K270" s="6"/>
      <c r="L270" s="12"/>
      <c r="M270" s="7">
        <v>36000</v>
      </c>
      <c r="N270" s="12">
        <f t="shared" si="106"/>
        <v>27523.98</v>
      </c>
      <c r="O270" s="12"/>
      <c r="P270" s="12"/>
      <c r="Q270" s="12"/>
      <c r="R270" s="8">
        <v>93000</v>
      </c>
      <c r="S270" s="9">
        <v>0.38200000000000001</v>
      </c>
      <c r="T270" s="8">
        <f>+R270/S270</f>
        <v>243455.49738219896</v>
      </c>
      <c r="U270" s="133">
        <f t="shared" si="107"/>
        <v>8.8452141507950142</v>
      </c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</row>
    <row r="271" spans="1:42" s="133" customFormat="1" x14ac:dyDescent="0.25">
      <c r="A271" s="2" t="s">
        <v>36</v>
      </c>
      <c r="B271" s="3" t="s">
        <v>13</v>
      </c>
      <c r="C271" s="3">
        <v>1986</v>
      </c>
      <c r="D271" s="11"/>
      <c r="E271" s="11"/>
      <c r="F271" s="11"/>
      <c r="G271" s="4">
        <v>38.929501999999999</v>
      </c>
      <c r="H271" s="4">
        <v>-74.924211999999997</v>
      </c>
      <c r="I271" s="5" t="s">
        <v>15</v>
      </c>
      <c r="J271" s="18" t="s">
        <v>17</v>
      </c>
      <c r="K271" s="6"/>
      <c r="L271" s="12"/>
      <c r="M271" s="12">
        <v>15000</v>
      </c>
      <c r="N271" s="12">
        <f t="shared" si="106"/>
        <v>11468.324999999999</v>
      </c>
      <c r="O271" s="12"/>
      <c r="P271" s="12"/>
      <c r="Q271" s="12"/>
      <c r="R271" s="19">
        <v>272000</v>
      </c>
      <c r="S271" s="9">
        <v>0.46100000000000002</v>
      </c>
      <c r="T271" s="8">
        <f>+R271/S271</f>
        <v>590021.69197396957</v>
      </c>
      <c r="U271" s="133">
        <f t="shared" si="107"/>
        <v>51.447939605301528</v>
      </c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</row>
    <row r="272" spans="1:42" s="133" customFormat="1" x14ac:dyDescent="0.25">
      <c r="A272" s="2" t="s">
        <v>36</v>
      </c>
      <c r="B272" s="3" t="s">
        <v>13</v>
      </c>
      <c r="C272" s="3">
        <v>1989</v>
      </c>
      <c r="D272" s="3"/>
      <c r="E272" s="3"/>
      <c r="F272" s="3"/>
      <c r="G272" s="4">
        <v>38.929501999999999</v>
      </c>
      <c r="H272" s="4">
        <v>-74.924211999999997</v>
      </c>
      <c r="I272" s="14" t="s">
        <v>15</v>
      </c>
      <c r="J272" s="18" t="s">
        <v>16</v>
      </c>
      <c r="K272" s="7">
        <v>3600</v>
      </c>
      <c r="L272" s="12">
        <f>K272*0.3048</f>
        <v>1097.28</v>
      </c>
      <c r="M272" s="7">
        <v>465000</v>
      </c>
      <c r="N272" s="12">
        <f t="shared" si="106"/>
        <v>355518.07500000001</v>
      </c>
      <c r="O272" s="12"/>
      <c r="P272" s="12">
        <f>N272/L272</f>
        <v>323.99941218285215</v>
      </c>
      <c r="Q272" s="12">
        <f>P272/10</f>
        <v>32.399941218285214</v>
      </c>
      <c r="R272" s="8">
        <v>3158000</v>
      </c>
      <c r="S272" s="9">
        <v>0.52100000000000002</v>
      </c>
      <c r="T272" s="8">
        <f>+R272/S272</f>
        <v>6061420.3454894433</v>
      </c>
      <c r="U272" s="133">
        <f t="shared" si="107"/>
        <v>17.04954198317327</v>
      </c>
      <c r="Y272" s="10"/>
      <c r="Z272" s="10"/>
      <c r="AA272" s="10"/>
      <c r="AB272" s="10"/>
      <c r="AC272" s="10"/>
      <c r="AD272" s="10"/>
      <c r="AE272" s="10"/>
      <c r="AF272" s="10"/>
      <c r="AG272" s="10"/>
      <c r="AH272" s="16"/>
      <c r="AI272" s="16"/>
      <c r="AJ272" s="16"/>
      <c r="AK272" s="16"/>
      <c r="AL272" s="16"/>
      <c r="AM272" s="16"/>
      <c r="AN272" s="16"/>
      <c r="AO272" s="16"/>
      <c r="AP272" s="16"/>
    </row>
    <row r="273" spans="1:42" s="133" customFormat="1" x14ac:dyDescent="0.25">
      <c r="A273" s="2" t="s">
        <v>36</v>
      </c>
      <c r="B273" s="3" t="s">
        <v>13</v>
      </c>
      <c r="C273" s="3">
        <v>1992</v>
      </c>
      <c r="D273" s="3"/>
      <c r="E273" s="3"/>
      <c r="F273" s="3"/>
      <c r="G273" s="4">
        <v>38.929501999999999</v>
      </c>
      <c r="H273" s="4">
        <v>-74.924211999999997</v>
      </c>
      <c r="I273" s="14" t="s">
        <v>1</v>
      </c>
      <c r="J273" s="5" t="s">
        <v>14</v>
      </c>
      <c r="K273" s="6"/>
      <c r="L273" s="12"/>
      <c r="M273" s="7">
        <v>42000</v>
      </c>
      <c r="N273" s="12">
        <f t="shared" si="106"/>
        <v>32111.309999999998</v>
      </c>
      <c r="O273" s="12"/>
      <c r="P273" s="12"/>
      <c r="Q273" s="12"/>
      <c r="R273" s="8">
        <v>187500</v>
      </c>
      <c r="S273" s="9">
        <v>0.58799999999999997</v>
      </c>
      <c r="T273" s="8">
        <f>+R273/S274</f>
        <v>318877.55102040817</v>
      </c>
      <c r="U273" s="133">
        <f t="shared" si="107"/>
        <v>9.9303812588277527</v>
      </c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</row>
    <row r="274" spans="1:42" s="133" customFormat="1" x14ac:dyDescent="0.25">
      <c r="A274" s="2" t="s">
        <v>36</v>
      </c>
      <c r="B274" s="3" t="s">
        <v>13</v>
      </c>
      <c r="C274" s="3">
        <v>1992</v>
      </c>
      <c r="D274" s="3"/>
      <c r="E274" s="3"/>
      <c r="F274" s="3"/>
      <c r="G274" s="4">
        <v>38.929501999999999</v>
      </c>
      <c r="H274" s="4">
        <v>-74.924211999999997</v>
      </c>
      <c r="I274" s="5" t="s">
        <v>14</v>
      </c>
      <c r="J274" s="5" t="s">
        <v>14</v>
      </c>
      <c r="K274" s="6"/>
      <c r="L274" s="12"/>
      <c r="M274" s="7">
        <v>200000</v>
      </c>
      <c r="N274" s="12">
        <f t="shared" si="106"/>
        <v>152911</v>
      </c>
      <c r="O274" s="12"/>
      <c r="P274" s="12"/>
      <c r="Q274" s="12"/>
      <c r="R274" s="8">
        <v>261905</v>
      </c>
      <c r="S274" s="9">
        <v>0.58799999999999997</v>
      </c>
      <c r="T274" s="8">
        <f>+R274/S274</f>
        <v>445416.66666666669</v>
      </c>
      <c r="U274" s="133">
        <f t="shared" si="107"/>
        <v>2.9129144840244763</v>
      </c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</row>
    <row r="275" spans="1:42" s="133" customFormat="1" x14ac:dyDescent="0.25">
      <c r="A275" s="2" t="s">
        <v>36</v>
      </c>
      <c r="B275" s="3" t="s">
        <v>13</v>
      </c>
      <c r="C275" s="3">
        <v>1993</v>
      </c>
      <c r="D275" s="3"/>
      <c r="E275" s="3"/>
      <c r="F275" s="3"/>
      <c r="G275" s="4">
        <v>38.929501999999999</v>
      </c>
      <c r="H275" s="4">
        <v>-74.924211999999997</v>
      </c>
      <c r="I275" s="14" t="s">
        <v>15</v>
      </c>
      <c r="J275" s="23" t="s">
        <v>17</v>
      </c>
      <c r="K275" s="6"/>
      <c r="L275" s="12"/>
      <c r="M275" s="7">
        <v>300000</v>
      </c>
      <c r="N275" s="12">
        <f t="shared" si="106"/>
        <v>229366.5</v>
      </c>
      <c r="O275" s="12"/>
      <c r="P275" s="12"/>
      <c r="Q275" s="12"/>
      <c r="R275" s="8">
        <v>2135000</v>
      </c>
      <c r="S275" s="9">
        <v>0.60599999999999998</v>
      </c>
      <c r="T275" s="8">
        <f>+R275/S275</f>
        <v>3523102.310231023</v>
      </c>
      <c r="U275" s="133">
        <f t="shared" si="107"/>
        <v>15.360143308770125</v>
      </c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</row>
    <row r="276" spans="1:42" s="133" customFormat="1" x14ac:dyDescent="0.25">
      <c r="A276" s="2" t="s">
        <v>36</v>
      </c>
      <c r="B276" s="3" t="s">
        <v>13</v>
      </c>
      <c r="C276" s="3">
        <v>1999</v>
      </c>
      <c r="D276" s="11"/>
      <c r="E276" s="11"/>
      <c r="F276" s="11"/>
      <c r="G276" s="4">
        <v>38.929501999999999</v>
      </c>
      <c r="H276" s="4">
        <v>-74.924211999999997</v>
      </c>
      <c r="I276" s="5" t="s">
        <v>15</v>
      </c>
      <c r="J276" s="5" t="s">
        <v>37</v>
      </c>
      <c r="K276" s="12">
        <v>10032</v>
      </c>
      <c r="L276" s="12">
        <f t="shared" ref="L276:L281" si="108">K276*0.3048</f>
        <v>3057.7536</v>
      </c>
      <c r="M276" s="12">
        <v>2372000</v>
      </c>
      <c r="N276" s="12">
        <f t="shared" si="106"/>
        <v>1813524.46</v>
      </c>
      <c r="O276" s="12"/>
      <c r="P276" s="12">
        <f t="shared" ref="P276:P281" si="109">N276/L276</f>
        <v>593.09045045356174</v>
      </c>
      <c r="Q276" s="12">
        <f t="shared" ref="Q276:Q281" si="110">P276/10</f>
        <v>59.309045045356171</v>
      </c>
      <c r="R276" s="19">
        <v>73571000</v>
      </c>
      <c r="S276" s="9">
        <v>0.69899999999999995</v>
      </c>
      <c r="T276" s="8">
        <f>+R276/S276</f>
        <v>105251788.26895566</v>
      </c>
      <c r="U276" s="133">
        <f t="shared" si="107"/>
        <v>58.037148431378569</v>
      </c>
      <c r="Y276" s="10"/>
      <c r="Z276" s="10"/>
      <c r="AA276" s="10"/>
      <c r="AB276" s="10"/>
      <c r="AC276" s="10"/>
      <c r="AD276" s="10"/>
      <c r="AE276" s="10"/>
      <c r="AF276" s="10"/>
      <c r="AG276" s="10"/>
      <c r="AH276" s="16"/>
      <c r="AI276" s="16"/>
      <c r="AJ276" s="16"/>
      <c r="AK276" s="16"/>
      <c r="AL276" s="16"/>
      <c r="AM276" s="16"/>
      <c r="AN276" s="16"/>
      <c r="AO276" s="16"/>
      <c r="AP276" s="16"/>
    </row>
    <row r="277" spans="1:42" s="133" customFormat="1" x14ac:dyDescent="0.25">
      <c r="A277" s="2" t="s">
        <v>36</v>
      </c>
      <c r="B277" s="3" t="s">
        <v>13</v>
      </c>
      <c r="C277" s="188">
        <v>2001</v>
      </c>
      <c r="F277" s="139"/>
      <c r="G277" s="4">
        <v>38.929501999999999</v>
      </c>
      <c r="H277" s="4">
        <v>-74.924211999999997</v>
      </c>
      <c r="I277" s="14"/>
      <c r="J277" s="5"/>
      <c r="K277" s="140">
        <v>18500</v>
      </c>
      <c r="L277" s="12">
        <f t="shared" si="108"/>
        <v>5638.8</v>
      </c>
      <c r="M277" s="140">
        <v>30000</v>
      </c>
      <c r="N277" s="12">
        <f t="shared" si="106"/>
        <v>22936.649999999998</v>
      </c>
      <c r="O277" s="12"/>
      <c r="P277" s="12">
        <f t="shared" si="109"/>
        <v>4.0676473717812298</v>
      </c>
      <c r="Q277" s="12">
        <f t="shared" si="110"/>
        <v>0.406764737178123</v>
      </c>
      <c r="R277" s="19"/>
      <c r="S277" s="9">
        <v>0.746</v>
      </c>
      <c r="T277" s="8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</row>
    <row r="278" spans="1:42" s="133" customFormat="1" x14ac:dyDescent="0.25">
      <c r="A278" s="2" t="s">
        <v>36</v>
      </c>
      <c r="B278" s="3" t="s">
        <v>13</v>
      </c>
      <c r="C278" s="188">
        <v>2003</v>
      </c>
      <c r="G278" s="4">
        <v>38.929501999999999</v>
      </c>
      <c r="H278" s="4">
        <v>-74.924211999999997</v>
      </c>
      <c r="I278" s="14"/>
      <c r="J278" s="5"/>
      <c r="K278" s="140">
        <v>18500</v>
      </c>
      <c r="L278" s="12">
        <f t="shared" si="108"/>
        <v>5638.8</v>
      </c>
      <c r="M278" s="140">
        <v>267000</v>
      </c>
      <c r="N278" s="12">
        <f t="shared" si="106"/>
        <v>204136.185</v>
      </c>
      <c r="O278" s="12"/>
      <c r="P278" s="12">
        <f t="shared" si="109"/>
        <v>36.202061608852944</v>
      </c>
      <c r="Q278" s="12">
        <f t="shared" si="110"/>
        <v>3.6202061608852945</v>
      </c>
      <c r="R278" s="141">
        <v>2350765</v>
      </c>
      <c r="S278" s="20">
        <v>0.77500000000000002</v>
      </c>
      <c r="T278" s="8">
        <f t="shared" ref="T278:T292" si="111">+R278/S278</f>
        <v>3033245.1612903224</v>
      </c>
      <c r="U278" s="133">
        <f t="shared" ref="U278:U292" si="112">T278/N278</f>
        <v>14.858929401910409</v>
      </c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</row>
    <row r="279" spans="1:42" s="133" customFormat="1" x14ac:dyDescent="0.25">
      <c r="A279" s="2" t="s">
        <v>36</v>
      </c>
      <c r="B279" s="3" t="s">
        <v>13</v>
      </c>
      <c r="C279" s="188">
        <v>2004</v>
      </c>
      <c r="G279" s="4">
        <v>38.929501999999999</v>
      </c>
      <c r="H279" s="4">
        <v>-74.924211999999997</v>
      </c>
      <c r="I279" s="14"/>
      <c r="J279" s="5"/>
      <c r="K279" s="140">
        <v>18500</v>
      </c>
      <c r="L279" s="12">
        <f t="shared" si="108"/>
        <v>5638.8</v>
      </c>
      <c r="M279" s="140">
        <v>290000</v>
      </c>
      <c r="N279" s="12">
        <f t="shared" si="106"/>
        <v>221720.94999999998</v>
      </c>
      <c r="O279" s="12"/>
      <c r="P279" s="12">
        <f t="shared" si="109"/>
        <v>39.320591260551886</v>
      </c>
      <c r="Q279" s="12">
        <f t="shared" si="110"/>
        <v>3.9320591260551887</v>
      </c>
      <c r="R279" s="141">
        <v>2364000</v>
      </c>
      <c r="S279" s="9">
        <v>0.79300000000000004</v>
      </c>
      <c r="T279" s="8">
        <f t="shared" si="111"/>
        <v>2981084.4892812106</v>
      </c>
      <c r="U279" s="133">
        <f t="shared" si="112"/>
        <v>13.44520889560148</v>
      </c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</row>
    <row r="280" spans="1:42" s="133" customFormat="1" x14ac:dyDescent="0.25">
      <c r="A280" s="2" t="s">
        <v>36</v>
      </c>
      <c r="B280" s="3" t="s">
        <v>13</v>
      </c>
      <c r="C280" s="188">
        <v>2005</v>
      </c>
      <c r="G280" s="4">
        <v>38.929501999999999</v>
      </c>
      <c r="H280" s="4">
        <v>-74.924211999999997</v>
      </c>
      <c r="I280" s="14"/>
      <c r="J280" s="5"/>
      <c r="K280" s="140">
        <v>18500</v>
      </c>
      <c r="L280" s="12">
        <f t="shared" si="108"/>
        <v>5638.8</v>
      </c>
      <c r="M280" s="140">
        <v>1075000</v>
      </c>
      <c r="N280" s="12">
        <f t="shared" si="106"/>
        <v>821896.625</v>
      </c>
      <c r="O280" s="12"/>
      <c r="P280" s="12">
        <f t="shared" si="109"/>
        <v>145.75736415549406</v>
      </c>
      <c r="Q280" s="12">
        <f t="shared" si="110"/>
        <v>14.575736415549406</v>
      </c>
      <c r="R280" s="141">
        <v>12778106</v>
      </c>
      <c r="S280" s="9">
        <v>0.82</v>
      </c>
      <c r="T280" s="8">
        <f t="shared" si="111"/>
        <v>15583056.097560976</v>
      </c>
      <c r="U280" s="133">
        <f t="shared" si="112"/>
        <v>18.959873569940715</v>
      </c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</row>
    <row r="281" spans="1:42" s="133" customFormat="1" x14ac:dyDescent="0.25">
      <c r="A281" s="2" t="s">
        <v>36</v>
      </c>
      <c r="B281" s="3" t="s">
        <v>13</v>
      </c>
      <c r="C281" s="188">
        <v>2006</v>
      </c>
      <c r="G281" s="4">
        <v>38.929501999999999</v>
      </c>
      <c r="H281" s="4">
        <v>-74.924211999999997</v>
      </c>
      <c r="I281" s="14"/>
      <c r="J281" s="5"/>
      <c r="K281" s="140">
        <v>18500</v>
      </c>
      <c r="L281" s="12">
        <f t="shared" si="108"/>
        <v>5638.8</v>
      </c>
      <c r="M281" s="140">
        <v>182000</v>
      </c>
      <c r="N281" s="12">
        <f t="shared" si="106"/>
        <v>139149.01</v>
      </c>
      <c r="O281" s="12"/>
      <c r="P281" s="12">
        <f t="shared" si="109"/>
        <v>24.677060722139462</v>
      </c>
      <c r="Q281" s="12">
        <f t="shared" si="110"/>
        <v>2.4677060722139461</v>
      </c>
      <c r="R281" s="141">
        <v>3995500</v>
      </c>
      <c r="S281" s="9">
        <v>0.84699999999999998</v>
      </c>
      <c r="T281" s="8">
        <f t="shared" si="111"/>
        <v>4717237.3081463994</v>
      </c>
      <c r="U281" s="133">
        <f t="shared" si="112"/>
        <v>33.900617102100831</v>
      </c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</row>
    <row r="282" spans="1:42" s="133" customFormat="1" x14ac:dyDescent="0.25">
      <c r="A282" s="2" t="s">
        <v>36</v>
      </c>
      <c r="B282" s="3" t="s">
        <v>13</v>
      </c>
      <c r="C282" s="188">
        <v>2007</v>
      </c>
      <c r="G282" s="4">
        <v>38.929501999999999</v>
      </c>
      <c r="H282" s="4">
        <v>-74.924211999999997</v>
      </c>
      <c r="I282" s="14"/>
      <c r="J282" s="5"/>
      <c r="K282" s="139"/>
      <c r="L282" s="12"/>
      <c r="M282" s="140">
        <v>190000</v>
      </c>
      <c r="N282" s="12">
        <f t="shared" si="106"/>
        <v>145265.44999999998</v>
      </c>
      <c r="O282" s="12"/>
      <c r="P282" s="12"/>
      <c r="Q282" s="12"/>
      <c r="R282" s="141">
        <v>5135000</v>
      </c>
      <c r="S282" s="20">
        <v>0.871</v>
      </c>
      <c r="T282" s="8">
        <f t="shared" si="111"/>
        <v>5895522.3880597018</v>
      </c>
      <c r="U282" s="133">
        <f t="shared" si="112"/>
        <v>40.584477506934391</v>
      </c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</row>
    <row r="283" spans="1:42" s="133" customFormat="1" x14ac:dyDescent="0.25">
      <c r="A283" s="2" t="s">
        <v>36</v>
      </c>
      <c r="B283" s="3" t="s">
        <v>13</v>
      </c>
      <c r="C283" s="188">
        <v>2009</v>
      </c>
      <c r="G283" s="4">
        <v>38.929501999999999</v>
      </c>
      <c r="H283" s="4">
        <v>-74.924211999999997</v>
      </c>
      <c r="I283" s="14"/>
      <c r="J283" s="5"/>
      <c r="K283" s="139"/>
      <c r="L283" s="12"/>
      <c r="M283" s="140">
        <v>233650</v>
      </c>
      <c r="N283" s="12">
        <f t="shared" si="106"/>
        <v>178638.27575</v>
      </c>
      <c r="O283" s="12"/>
      <c r="P283" s="12"/>
      <c r="Q283" s="12"/>
      <c r="R283" s="141">
        <v>4709000</v>
      </c>
      <c r="S283" s="20">
        <v>0.90100000000000002</v>
      </c>
      <c r="T283" s="8">
        <f t="shared" si="111"/>
        <v>5226415.0943396222</v>
      </c>
      <c r="U283" s="133">
        <f t="shared" si="112"/>
        <v>29.256972350392953</v>
      </c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</row>
    <row r="284" spans="1:42" s="133" customFormat="1" x14ac:dyDescent="0.25">
      <c r="A284" s="2" t="s">
        <v>36</v>
      </c>
      <c r="B284" s="3" t="s">
        <v>13</v>
      </c>
      <c r="C284" s="188">
        <v>2009</v>
      </c>
      <c r="G284" s="4">
        <v>38.929501999999999</v>
      </c>
      <c r="H284" s="4">
        <v>-74.924211999999997</v>
      </c>
      <c r="I284" s="14"/>
      <c r="J284" s="5"/>
      <c r="K284" s="139"/>
      <c r="L284" s="12"/>
      <c r="M284" s="140">
        <v>233650</v>
      </c>
      <c r="N284" s="12">
        <f t="shared" si="106"/>
        <v>178638.27575</v>
      </c>
      <c r="O284" s="12"/>
      <c r="P284" s="12"/>
      <c r="Q284" s="12"/>
      <c r="R284" s="141">
        <v>4709000</v>
      </c>
      <c r="S284" s="20">
        <v>0.90100000000000002</v>
      </c>
      <c r="T284" s="8">
        <f t="shared" si="111"/>
        <v>5226415.0943396222</v>
      </c>
      <c r="U284" s="133">
        <f t="shared" si="112"/>
        <v>29.256972350392953</v>
      </c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</row>
    <row r="285" spans="1:42" s="133" customFormat="1" x14ac:dyDescent="0.25">
      <c r="A285" s="2" t="s">
        <v>36</v>
      </c>
      <c r="B285" s="3" t="s">
        <v>13</v>
      </c>
      <c r="C285" s="188">
        <v>2009</v>
      </c>
      <c r="G285" s="4">
        <v>38.929501999999999</v>
      </c>
      <c r="H285" s="4">
        <v>-74.924211999999997</v>
      </c>
      <c r="I285" s="14"/>
      <c r="J285" s="5"/>
      <c r="K285" s="140">
        <v>18500</v>
      </c>
      <c r="L285" s="12">
        <f>K285*0.3048</f>
        <v>5638.8</v>
      </c>
      <c r="M285" s="140">
        <v>70000</v>
      </c>
      <c r="N285" s="12">
        <f t="shared" si="106"/>
        <v>53518.85</v>
      </c>
      <c r="O285" s="12"/>
      <c r="P285" s="12">
        <f>SUM(N283:N286)/L285</f>
        <v>121.66333288997659</v>
      </c>
      <c r="Q285" s="192">
        <f>P285/10</f>
        <v>12.166333288997659</v>
      </c>
      <c r="R285" s="141">
        <v>4500000</v>
      </c>
      <c r="S285" s="20">
        <v>0.90100000000000002</v>
      </c>
      <c r="T285" s="8">
        <f t="shared" si="111"/>
        <v>4994450.6104328521</v>
      </c>
      <c r="U285" s="133">
        <f t="shared" si="112"/>
        <v>93.321336509152417</v>
      </c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</row>
    <row r="286" spans="1:42" s="133" customFormat="1" x14ac:dyDescent="0.25">
      <c r="A286" s="2" t="s">
        <v>36</v>
      </c>
      <c r="B286" s="3" t="s">
        <v>13</v>
      </c>
      <c r="C286" s="188">
        <v>2011</v>
      </c>
      <c r="G286" s="4">
        <v>38.929501999999999</v>
      </c>
      <c r="H286" s="4">
        <v>-74.924211999999997</v>
      </c>
      <c r="I286" s="14"/>
      <c r="J286" s="5"/>
      <c r="K286" s="140">
        <v>18500</v>
      </c>
      <c r="L286" s="12">
        <f>K286*0.3048</f>
        <v>5638.8</v>
      </c>
      <c r="M286" s="140">
        <v>360000</v>
      </c>
      <c r="N286" s="12">
        <f t="shared" si="106"/>
        <v>275239.8</v>
      </c>
      <c r="O286" s="12"/>
      <c r="P286" s="12">
        <f>N286/L286</f>
        <v>48.811768461374754</v>
      </c>
      <c r="Q286" s="192">
        <f>P286/10</f>
        <v>4.8811768461374756</v>
      </c>
      <c r="R286" s="141">
        <v>9640000</v>
      </c>
      <c r="S286" s="20">
        <v>0.96399999999999997</v>
      </c>
      <c r="T286" s="8">
        <f t="shared" si="111"/>
        <v>10000000</v>
      </c>
      <c r="U286" s="133">
        <f t="shared" si="112"/>
        <v>36.331954898964469</v>
      </c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</row>
    <row r="287" spans="1:42" s="133" customFormat="1" x14ac:dyDescent="0.25">
      <c r="A287" s="2" t="s">
        <v>36</v>
      </c>
      <c r="B287" s="3" t="s">
        <v>13</v>
      </c>
      <c r="C287" s="188">
        <v>2012</v>
      </c>
      <c r="G287" s="4">
        <v>38.929501999999999</v>
      </c>
      <c r="H287" s="4">
        <v>-74.924211999999997</v>
      </c>
      <c r="I287" s="14"/>
      <c r="J287" s="5"/>
      <c r="K287" s="139"/>
      <c r="L287" s="12"/>
      <c r="M287" s="140">
        <v>635000</v>
      </c>
      <c r="N287" s="12">
        <f t="shared" si="106"/>
        <v>485492.42499999999</v>
      </c>
      <c r="O287" s="12"/>
      <c r="P287" s="12"/>
      <c r="Q287" s="12"/>
      <c r="R287" s="141">
        <v>9146464</v>
      </c>
      <c r="S287" s="81">
        <v>0.96399999999999997</v>
      </c>
      <c r="T287" s="8">
        <f t="shared" si="111"/>
        <v>9488033.1950207464</v>
      </c>
      <c r="U287" s="133">
        <f t="shared" si="112"/>
        <v>19.543112737589563</v>
      </c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</row>
    <row r="288" spans="1:42" s="133" customFormat="1" x14ac:dyDescent="0.25">
      <c r="A288" s="2" t="s">
        <v>36</v>
      </c>
      <c r="B288" s="3" t="s">
        <v>13</v>
      </c>
      <c r="C288" s="188">
        <v>2013</v>
      </c>
      <c r="G288" s="4">
        <v>38.929501999999999</v>
      </c>
      <c r="H288" s="4">
        <v>-74.924211999999997</v>
      </c>
      <c r="I288" s="14"/>
      <c r="J288" s="5"/>
      <c r="K288" s="139"/>
      <c r="L288" s="12"/>
      <c r="M288" s="140">
        <v>345000</v>
      </c>
      <c r="N288" s="12">
        <f t="shared" si="106"/>
        <v>263771.47499999998</v>
      </c>
      <c r="O288" s="12"/>
      <c r="P288" s="12"/>
      <c r="Q288" s="12"/>
      <c r="R288" s="141">
        <v>8812564</v>
      </c>
      <c r="S288" s="81">
        <v>0.97799999999999998</v>
      </c>
      <c r="T288" s="8">
        <f t="shared" si="111"/>
        <v>9010801.6359918211</v>
      </c>
      <c r="U288" s="133">
        <f t="shared" si="112"/>
        <v>34.161395336595142</v>
      </c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</row>
    <row r="289" spans="1:42" s="133" customFormat="1" x14ac:dyDescent="0.25">
      <c r="A289" s="2" t="s">
        <v>36</v>
      </c>
      <c r="B289" s="3" t="s">
        <v>13</v>
      </c>
      <c r="C289" s="188">
        <v>2014</v>
      </c>
      <c r="G289" s="4">
        <v>38.929501999999999</v>
      </c>
      <c r="H289" s="4">
        <v>-74.924211999999997</v>
      </c>
      <c r="I289" s="14"/>
      <c r="J289" s="5"/>
      <c r="K289" s="139"/>
      <c r="L289" s="12"/>
      <c r="M289" s="140">
        <v>585000</v>
      </c>
      <c r="N289" s="12">
        <f t="shared" si="106"/>
        <v>447264.67499999999</v>
      </c>
      <c r="O289" s="12"/>
      <c r="P289" s="12"/>
      <c r="Q289" s="12"/>
      <c r="R289" s="141">
        <v>9744500</v>
      </c>
      <c r="S289" s="9">
        <v>0.99399999999999999</v>
      </c>
      <c r="T289" s="8">
        <f t="shared" si="111"/>
        <v>9803319.9195171036</v>
      </c>
      <c r="U289" s="133">
        <f t="shared" si="112"/>
        <v>21.918386287754792</v>
      </c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</row>
    <row r="290" spans="1:42" s="133" customFormat="1" x14ac:dyDescent="0.25">
      <c r="A290" s="2" t="s">
        <v>36</v>
      </c>
      <c r="B290" s="3" t="s">
        <v>13</v>
      </c>
      <c r="C290" s="188">
        <v>2017</v>
      </c>
      <c r="G290" s="4">
        <v>38.929501999999999</v>
      </c>
      <c r="H290" s="4">
        <v>-74.924211999999997</v>
      </c>
      <c r="I290" s="14"/>
      <c r="J290" s="5"/>
      <c r="K290" s="139"/>
      <c r="L290" s="12"/>
      <c r="M290" s="140">
        <v>304000</v>
      </c>
      <c r="N290" s="12">
        <f t="shared" si="106"/>
        <v>232424.72</v>
      </c>
      <c r="O290" s="12"/>
      <c r="P290" s="12"/>
      <c r="Q290" s="12"/>
      <c r="R290" s="141">
        <v>6150000</v>
      </c>
      <c r="S290" s="133">
        <v>1.0213000000000001</v>
      </c>
      <c r="T290" s="8">
        <f t="shared" si="111"/>
        <v>6021737.0018603737</v>
      </c>
      <c r="U290" s="133">
        <f t="shared" si="112"/>
        <v>25.908332822173019</v>
      </c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</row>
    <row r="291" spans="1:42" s="133" customFormat="1" x14ac:dyDescent="0.25">
      <c r="A291" s="2" t="s">
        <v>36</v>
      </c>
      <c r="B291" s="3" t="s">
        <v>13</v>
      </c>
      <c r="C291" s="188">
        <v>2017</v>
      </c>
      <c r="G291" s="4">
        <v>38.929501999999999</v>
      </c>
      <c r="H291" s="4">
        <v>-74.924211999999997</v>
      </c>
      <c r="I291" s="14"/>
      <c r="J291" s="5"/>
      <c r="K291" s="139"/>
      <c r="L291" s="12"/>
      <c r="M291" s="140">
        <v>648000</v>
      </c>
      <c r="N291" s="12">
        <f t="shared" si="106"/>
        <v>495431.64</v>
      </c>
      <c r="O291" s="12"/>
      <c r="P291" s="12"/>
      <c r="Q291" s="12"/>
      <c r="R291" s="141">
        <v>11950000</v>
      </c>
      <c r="S291" s="133">
        <v>1.0213000000000001</v>
      </c>
      <c r="T291" s="8">
        <f t="shared" si="111"/>
        <v>11700773.523940075</v>
      </c>
      <c r="U291" s="133">
        <f t="shared" si="112"/>
        <v>23.61733199748824</v>
      </c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</row>
    <row r="292" spans="1:42" s="133" customFormat="1" x14ac:dyDescent="0.25">
      <c r="A292" s="2" t="s">
        <v>36</v>
      </c>
      <c r="B292" s="3" t="s">
        <v>13</v>
      </c>
      <c r="C292" s="188">
        <v>2017</v>
      </c>
      <c r="G292" s="4">
        <v>38.929501999999999</v>
      </c>
      <c r="H292" s="4">
        <v>-74.924211999999997</v>
      </c>
      <c r="I292" s="14"/>
      <c r="J292" s="5"/>
      <c r="K292" s="139"/>
      <c r="L292" s="12"/>
      <c r="M292" s="140">
        <v>304000</v>
      </c>
      <c r="N292" s="12">
        <f t="shared" si="106"/>
        <v>232424.72</v>
      </c>
      <c r="O292" s="12"/>
      <c r="P292" s="12"/>
      <c r="Q292" s="12"/>
      <c r="R292" s="141">
        <v>6150000</v>
      </c>
      <c r="S292" s="133">
        <v>1.0213000000000001</v>
      </c>
      <c r="T292" s="8">
        <f t="shared" si="111"/>
        <v>6021737.0018603737</v>
      </c>
      <c r="U292" s="133">
        <f t="shared" si="112"/>
        <v>25.908332822173019</v>
      </c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</row>
    <row r="293" spans="1:42" s="133" customFormat="1" x14ac:dyDescent="0.25">
      <c r="A293" s="29" t="s">
        <v>63</v>
      </c>
      <c r="B293" s="3" t="s">
        <v>13</v>
      </c>
      <c r="C293" s="21">
        <v>2011</v>
      </c>
      <c r="D293" s="21"/>
      <c r="E293" s="21"/>
      <c r="F293" s="21"/>
      <c r="G293" s="4">
        <v>38.931038000000001</v>
      </c>
      <c r="H293" s="4">
        <v>-74.958100000000002</v>
      </c>
      <c r="I293" s="23" t="s">
        <v>15</v>
      </c>
      <c r="J293" s="18" t="s">
        <v>16</v>
      </c>
      <c r="K293" s="24">
        <v>7000</v>
      </c>
      <c r="L293" s="12">
        <f>K293*0.3048</f>
        <v>2133.6</v>
      </c>
      <c r="M293" s="25">
        <v>300000</v>
      </c>
      <c r="N293" s="12">
        <f t="shared" ref="N293:N299" si="113">M293*0.764555</f>
        <v>229366.5</v>
      </c>
      <c r="O293" s="12"/>
      <c r="P293" s="12">
        <f>N293/L293</f>
        <v>107.50210911136108</v>
      </c>
      <c r="Q293" s="192">
        <f>P293/10</f>
        <v>10.750210911136108</v>
      </c>
      <c r="R293" s="26">
        <v>9400000</v>
      </c>
      <c r="S293" s="20">
        <v>0.96399999999999997</v>
      </c>
      <c r="T293" s="8">
        <f>+R293/S293</f>
        <v>9751037.3443983402</v>
      </c>
      <c r="U293" s="133">
        <f t="shared" ref="U293:U294" si="114">T293/N293</f>
        <v>42.512909881775848</v>
      </c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</row>
    <row r="294" spans="1:42" s="133" customFormat="1" x14ac:dyDescent="0.25">
      <c r="A294" s="29" t="s">
        <v>63</v>
      </c>
      <c r="B294" s="34" t="s">
        <v>13</v>
      </c>
      <c r="C294" s="21">
        <v>2013</v>
      </c>
      <c r="D294" s="21"/>
      <c r="E294" s="21"/>
      <c r="F294" s="21"/>
      <c r="G294" s="4">
        <v>38.931038000000001</v>
      </c>
      <c r="H294" s="4">
        <v>-74.958100000000002</v>
      </c>
      <c r="I294" s="23" t="s">
        <v>15</v>
      </c>
      <c r="J294" s="18" t="s">
        <v>16</v>
      </c>
      <c r="K294" s="24">
        <v>7000</v>
      </c>
      <c r="L294" s="12">
        <f>K294*0.3048</f>
        <v>2133.6</v>
      </c>
      <c r="M294" s="25">
        <v>300000</v>
      </c>
      <c r="N294" s="12">
        <f t="shared" si="113"/>
        <v>229366.5</v>
      </c>
      <c r="O294" s="12"/>
      <c r="P294" s="12">
        <f t="shared" ref="P294:P295" si="115">N294/L294</f>
        <v>107.50210911136108</v>
      </c>
      <c r="Q294" s="192">
        <f t="shared" ref="Q294:Q295" si="116">P294/10</f>
        <v>10.750210911136108</v>
      </c>
      <c r="R294" s="36">
        <v>7497000</v>
      </c>
      <c r="S294" s="20">
        <v>0.97799999999999998</v>
      </c>
      <c r="T294" s="8">
        <f>+R294/S294</f>
        <v>7665644.1717791408</v>
      </c>
      <c r="U294" s="133">
        <f t="shared" si="114"/>
        <v>33.42094059847075</v>
      </c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</row>
    <row r="295" spans="1:42" s="133" customFormat="1" x14ac:dyDescent="0.25">
      <c r="A295" s="2" t="s">
        <v>63</v>
      </c>
      <c r="B295" s="3" t="s">
        <v>13</v>
      </c>
      <c r="C295" s="21">
        <v>2009</v>
      </c>
      <c r="D295" s="21"/>
      <c r="E295" s="21"/>
      <c r="F295" s="21"/>
      <c r="G295" s="4">
        <v>38.931038000000001</v>
      </c>
      <c r="H295" s="4">
        <v>-74.958100000000002</v>
      </c>
      <c r="I295" s="23" t="s">
        <v>15</v>
      </c>
      <c r="J295" s="18" t="s">
        <v>16</v>
      </c>
      <c r="K295" s="24">
        <v>7000</v>
      </c>
      <c r="L295" s="12">
        <f>K295*0.3048</f>
        <v>2133.6</v>
      </c>
      <c r="M295" s="25">
        <v>375000</v>
      </c>
      <c r="N295" s="12">
        <f t="shared" si="113"/>
        <v>286708.125</v>
      </c>
      <c r="O295" s="12"/>
      <c r="P295" s="12">
        <f t="shared" si="115"/>
        <v>134.37763638920134</v>
      </c>
      <c r="Q295" s="192">
        <f t="shared" si="116"/>
        <v>13.437763638920135</v>
      </c>
      <c r="R295" s="26"/>
      <c r="S295" s="20">
        <v>0.90100000000000002</v>
      </c>
      <c r="T295" s="8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</row>
    <row r="296" spans="1:42" s="133" customFormat="1" x14ac:dyDescent="0.25">
      <c r="A296" s="2" t="s">
        <v>63</v>
      </c>
      <c r="B296" s="3" t="s">
        <v>13</v>
      </c>
      <c r="C296" s="21">
        <v>2005</v>
      </c>
      <c r="D296" s="21"/>
      <c r="E296" s="21"/>
      <c r="F296" s="21"/>
      <c r="G296" s="4">
        <v>38.931038000000001</v>
      </c>
      <c r="H296" s="4">
        <v>-74.958100000000002</v>
      </c>
      <c r="I296" s="23" t="s">
        <v>15</v>
      </c>
      <c r="J296" s="18" t="s">
        <v>16</v>
      </c>
      <c r="K296" s="24"/>
      <c r="L296" s="12"/>
      <c r="M296" s="25">
        <v>1406000</v>
      </c>
      <c r="N296" s="12">
        <f t="shared" si="113"/>
        <v>1074964.33</v>
      </c>
      <c r="O296" s="12"/>
      <c r="P296" s="12"/>
      <c r="Q296" s="192"/>
      <c r="R296" s="13"/>
      <c r="S296" s="9">
        <v>0.82</v>
      </c>
      <c r="T296" s="8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</row>
    <row r="297" spans="1:42" s="133" customFormat="1" x14ac:dyDescent="0.25">
      <c r="A297" s="2" t="s">
        <v>63</v>
      </c>
      <c r="B297" s="3" t="s">
        <v>13</v>
      </c>
      <c r="C297" s="11">
        <v>2004</v>
      </c>
      <c r="D297" s="11"/>
      <c r="E297" s="11"/>
      <c r="F297" s="11"/>
      <c r="G297" s="4">
        <v>38.931947999999998</v>
      </c>
      <c r="H297" s="4">
        <v>-74.965845000000002</v>
      </c>
      <c r="I297" s="5" t="s">
        <v>15</v>
      </c>
      <c r="J297" s="18" t="s">
        <v>16</v>
      </c>
      <c r="K297" s="6">
        <v>675</v>
      </c>
      <c r="L297" s="12">
        <f>K297*0.3048</f>
        <v>205.74</v>
      </c>
      <c r="M297" s="12">
        <v>9623</v>
      </c>
      <c r="N297" s="12">
        <f t="shared" si="113"/>
        <v>7357.3127649999997</v>
      </c>
      <c r="O297" s="12"/>
      <c r="P297" s="12">
        <f t="shared" ref="P297:P299" si="117">N297/L297</f>
        <v>35.760244799261201</v>
      </c>
      <c r="Q297" s="12">
        <f t="shared" ref="Q297:Q299" si="118">P297/10</f>
        <v>3.57602447992612</v>
      </c>
      <c r="R297" s="13"/>
      <c r="S297" s="9">
        <v>0.79300000000000004</v>
      </c>
      <c r="T297" s="8"/>
      <c r="Y297" s="10"/>
      <c r="Z297" s="10"/>
      <c r="AA297" s="10"/>
      <c r="AB297" s="10"/>
      <c r="AC297" s="10"/>
      <c r="AD297" s="10"/>
      <c r="AE297" s="10"/>
      <c r="AF297" s="10"/>
      <c r="AG297" s="10"/>
      <c r="AH297" s="16"/>
      <c r="AI297" s="16"/>
      <c r="AJ297" s="16"/>
      <c r="AK297" s="16"/>
      <c r="AL297" s="16"/>
      <c r="AM297" s="16"/>
      <c r="AN297" s="16"/>
      <c r="AO297" s="16"/>
      <c r="AP297" s="16"/>
    </row>
    <row r="298" spans="1:42" s="133" customFormat="1" x14ac:dyDescent="0.25">
      <c r="A298" s="2" t="s">
        <v>63</v>
      </c>
      <c r="B298" s="3" t="s">
        <v>13</v>
      </c>
      <c r="C298" s="11">
        <v>2001</v>
      </c>
      <c r="D298" s="11"/>
      <c r="E298" s="11"/>
      <c r="F298" s="11"/>
      <c r="G298" s="4">
        <v>38.931947999999998</v>
      </c>
      <c r="H298" s="4">
        <v>-74.965845000000002</v>
      </c>
      <c r="I298" s="5" t="s">
        <v>15</v>
      </c>
      <c r="J298" s="18" t="s">
        <v>16</v>
      </c>
      <c r="K298" s="6">
        <v>1200</v>
      </c>
      <c r="L298" s="12">
        <f>K298*0.3048</f>
        <v>365.76</v>
      </c>
      <c r="M298" s="25">
        <v>30000</v>
      </c>
      <c r="N298" s="12">
        <f t="shared" si="113"/>
        <v>22936.649999999998</v>
      </c>
      <c r="O298" s="12"/>
      <c r="P298" s="12">
        <f t="shared" si="117"/>
        <v>62.709563648293958</v>
      </c>
      <c r="Q298" s="12">
        <f t="shared" si="118"/>
        <v>6.270956364829396</v>
      </c>
      <c r="R298" s="13"/>
      <c r="S298" s="9">
        <v>0.746</v>
      </c>
      <c r="T298" s="8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</row>
    <row r="299" spans="1:42" s="133" customFormat="1" x14ac:dyDescent="0.25">
      <c r="A299" s="2" t="s">
        <v>38</v>
      </c>
      <c r="B299" s="3" t="s">
        <v>13</v>
      </c>
      <c r="C299" s="21">
        <v>2009</v>
      </c>
      <c r="D299" s="21"/>
      <c r="E299" s="21"/>
      <c r="F299" s="21"/>
      <c r="G299" s="4">
        <v>38.941653000000002</v>
      </c>
      <c r="H299" s="4">
        <v>-74.883330999999998</v>
      </c>
      <c r="I299" s="23" t="s">
        <v>15</v>
      </c>
      <c r="J299" s="18" t="s">
        <v>16</v>
      </c>
      <c r="K299" s="6">
        <v>4500</v>
      </c>
      <c r="L299" s="12">
        <f>K299*0.3048</f>
        <v>1371.6000000000001</v>
      </c>
      <c r="M299" s="25">
        <v>375000</v>
      </c>
      <c r="N299" s="12">
        <f t="shared" si="113"/>
        <v>286708.125</v>
      </c>
      <c r="O299" s="12"/>
      <c r="P299" s="12">
        <f t="shared" si="117"/>
        <v>209.03187882764652</v>
      </c>
      <c r="Q299" s="12">
        <f t="shared" si="118"/>
        <v>20.903187882764652</v>
      </c>
      <c r="R299" s="26">
        <v>4125000</v>
      </c>
      <c r="S299" s="20">
        <v>0.90100000000000002</v>
      </c>
      <c r="T299" s="8">
        <f>+R299/S299</f>
        <v>4578246.3928967817</v>
      </c>
      <c r="U299" s="133">
        <f>T299/N299</f>
        <v>15.968317580454972</v>
      </c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</row>
    <row r="302" spans="1:42" x14ac:dyDescent="0.25">
      <c r="T302" s="173">
        <f>SUM(T2:T299)</f>
        <v>2428867544.3573675</v>
      </c>
    </row>
  </sheetData>
  <mergeCells count="23">
    <mergeCell ref="R262:R263"/>
    <mergeCell ref="S262:S263"/>
    <mergeCell ref="T262:T263"/>
    <mergeCell ref="U262:U263"/>
    <mergeCell ref="P243:P244"/>
    <mergeCell ref="Q243:Q244"/>
    <mergeCell ref="P253:P254"/>
    <mergeCell ref="Q253:Q254"/>
    <mergeCell ref="P262:P263"/>
    <mergeCell ref="Q262:Q263"/>
    <mergeCell ref="P201:P203"/>
    <mergeCell ref="Q201:Q203"/>
    <mergeCell ref="P204:P205"/>
    <mergeCell ref="Q204:Q205"/>
    <mergeCell ref="L206:L207"/>
    <mergeCell ref="P206:P207"/>
    <mergeCell ref="Q206:Q207"/>
    <mergeCell ref="P6:P7"/>
    <mergeCell ref="Q6:Q7"/>
    <mergeCell ref="P136:P138"/>
    <mergeCell ref="Q136:Q138"/>
    <mergeCell ref="P197:P198"/>
    <mergeCell ref="Q197:Q19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39"/>
  <sheetViews>
    <sheetView zoomScale="70" zoomScaleNormal="70" workbookViewId="0">
      <pane ySplit="1" topLeftCell="A11" activePane="bottomLeft" state="frozen"/>
      <selection activeCell="V2" sqref="V2:V22"/>
      <selection pane="bottomLeft" activeCell="V2" sqref="V2:V22"/>
    </sheetView>
  </sheetViews>
  <sheetFormatPr defaultRowHeight="12.5" x14ac:dyDescent="0.25"/>
  <cols>
    <col min="1" max="1" width="47.6328125" customWidth="1"/>
    <col min="3" max="3" width="9.08984375" bestFit="1" customWidth="1"/>
    <col min="4" max="4" width="9.08984375" style="132" customWidth="1"/>
    <col min="5" max="6" width="9.08984375" style="128" customWidth="1"/>
    <col min="7" max="7" width="11.54296875" bestFit="1" customWidth="1"/>
    <col min="8" max="8" width="10.36328125" bestFit="1" customWidth="1"/>
    <col min="10" max="10" width="13.36328125" customWidth="1"/>
    <col min="11" max="12" width="9.08984375" bestFit="1" customWidth="1"/>
    <col min="13" max="13" width="12.1796875" customWidth="1"/>
    <col min="14" max="14" width="12.36328125" customWidth="1"/>
    <col min="15" max="15" width="12.36328125" style="133" customWidth="1"/>
    <col min="16" max="16" width="12.36328125" customWidth="1"/>
    <col min="17" max="17" width="12.36328125" style="133" customWidth="1"/>
    <col min="18" max="18" width="16" customWidth="1"/>
    <col min="19" max="19" width="9.08984375" bestFit="1" customWidth="1"/>
    <col min="20" max="20" width="16.453125" customWidth="1"/>
    <col min="21" max="21" width="12.453125" bestFit="1" customWidth="1"/>
  </cols>
  <sheetData>
    <row r="1" spans="1:42" ht="39" x14ac:dyDescent="0.3">
      <c r="A1" s="1" t="s">
        <v>0</v>
      </c>
      <c r="B1" s="1" t="s">
        <v>1</v>
      </c>
      <c r="C1" s="1" t="s">
        <v>2</v>
      </c>
      <c r="D1" s="1" t="s">
        <v>135</v>
      </c>
      <c r="E1" s="1" t="s">
        <v>133</v>
      </c>
      <c r="F1" s="1" t="s">
        <v>134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98</v>
      </c>
      <c r="M1" s="1" t="s">
        <v>8</v>
      </c>
      <c r="N1" s="1" t="s">
        <v>99</v>
      </c>
      <c r="O1" s="1" t="s">
        <v>231</v>
      </c>
      <c r="P1" s="1" t="s">
        <v>126</v>
      </c>
      <c r="Q1" s="1" t="s">
        <v>230</v>
      </c>
      <c r="R1" s="1" t="s">
        <v>9</v>
      </c>
      <c r="S1" s="1" t="s">
        <v>10</v>
      </c>
      <c r="T1" s="1" t="s">
        <v>11</v>
      </c>
      <c r="U1" s="125" t="s">
        <v>127</v>
      </c>
    </row>
    <row r="2" spans="1:42" s="101" customFormat="1" ht="13.25" customHeight="1" x14ac:dyDescent="0.35">
      <c r="A2" s="101" t="s">
        <v>47</v>
      </c>
      <c r="B2" s="101" t="s">
        <v>13</v>
      </c>
      <c r="C2" s="101">
        <v>1993</v>
      </c>
      <c r="G2" s="101">
        <v>40.458506999999997</v>
      </c>
      <c r="H2" s="101">
        <v>-74.245519999999999</v>
      </c>
      <c r="I2" s="101" t="s">
        <v>1</v>
      </c>
      <c r="J2" s="101" t="s">
        <v>14</v>
      </c>
      <c r="M2" s="101">
        <v>39000</v>
      </c>
      <c r="N2" s="101">
        <f>M2*0.764555</f>
        <v>29817.645</v>
      </c>
      <c r="S2" s="101">
        <v>0.60599999999999998</v>
      </c>
    </row>
    <row r="3" spans="1:42" s="101" customFormat="1" ht="14.5" x14ac:dyDescent="0.35">
      <c r="A3" s="101" t="s">
        <v>47</v>
      </c>
      <c r="B3" s="101" t="s">
        <v>13</v>
      </c>
      <c r="C3" s="101">
        <v>1982</v>
      </c>
      <c r="G3" s="101">
        <v>40.458506999999997</v>
      </c>
      <c r="H3" s="101">
        <v>-74.245519999999999</v>
      </c>
      <c r="I3" s="101" t="s">
        <v>1</v>
      </c>
      <c r="J3" s="101" t="s">
        <v>14</v>
      </c>
      <c r="M3" s="101">
        <v>67000</v>
      </c>
      <c r="N3" s="101">
        <f>M3*0.764555</f>
        <v>51225.184999999998</v>
      </c>
      <c r="S3" s="101">
        <v>0.40100000000000002</v>
      </c>
    </row>
    <row r="4" spans="1:42" s="101" customFormat="1" ht="14.5" x14ac:dyDescent="0.35">
      <c r="A4" s="101" t="s">
        <v>47</v>
      </c>
      <c r="B4" s="101" t="s">
        <v>13</v>
      </c>
      <c r="C4" s="101">
        <v>1957</v>
      </c>
      <c r="G4" s="101">
        <v>40.458506999999997</v>
      </c>
      <c r="H4" s="101">
        <v>-74.245519999999999</v>
      </c>
      <c r="I4" s="101" t="s">
        <v>1</v>
      </c>
      <c r="J4" s="101" t="s">
        <v>14</v>
      </c>
      <c r="M4" s="101">
        <v>438000</v>
      </c>
      <c r="N4" s="101">
        <f>M4*0.764555</f>
        <v>334875.08999999997</v>
      </c>
      <c r="S4" s="101">
        <v>0.11799999999999999</v>
      </c>
    </row>
    <row r="5" spans="1:42" s="101" customFormat="1" ht="14.5" x14ac:dyDescent="0.35">
      <c r="A5" s="101" t="s">
        <v>47</v>
      </c>
      <c r="B5" s="101" t="s">
        <v>13</v>
      </c>
      <c r="C5" s="101">
        <v>1972</v>
      </c>
      <c r="G5" s="101">
        <v>40.458506999999997</v>
      </c>
      <c r="H5" s="101">
        <v>-74.245519999999999</v>
      </c>
      <c r="I5" s="101" t="s">
        <v>15</v>
      </c>
      <c r="J5" s="101" t="s">
        <v>14</v>
      </c>
      <c r="M5" s="101">
        <v>2100000</v>
      </c>
      <c r="N5" s="101">
        <f>M5*0.764555</f>
        <v>1605565.5</v>
      </c>
      <c r="S5" s="101">
        <v>0.17499999999999999</v>
      </c>
    </row>
    <row r="6" spans="1:42" s="152" customFormat="1" ht="14.5" x14ac:dyDescent="0.35">
      <c r="A6" s="142" t="s">
        <v>128</v>
      </c>
      <c r="B6" s="143"/>
      <c r="C6" s="144">
        <f>MAX(C10:C11)-MIN(C10:C11)</f>
        <v>0</v>
      </c>
      <c r="D6" s="144">
        <f>COUNT(C10:C11)</f>
        <v>1</v>
      </c>
      <c r="E6" s="144">
        <f>MIN(C2:C5)</f>
        <v>1957</v>
      </c>
      <c r="F6" s="144">
        <f>MAX(C2:C5)</f>
        <v>1993</v>
      </c>
      <c r="G6" s="145"/>
      <c r="H6" s="145"/>
      <c r="I6" s="146" t="str">
        <f>INDEX(I2:I5,MODE(MATCH(I2:I5,I2:I5,0)))</f>
        <v>State</v>
      </c>
      <c r="J6" s="146"/>
      <c r="K6" s="147"/>
      <c r="L6" s="148"/>
      <c r="M6" s="148"/>
      <c r="N6" s="148"/>
      <c r="O6" s="148"/>
      <c r="P6" s="148"/>
      <c r="Q6" s="148"/>
      <c r="R6" s="149"/>
      <c r="S6" s="150"/>
      <c r="T6" s="151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</row>
    <row r="7" spans="1:42" s="101" customFormat="1" ht="14.4" customHeight="1" x14ac:dyDescent="0.35">
      <c r="A7" s="101" t="s">
        <v>39</v>
      </c>
      <c r="B7" s="101" t="s">
        <v>13</v>
      </c>
      <c r="C7" s="101">
        <v>1956</v>
      </c>
      <c r="G7" s="101">
        <v>40.452824999999997</v>
      </c>
      <c r="H7" s="101">
        <v>-74.223819000000006</v>
      </c>
      <c r="I7" s="101" t="s">
        <v>40</v>
      </c>
      <c r="J7" s="101" t="s">
        <v>14</v>
      </c>
      <c r="M7" s="101">
        <v>583000</v>
      </c>
      <c r="N7" s="101">
        <f>M7*0.764555</f>
        <v>445735.565</v>
      </c>
      <c r="R7" s="101">
        <v>0</v>
      </c>
      <c r="S7" s="101">
        <v>0.114</v>
      </c>
      <c r="T7" s="101">
        <f>+R7/S7</f>
        <v>0</v>
      </c>
    </row>
    <row r="8" spans="1:42" s="101" customFormat="1" ht="14.5" x14ac:dyDescent="0.35">
      <c r="A8" s="101" t="s">
        <v>39</v>
      </c>
      <c r="B8" s="101" t="s">
        <v>13</v>
      </c>
      <c r="C8" s="101">
        <v>1953</v>
      </c>
      <c r="G8" s="101">
        <v>40.452824999999997</v>
      </c>
      <c r="H8" s="101">
        <v>-74.223819000000006</v>
      </c>
      <c r="I8" s="101" t="s">
        <v>15</v>
      </c>
      <c r="J8" s="101" t="s">
        <v>14</v>
      </c>
      <c r="M8" s="101">
        <v>6153000</v>
      </c>
      <c r="N8" s="101">
        <f>M8*0.764555</f>
        <v>4704306.915</v>
      </c>
      <c r="R8" s="101">
        <v>0</v>
      </c>
      <c r="S8" s="101">
        <v>0.112</v>
      </c>
      <c r="T8" s="101">
        <f>+R8/S8</f>
        <v>0</v>
      </c>
    </row>
    <row r="9" spans="1:42" s="152" customFormat="1" ht="14.5" x14ac:dyDescent="0.35">
      <c r="A9" s="142" t="s">
        <v>137</v>
      </c>
      <c r="B9" s="143"/>
      <c r="C9" s="143"/>
      <c r="D9" s="143">
        <f>COUNT(C7:C8)</f>
        <v>2</v>
      </c>
      <c r="E9" s="143"/>
      <c r="F9" s="143"/>
      <c r="G9" s="145"/>
      <c r="H9" s="145"/>
      <c r="I9" s="154"/>
      <c r="J9" s="146"/>
      <c r="K9" s="147"/>
      <c r="L9" s="148"/>
      <c r="M9" s="155"/>
      <c r="N9" s="148"/>
      <c r="O9" s="148"/>
      <c r="P9" s="148"/>
      <c r="Q9" s="148"/>
      <c r="R9" s="149"/>
      <c r="S9" s="150"/>
      <c r="T9" s="151"/>
      <c r="Y9" s="153"/>
      <c r="Z9" s="153"/>
      <c r="AA9" s="153"/>
      <c r="AB9" s="153"/>
      <c r="AC9" s="153"/>
      <c r="AD9" s="153"/>
      <c r="AE9" s="153"/>
      <c r="AF9" s="153"/>
      <c r="AG9" s="153"/>
      <c r="AH9" s="156"/>
      <c r="AI9" s="156"/>
      <c r="AJ9" s="156"/>
      <c r="AK9" s="153"/>
      <c r="AL9" s="153"/>
      <c r="AM9" s="153"/>
      <c r="AN9" s="153"/>
      <c r="AO9" s="153"/>
      <c r="AP9" s="153"/>
    </row>
    <row r="10" spans="1:42" s="101" customFormat="1" ht="14.5" x14ac:dyDescent="0.35">
      <c r="A10" s="101" t="s">
        <v>92</v>
      </c>
      <c r="B10" s="101" t="s">
        <v>13</v>
      </c>
      <c r="C10" s="101">
        <v>1956</v>
      </c>
      <c r="G10" s="101">
        <v>40.471224999999997</v>
      </c>
      <c r="H10" s="101">
        <v>-74.266250999999997</v>
      </c>
      <c r="I10" s="101" t="s">
        <v>15</v>
      </c>
      <c r="J10" s="101" t="s">
        <v>14</v>
      </c>
      <c r="M10" s="101">
        <v>195000</v>
      </c>
      <c r="N10" s="101">
        <f t="shared" ref="N10:N22" si="0">M10*0.764555</f>
        <v>149088.22500000001</v>
      </c>
      <c r="R10" s="101">
        <v>0</v>
      </c>
      <c r="S10" s="101">
        <v>0.114</v>
      </c>
      <c r="T10" s="101">
        <f t="shared" ref="T10:T22" si="1">+R10/S10</f>
        <v>0</v>
      </c>
    </row>
    <row r="11" spans="1:42" s="152" customFormat="1" ht="14.5" x14ac:dyDescent="0.35">
      <c r="A11" s="142" t="s">
        <v>136</v>
      </c>
      <c r="B11" s="143"/>
      <c r="C11" s="143"/>
      <c r="D11" s="143">
        <f>COUNT(C10)</f>
        <v>1</v>
      </c>
      <c r="E11" s="143"/>
      <c r="F11" s="143"/>
      <c r="G11" s="145"/>
      <c r="H11" s="145"/>
      <c r="I11" s="154"/>
      <c r="J11" s="146"/>
      <c r="K11" s="147"/>
      <c r="L11" s="148"/>
      <c r="M11" s="155"/>
      <c r="N11" s="148"/>
      <c r="O11" s="148"/>
      <c r="P11" s="148"/>
      <c r="Q11" s="148"/>
      <c r="R11" s="149"/>
      <c r="S11" s="150"/>
      <c r="T11" s="151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</row>
    <row r="12" spans="1:42" s="152" customFormat="1" ht="14.5" x14ac:dyDescent="0.35">
      <c r="A12" s="142" t="s">
        <v>140</v>
      </c>
      <c r="B12" s="143"/>
      <c r="C12" s="143"/>
      <c r="D12" s="143">
        <f>COUNT(C2:C5,C7:C8,C10)</f>
        <v>7</v>
      </c>
      <c r="E12" s="143"/>
      <c r="F12" s="143"/>
      <c r="G12" s="145"/>
      <c r="H12" s="145"/>
      <c r="I12" s="154"/>
      <c r="J12" s="146"/>
      <c r="K12" s="147"/>
      <c r="L12" s="148"/>
      <c r="M12" s="155"/>
      <c r="N12" s="148"/>
      <c r="O12" s="148"/>
      <c r="P12" s="148"/>
      <c r="Q12" s="148"/>
      <c r="R12" s="149"/>
      <c r="S12" s="150"/>
      <c r="T12" s="151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</row>
    <row r="13" spans="1:42" s="101" customFormat="1" ht="14.5" x14ac:dyDescent="0.35">
      <c r="A13" s="90" t="s">
        <v>78</v>
      </c>
      <c r="B13" s="91" t="s">
        <v>13</v>
      </c>
      <c r="C13" s="91">
        <v>1976</v>
      </c>
      <c r="D13" s="91"/>
      <c r="E13" s="91"/>
      <c r="F13" s="91"/>
      <c r="G13" s="92">
        <v>40.455046000000003</v>
      </c>
      <c r="H13" s="92">
        <v>-73.989171999999996</v>
      </c>
      <c r="I13" s="93" t="s">
        <v>15</v>
      </c>
      <c r="J13" s="93" t="s">
        <v>16</v>
      </c>
      <c r="K13" s="97">
        <v>3168</v>
      </c>
      <c r="L13" s="96">
        <f>K13*0.3048</f>
        <v>965.60640000000001</v>
      </c>
      <c r="M13" s="97">
        <v>198276</v>
      </c>
      <c r="N13" s="96">
        <f>M13*0.764555</f>
        <v>151592.90718000001</v>
      </c>
      <c r="O13" s="96"/>
      <c r="P13" s="96"/>
      <c r="Q13" s="96"/>
      <c r="R13" s="100">
        <v>480150</v>
      </c>
      <c r="S13" s="99">
        <v>0.23899999999999999</v>
      </c>
      <c r="T13" s="100">
        <f t="shared" si="1"/>
        <v>2008995.8158995816</v>
      </c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</row>
    <row r="14" spans="1:42" s="101" customFormat="1" ht="14.5" x14ac:dyDescent="0.35">
      <c r="A14" s="90" t="s">
        <v>78</v>
      </c>
      <c r="B14" s="91" t="s">
        <v>13</v>
      </c>
      <c r="C14" s="91">
        <v>1998</v>
      </c>
      <c r="D14" s="91"/>
      <c r="E14" s="91"/>
      <c r="F14" s="91"/>
      <c r="G14" s="92">
        <v>40.455046000000003</v>
      </c>
      <c r="H14" s="92">
        <v>-73.989171999999996</v>
      </c>
      <c r="I14" s="94" t="s">
        <v>14</v>
      </c>
      <c r="J14" s="94" t="s">
        <v>14</v>
      </c>
      <c r="K14" s="97">
        <v>4400</v>
      </c>
      <c r="L14" s="96">
        <f>K14*0.3048</f>
        <v>1341.1200000000001</v>
      </c>
      <c r="M14" s="97">
        <v>287749</v>
      </c>
      <c r="N14" s="96">
        <f t="shared" si="0"/>
        <v>219999.93669499998</v>
      </c>
      <c r="O14" s="96"/>
      <c r="P14" s="96"/>
      <c r="Q14" s="96"/>
      <c r="R14" s="98"/>
      <c r="S14" s="99">
        <v>0.68500000000000005</v>
      </c>
      <c r="T14" s="100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</row>
    <row r="15" spans="1:42" s="101" customFormat="1" ht="14.5" x14ac:dyDescent="0.35">
      <c r="A15" s="90" t="s">
        <v>78</v>
      </c>
      <c r="B15" s="91" t="s">
        <v>13</v>
      </c>
      <c r="C15" s="91">
        <v>1977</v>
      </c>
      <c r="D15" s="91"/>
      <c r="E15" s="91"/>
      <c r="F15" s="91"/>
      <c r="G15" s="92">
        <v>40.455046000000003</v>
      </c>
      <c r="H15" s="92">
        <v>-73.989171999999996</v>
      </c>
      <c r="I15" s="93" t="s">
        <v>1</v>
      </c>
      <c r="J15" s="94" t="s">
        <v>14</v>
      </c>
      <c r="K15" s="97">
        <v>1056</v>
      </c>
      <c r="L15" s="96">
        <f>K15*0.3048</f>
        <v>321.86880000000002</v>
      </c>
      <c r="M15" s="97">
        <v>196193</v>
      </c>
      <c r="N15" s="96">
        <f t="shared" si="0"/>
        <v>150000.33911500001</v>
      </c>
      <c r="O15" s="96"/>
      <c r="P15" s="96"/>
      <c r="Q15" s="96"/>
      <c r="R15" s="100">
        <v>770500</v>
      </c>
      <c r="S15" s="99">
        <v>0.254</v>
      </c>
      <c r="T15" s="100">
        <f t="shared" si="1"/>
        <v>3033464.5669291336</v>
      </c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</row>
    <row r="16" spans="1:42" s="101" customFormat="1" ht="14.5" x14ac:dyDescent="0.35">
      <c r="A16" s="90" t="s">
        <v>78</v>
      </c>
      <c r="B16" s="91" t="s">
        <v>13</v>
      </c>
      <c r="C16" s="91">
        <v>1978</v>
      </c>
      <c r="D16" s="91"/>
      <c r="E16" s="91"/>
      <c r="F16" s="91"/>
      <c r="G16" s="92">
        <v>40.455046000000003</v>
      </c>
      <c r="H16" s="92">
        <v>-73.989171999999996</v>
      </c>
      <c r="I16" s="94" t="s">
        <v>14</v>
      </c>
      <c r="J16" s="94" t="s">
        <v>14</v>
      </c>
      <c r="K16" s="95"/>
      <c r="L16" s="96"/>
      <c r="M16" s="97">
        <v>98096</v>
      </c>
      <c r="N16" s="96">
        <f t="shared" si="0"/>
        <v>74999.787280000004</v>
      </c>
      <c r="O16" s="96"/>
      <c r="P16" s="96"/>
      <c r="Q16" s="96"/>
      <c r="R16" s="98"/>
      <c r="S16" s="99">
        <v>0.27400000000000002</v>
      </c>
      <c r="T16" s="100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</row>
    <row r="17" spans="1:42" s="101" customFormat="1" ht="14.5" x14ac:dyDescent="0.35">
      <c r="A17" s="90" t="s">
        <v>78</v>
      </c>
      <c r="B17" s="91" t="s">
        <v>13</v>
      </c>
      <c r="C17" s="91">
        <v>1975</v>
      </c>
      <c r="D17" s="91"/>
      <c r="E17" s="91"/>
      <c r="F17" s="91"/>
      <c r="G17" s="92">
        <v>40.455046000000003</v>
      </c>
      <c r="H17" s="92">
        <v>-73.989171999999996</v>
      </c>
      <c r="I17" s="93" t="s">
        <v>15</v>
      </c>
      <c r="J17" s="93" t="s">
        <v>16</v>
      </c>
      <c r="K17" s="95"/>
      <c r="L17" s="96"/>
      <c r="M17" s="97">
        <v>191447</v>
      </c>
      <c r="N17" s="96">
        <f t="shared" si="0"/>
        <v>146371.76108500001</v>
      </c>
      <c r="O17" s="96"/>
      <c r="P17" s="96"/>
      <c r="Q17" s="96"/>
      <c r="R17" s="100">
        <v>412601</v>
      </c>
      <c r="S17" s="99">
        <v>0.22600000000000001</v>
      </c>
      <c r="T17" s="100">
        <f t="shared" si="1"/>
        <v>1825668.1415929203</v>
      </c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</row>
    <row r="18" spans="1:42" s="101" customFormat="1" ht="14.5" x14ac:dyDescent="0.35">
      <c r="A18" s="90" t="s">
        <v>78</v>
      </c>
      <c r="B18" s="91" t="s">
        <v>13</v>
      </c>
      <c r="C18" s="157">
        <v>2002</v>
      </c>
      <c r="D18" s="157"/>
      <c r="E18" s="157"/>
      <c r="F18" s="157"/>
      <c r="G18" s="92">
        <v>40.455046000000003</v>
      </c>
      <c r="H18" s="92">
        <v>-73.989171999999996</v>
      </c>
      <c r="I18" s="93" t="s">
        <v>15</v>
      </c>
      <c r="J18" s="94" t="s">
        <v>16</v>
      </c>
      <c r="K18" s="95"/>
      <c r="L18" s="96"/>
      <c r="M18" s="96">
        <v>252434</v>
      </c>
      <c r="N18" s="96">
        <f t="shared" si="0"/>
        <v>192999.67687</v>
      </c>
      <c r="O18" s="96"/>
      <c r="P18" s="96"/>
      <c r="Q18" s="96"/>
      <c r="R18" s="98"/>
      <c r="S18" s="99">
        <v>0.75800000000000001</v>
      </c>
      <c r="T18" s="100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</row>
    <row r="19" spans="1:42" s="101" customFormat="1" ht="14.5" x14ac:dyDescent="0.35">
      <c r="A19" s="90" t="s">
        <v>78</v>
      </c>
      <c r="B19" s="91" t="s">
        <v>13</v>
      </c>
      <c r="C19" s="91">
        <v>1945</v>
      </c>
      <c r="D19" s="91"/>
      <c r="E19" s="91"/>
      <c r="F19" s="91"/>
      <c r="G19" s="92">
        <v>40.455046000000003</v>
      </c>
      <c r="H19" s="92">
        <v>-73.989171999999996</v>
      </c>
      <c r="I19" s="94" t="s">
        <v>14</v>
      </c>
      <c r="J19" s="94" t="s">
        <v>14</v>
      </c>
      <c r="K19" s="95"/>
      <c r="L19" s="96"/>
      <c r="M19" s="97">
        <v>400000</v>
      </c>
      <c r="N19" s="96">
        <f t="shared" si="0"/>
        <v>305822</v>
      </c>
      <c r="O19" s="96"/>
      <c r="P19" s="96"/>
      <c r="Q19" s="96"/>
      <c r="R19" s="98"/>
      <c r="S19" s="99">
        <v>7.5999999999999998E-2</v>
      </c>
      <c r="T19" s="100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</row>
    <row r="20" spans="1:42" s="101" customFormat="1" ht="14.5" x14ac:dyDescent="0.35">
      <c r="A20" s="90" t="s">
        <v>78</v>
      </c>
      <c r="B20" s="91" t="s">
        <v>13</v>
      </c>
      <c r="C20" s="91">
        <v>1984</v>
      </c>
      <c r="D20" s="91"/>
      <c r="E20" s="91"/>
      <c r="F20" s="91"/>
      <c r="G20" s="92">
        <v>40.455046000000003</v>
      </c>
      <c r="H20" s="92">
        <v>-73.989171999999996</v>
      </c>
      <c r="I20" s="93" t="s">
        <v>15</v>
      </c>
      <c r="J20" s="93" t="s">
        <v>16</v>
      </c>
      <c r="K20" s="95"/>
      <c r="L20" s="96"/>
      <c r="M20" s="97">
        <v>800000</v>
      </c>
      <c r="N20" s="96">
        <f t="shared" si="0"/>
        <v>611644</v>
      </c>
      <c r="O20" s="96"/>
      <c r="P20" s="96"/>
      <c r="Q20" s="96"/>
      <c r="R20" s="100">
        <v>3968965</v>
      </c>
      <c r="S20" s="99">
        <v>0.437</v>
      </c>
      <c r="T20" s="100">
        <f t="shared" si="1"/>
        <v>9082299.7711670473</v>
      </c>
      <c r="Y20" s="102"/>
      <c r="Z20" s="102"/>
      <c r="AA20" s="102"/>
      <c r="AB20" s="102"/>
      <c r="AC20" s="102"/>
      <c r="AD20" s="102"/>
      <c r="AE20" s="102"/>
      <c r="AF20" s="102"/>
      <c r="AG20" s="102"/>
      <c r="AH20" s="158"/>
      <c r="AI20" s="158"/>
      <c r="AJ20" s="158"/>
      <c r="AK20" s="102"/>
      <c r="AL20" s="102"/>
      <c r="AM20" s="102"/>
      <c r="AN20" s="102"/>
      <c r="AO20" s="102"/>
      <c r="AP20" s="102"/>
    </row>
    <row r="21" spans="1:42" s="101" customFormat="1" ht="14.5" x14ac:dyDescent="0.35">
      <c r="A21" s="90" t="s">
        <v>78</v>
      </c>
      <c r="B21" s="91" t="s">
        <v>13</v>
      </c>
      <c r="C21" s="91">
        <v>1983</v>
      </c>
      <c r="D21" s="91"/>
      <c r="E21" s="91"/>
      <c r="F21" s="91"/>
      <c r="G21" s="92">
        <v>40.455046000000003</v>
      </c>
      <c r="H21" s="92">
        <v>-73.989171999999996</v>
      </c>
      <c r="I21" s="93" t="s">
        <v>15</v>
      </c>
      <c r="J21" s="93" t="s">
        <v>16</v>
      </c>
      <c r="K21" s="95"/>
      <c r="L21" s="96"/>
      <c r="M21" s="97">
        <v>2370766</v>
      </c>
      <c r="N21" s="96">
        <f t="shared" si="0"/>
        <v>1812580.9991299999</v>
      </c>
      <c r="O21" s="96"/>
      <c r="P21" s="96"/>
      <c r="Q21" s="96"/>
      <c r="R21" s="100">
        <v>10236161</v>
      </c>
      <c r="S21" s="99">
        <v>0.41799999999999998</v>
      </c>
      <c r="T21" s="100">
        <f t="shared" si="1"/>
        <v>24488423.444976076</v>
      </c>
      <c r="Y21" s="102"/>
      <c r="Z21" s="102"/>
      <c r="AA21" s="102"/>
      <c r="AB21" s="102"/>
      <c r="AC21" s="102"/>
      <c r="AD21" s="102"/>
      <c r="AE21" s="102"/>
      <c r="AF21" s="102"/>
      <c r="AG21" s="102"/>
      <c r="AH21" s="158"/>
      <c r="AI21" s="158"/>
      <c r="AJ21" s="158"/>
      <c r="AK21" s="102"/>
      <c r="AL21" s="102"/>
      <c r="AM21" s="102"/>
      <c r="AN21" s="102"/>
      <c r="AO21" s="102"/>
      <c r="AP21" s="102"/>
    </row>
    <row r="22" spans="1:42" s="101" customFormat="1" ht="14.5" x14ac:dyDescent="0.35">
      <c r="A22" s="90" t="s">
        <v>78</v>
      </c>
      <c r="B22" s="91" t="s">
        <v>13</v>
      </c>
      <c r="C22" s="91">
        <v>1990</v>
      </c>
      <c r="D22" s="91"/>
      <c r="E22" s="91"/>
      <c r="F22" s="91"/>
      <c r="G22" s="92">
        <v>40.455046000000003</v>
      </c>
      <c r="H22" s="92">
        <v>-73.989171999999996</v>
      </c>
      <c r="I22" s="93" t="s">
        <v>15</v>
      </c>
      <c r="J22" s="93" t="s">
        <v>16</v>
      </c>
      <c r="K22" s="95"/>
      <c r="L22" s="96"/>
      <c r="M22" s="97">
        <v>3302273</v>
      </c>
      <c r="N22" s="96">
        <f t="shared" si="0"/>
        <v>2524769.3335150001</v>
      </c>
      <c r="O22" s="96"/>
      <c r="P22" s="96"/>
      <c r="Q22" s="96"/>
      <c r="R22" s="100">
        <v>1350000</v>
      </c>
      <c r="S22" s="99">
        <v>0.57099999999999995</v>
      </c>
      <c r="T22" s="100">
        <f t="shared" si="1"/>
        <v>2364273.204903678</v>
      </c>
      <c r="Y22" s="102"/>
      <c r="Z22" s="102"/>
      <c r="AA22" s="102"/>
      <c r="AB22" s="102"/>
      <c r="AC22" s="102"/>
      <c r="AD22" s="102"/>
      <c r="AE22" s="102"/>
      <c r="AF22" s="102"/>
      <c r="AG22" s="102"/>
      <c r="AH22" s="158"/>
      <c r="AI22" s="158"/>
      <c r="AJ22" s="158"/>
      <c r="AK22" s="102"/>
      <c r="AL22" s="102"/>
      <c r="AM22" s="102"/>
      <c r="AN22" s="102"/>
      <c r="AO22" s="102"/>
      <c r="AP22" s="102"/>
    </row>
    <row r="23" spans="1:42" s="152" customFormat="1" ht="14.5" x14ac:dyDescent="0.35">
      <c r="A23" s="142" t="s">
        <v>101</v>
      </c>
      <c r="B23" s="143"/>
      <c r="C23" s="143">
        <f>MAX(C13:C22)-MIN(C13:C22)</f>
        <v>57</v>
      </c>
      <c r="D23" s="143">
        <f>COUNT(C13:C22)</f>
        <v>10</v>
      </c>
      <c r="E23" s="143">
        <f>MIN(C13:C22)</f>
        <v>1945</v>
      </c>
      <c r="F23" s="143">
        <f>MAX(C13:C22)</f>
        <v>2002</v>
      </c>
      <c r="G23" s="145">
        <f>AVERAGE(G13:G22)</f>
        <v>40.455045999999996</v>
      </c>
      <c r="H23" s="145">
        <f>AVERAGE(H13:H22)</f>
        <v>-73.989172000000011</v>
      </c>
      <c r="I23" s="154" t="str">
        <f>INDEX(I13:I22,MODE(MATCH(I13:I22,I13:I22,0)))</f>
        <v>Federal</v>
      </c>
      <c r="J23" s="154"/>
      <c r="K23" s="147">
        <f>MEDIAN(K13:K22)</f>
        <v>3168</v>
      </c>
      <c r="L23" s="147">
        <f>MEDIAN(L13:L22)</f>
        <v>965.60640000000001</v>
      </c>
      <c r="M23" s="147">
        <f>MEDIAN(M13:M22)</f>
        <v>270091.5</v>
      </c>
      <c r="N23" s="147">
        <f>MEDIAN(N13:N22)</f>
        <v>206499.8067825</v>
      </c>
      <c r="O23" s="147"/>
      <c r="P23" s="155">
        <f>N23/L23</f>
        <v>213.85505189536855</v>
      </c>
      <c r="Q23" s="155"/>
      <c r="R23" s="151">
        <f>MEDIAN(R13:R22)</f>
        <v>1060250</v>
      </c>
      <c r="S23" s="151">
        <f>MEDIAN(S13:S22)</f>
        <v>0.34599999999999997</v>
      </c>
      <c r="T23" s="151">
        <f>MEDIAN(T13:T22)</f>
        <v>2698868.8859164058</v>
      </c>
      <c r="U23" s="159">
        <f>T23/N23</f>
        <v>13.069595211578298</v>
      </c>
      <c r="Y23" s="153"/>
      <c r="Z23" s="153"/>
      <c r="AA23" s="153"/>
      <c r="AB23" s="153"/>
      <c r="AC23" s="153"/>
      <c r="AD23" s="153"/>
      <c r="AE23" s="153"/>
      <c r="AF23" s="153"/>
      <c r="AG23" s="153"/>
      <c r="AH23" s="156"/>
      <c r="AI23" s="156"/>
      <c r="AJ23" s="156"/>
      <c r="AK23" s="153"/>
      <c r="AL23" s="153"/>
      <c r="AM23" s="153"/>
      <c r="AN23" s="153"/>
      <c r="AO23" s="153"/>
      <c r="AP23" s="153"/>
    </row>
    <row r="24" spans="1:42" s="101" customFormat="1" ht="14.5" x14ac:dyDescent="0.35">
      <c r="A24" s="101" t="s">
        <v>46</v>
      </c>
      <c r="B24" s="101" t="s">
        <v>13</v>
      </c>
      <c r="C24" s="101">
        <v>1962</v>
      </c>
      <c r="G24" s="101">
        <v>40.449103000000001</v>
      </c>
      <c r="H24" s="101">
        <v>-74.121922999999995</v>
      </c>
      <c r="I24" s="101" t="s">
        <v>15</v>
      </c>
      <c r="J24" s="101" t="s">
        <v>17</v>
      </c>
      <c r="K24" s="101">
        <v>3100</v>
      </c>
      <c r="L24" s="101">
        <f>K24*0.3048</f>
        <v>944.88</v>
      </c>
      <c r="M24" s="101">
        <v>75000</v>
      </c>
      <c r="N24" s="101">
        <f t="shared" ref="N24:N56" si="2">M24*0.764555</f>
        <v>57341.625</v>
      </c>
      <c r="R24" s="101">
        <v>58000</v>
      </c>
      <c r="S24" s="101">
        <v>0.127</v>
      </c>
      <c r="T24" s="101">
        <f>+R24/S24</f>
        <v>456692.91338582675</v>
      </c>
    </row>
    <row r="25" spans="1:42" s="101" customFormat="1" ht="14.5" x14ac:dyDescent="0.35">
      <c r="A25" s="101" t="s">
        <v>46</v>
      </c>
      <c r="B25" s="101" t="s">
        <v>13</v>
      </c>
      <c r="C25" s="101">
        <v>1966</v>
      </c>
      <c r="G25" s="101">
        <v>40.449103000000001</v>
      </c>
      <c r="H25" s="101">
        <v>-74.121922999999995</v>
      </c>
      <c r="I25" s="101" t="s">
        <v>1</v>
      </c>
      <c r="J25" s="101" t="s">
        <v>14</v>
      </c>
      <c r="M25" s="101">
        <v>10000</v>
      </c>
      <c r="N25" s="101">
        <f t="shared" si="2"/>
        <v>7645.55</v>
      </c>
      <c r="S25" s="101">
        <v>0.13600000000000001</v>
      </c>
    </row>
    <row r="26" spans="1:42" s="101" customFormat="1" ht="14.5" x14ac:dyDescent="0.35">
      <c r="A26" s="101" t="s">
        <v>46</v>
      </c>
      <c r="B26" s="101" t="s">
        <v>13</v>
      </c>
      <c r="C26" s="101">
        <v>1940</v>
      </c>
      <c r="G26" s="101">
        <v>40.449103000000001</v>
      </c>
      <c r="H26" s="101">
        <v>-74.121922999999995</v>
      </c>
      <c r="I26" s="101" t="s">
        <v>24</v>
      </c>
      <c r="J26" s="101" t="s">
        <v>14</v>
      </c>
      <c r="M26" s="101">
        <v>11000</v>
      </c>
      <c r="N26" s="101">
        <f t="shared" si="2"/>
        <v>8410.1049999999996</v>
      </c>
      <c r="S26" s="101">
        <v>5.8999999999999997E-2</v>
      </c>
    </row>
    <row r="27" spans="1:42" s="101" customFormat="1" ht="14.5" x14ac:dyDescent="0.35">
      <c r="A27" s="101" t="s">
        <v>46</v>
      </c>
      <c r="B27" s="101" t="s">
        <v>13</v>
      </c>
      <c r="C27" s="101">
        <v>1995</v>
      </c>
      <c r="G27" s="101">
        <v>40.449103000000001</v>
      </c>
      <c r="H27" s="101">
        <v>-74.121922999999995</v>
      </c>
      <c r="I27" s="101" t="s">
        <v>1</v>
      </c>
      <c r="J27" s="101" t="s">
        <v>14</v>
      </c>
      <c r="M27" s="101">
        <v>18000</v>
      </c>
      <c r="N27" s="101">
        <f t="shared" si="2"/>
        <v>13761.99</v>
      </c>
      <c r="S27" s="101">
        <v>0.64100000000000001</v>
      </c>
    </row>
    <row r="28" spans="1:42" s="101" customFormat="1" ht="14.5" x14ac:dyDescent="0.35">
      <c r="A28" s="101" t="s">
        <v>46</v>
      </c>
      <c r="B28" s="101" t="s">
        <v>13</v>
      </c>
      <c r="C28" s="101">
        <v>2003</v>
      </c>
      <c r="G28" s="101">
        <v>40.449103000000001</v>
      </c>
      <c r="H28" s="101">
        <v>-74.121922999999995</v>
      </c>
      <c r="I28" s="101" t="s">
        <v>1</v>
      </c>
      <c r="J28" s="101" t="s">
        <v>19</v>
      </c>
      <c r="M28" s="101">
        <v>30000</v>
      </c>
      <c r="N28" s="101">
        <f t="shared" si="2"/>
        <v>22936.649999999998</v>
      </c>
      <c r="S28" s="101">
        <v>0.77500000000000002</v>
      </c>
    </row>
    <row r="29" spans="1:42" s="101" customFormat="1" ht="14.5" x14ac:dyDescent="0.35">
      <c r="A29" s="101" t="s">
        <v>46</v>
      </c>
      <c r="B29" s="101" t="s">
        <v>13</v>
      </c>
      <c r="C29" s="101">
        <v>1988</v>
      </c>
      <c r="G29" s="101">
        <v>40.449103000000001</v>
      </c>
      <c r="H29" s="101">
        <v>-74.121922999999995</v>
      </c>
      <c r="I29" s="101" t="s">
        <v>1</v>
      </c>
      <c r="J29" s="101" t="s">
        <v>14</v>
      </c>
      <c r="M29" s="101">
        <v>36000</v>
      </c>
      <c r="N29" s="101">
        <f t="shared" si="2"/>
        <v>27523.98</v>
      </c>
      <c r="S29" s="101">
        <v>0.498</v>
      </c>
    </row>
    <row r="30" spans="1:42" s="101" customFormat="1" ht="14.5" x14ac:dyDescent="0.35">
      <c r="A30" s="101" t="s">
        <v>46</v>
      </c>
      <c r="B30" s="101" t="s">
        <v>13</v>
      </c>
      <c r="C30" s="101">
        <v>1954</v>
      </c>
      <c r="G30" s="101">
        <v>40.449103000000001</v>
      </c>
      <c r="H30" s="101">
        <v>-74.121922999999995</v>
      </c>
      <c r="I30" s="101" t="s">
        <v>14</v>
      </c>
      <c r="J30" s="101" t="s">
        <v>14</v>
      </c>
      <c r="M30" s="101">
        <v>58502</v>
      </c>
      <c r="N30" s="101">
        <f t="shared" si="2"/>
        <v>44727.996610000002</v>
      </c>
      <c r="S30" s="101">
        <v>0.113</v>
      </c>
    </row>
    <row r="31" spans="1:42" s="101" customFormat="1" ht="14.5" x14ac:dyDescent="0.35">
      <c r="A31" s="101" t="s">
        <v>46</v>
      </c>
      <c r="B31" s="101" t="s">
        <v>13</v>
      </c>
      <c r="C31" s="101">
        <v>1997</v>
      </c>
      <c r="G31" s="101">
        <v>40.449103000000001</v>
      </c>
      <c r="H31" s="101">
        <v>-74.121922999999995</v>
      </c>
      <c r="I31" s="101" t="s">
        <v>1</v>
      </c>
      <c r="J31" s="101" t="s">
        <v>14</v>
      </c>
      <c r="M31" s="101">
        <v>75000</v>
      </c>
      <c r="N31" s="101">
        <f t="shared" si="2"/>
        <v>57341.625</v>
      </c>
      <c r="S31" s="101">
        <v>0.67600000000000005</v>
      </c>
    </row>
    <row r="32" spans="1:42" s="101" customFormat="1" ht="14.5" x14ac:dyDescent="0.35">
      <c r="A32" s="101" t="s">
        <v>46</v>
      </c>
      <c r="B32" s="101" t="s">
        <v>13</v>
      </c>
      <c r="C32" s="101">
        <v>1985</v>
      </c>
      <c r="G32" s="101">
        <v>40.449103000000001</v>
      </c>
      <c r="H32" s="101">
        <v>-74.121922999999995</v>
      </c>
      <c r="I32" s="101" t="s">
        <v>14</v>
      </c>
      <c r="J32" s="101" t="s">
        <v>14</v>
      </c>
      <c r="M32" s="101">
        <v>103000</v>
      </c>
      <c r="N32" s="101">
        <f t="shared" si="2"/>
        <v>78749.164999999994</v>
      </c>
      <c r="S32" s="101">
        <v>0.45200000000000001</v>
      </c>
    </row>
    <row r="33" spans="1:21" s="101" customFormat="1" ht="14.5" x14ac:dyDescent="0.35">
      <c r="A33" s="101" t="s">
        <v>46</v>
      </c>
      <c r="B33" s="101" t="s">
        <v>13</v>
      </c>
      <c r="C33" s="101">
        <v>1983</v>
      </c>
      <c r="G33" s="101">
        <v>40.449103000000001</v>
      </c>
      <c r="H33" s="101">
        <v>-74.121922999999995</v>
      </c>
      <c r="I33" s="101" t="s">
        <v>14</v>
      </c>
      <c r="J33" s="101" t="s">
        <v>14</v>
      </c>
      <c r="M33" s="101">
        <v>181564</v>
      </c>
      <c r="N33" s="101">
        <f t="shared" si="2"/>
        <v>138815.66402</v>
      </c>
      <c r="S33" s="101">
        <v>0.41799999999999998</v>
      </c>
    </row>
    <row r="34" spans="1:21" s="101" customFormat="1" ht="14.5" x14ac:dyDescent="0.35">
      <c r="A34" s="101" t="s">
        <v>46</v>
      </c>
      <c r="B34" s="101" t="s">
        <v>13</v>
      </c>
      <c r="C34" s="101">
        <v>1954</v>
      </c>
      <c r="G34" s="101">
        <v>40.449103000000001</v>
      </c>
      <c r="H34" s="101">
        <v>-74.121922999999995</v>
      </c>
      <c r="I34" s="101" t="s">
        <v>1</v>
      </c>
      <c r="J34" s="101" t="s">
        <v>14</v>
      </c>
      <c r="M34" s="101">
        <v>307000</v>
      </c>
      <c r="N34" s="101">
        <f t="shared" si="2"/>
        <v>234718.38500000001</v>
      </c>
      <c r="S34" s="101">
        <v>0.113</v>
      </c>
    </row>
    <row r="35" spans="1:21" s="101" customFormat="1" ht="14.5" x14ac:dyDescent="0.35">
      <c r="A35" s="101" t="s">
        <v>46</v>
      </c>
      <c r="B35" s="101" t="s">
        <v>13</v>
      </c>
      <c r="C35" s="101">
        <v>2014</v>
      </c>
      <c r="G35" s="101">
        <v>40.449103000000001</v>
      </c>
      <c r="H35" s="101">
        <v>-74.121922999999995</v>
      </c>
      <c r="I35" s="101" t="s">
        <v>15</v>
      </c>
      <c r="J35" s="101" t="s">
        <v>17</v>
      </c>
      <c r="M35" s="101">
        <v>875000</v>
      </c>
      <c r="N35" s="101">
        <f t="shared" si="2"/>
        <v>668985.625</v>
      </c>
      <c r="R35" s="101">
        <v>36900000</v>
      </c>
      <c r="S35" s="101">
        <v>0.99399999999999999</v>
      </c>
      <c r="T35" s="101">
        <f>+R35/S35</f>
        <v>37122736.41851107</v>
      </c>
    </row>
    <row r="36" spans="1:21" s="152" customFormat="1" ht="14.5" x14ac:dyDescent="0.35">
      <c r="A36" s="152" t="s">
        <v>129</v>
      </c>
      <c r="C36" s="152">
        <f>MAX(C24:C35)-MIN(C24:C35)</f>
        <v>74</v>
      </c>
      <c r="D36" s="152">
        <f>COUNT(C24:C35)</f>
        <v>12</v>
      </c>
      <c r="E36" s="152">
        <f>MIN(C24:C35)</f>
        <v>1940</v>
      </c>
      <c r="F36" s="152">
        <f>MAX(C24:C35)</f>
        <v>2014</v>
      </c>
      <c r="G36" s="152">
        <f>G35</f>
        <v>40.449103000000001</v>
      </c>
      <c r="H36" s="152">
        <f>H35</f>
        <v>-74.121922999999995</v>
      </c>
      <c r="I36" s="152" t="str">
        <f>INDEX(I26:I35,MODE(MATCH(I26:I35,I26:I35,0)))</f>
        <v>State</v>
      </c>
      <c r="K36" s="152">
        <f>MEDIAN(K24:K35)</f>
        <v>3100</v>
      </c>
      <c r="L36" s="152">
        <f>MEDIAN(L24:L35)</f>
        <v>944.88</v>
      </c>
      <c r="M36" s="152">
        <f>MEDIAN(M24:M35)</f>
        <v>66751</v>
      </c>
      <c r="N36" s="152">
        <f>MEDIAN(N24:N35)</f>
        <v>51034.810805000001</v>
      </c>
      <c r="P36" s="152">
        <f>N36/L36</f>
        <v>54.011949459190589</v>
      </c>
      <c r="R36" s="152">
        <f>MEDIAN(R24:R35)</f>
        <v>18479000</v>
      </c>
      <c r="S36" s="152">
        <f>MEDIAN(S24:S35)</f>
        <v>0.435</v>
      </c>
      <c r="T36" s="152">
        <f>MEDIAN(T24:T35)</f>
        <v>18789714.665948451</v>
      </c>
      <c r="U36" s="152">
        <f>T36/N36</f>
        <v>368.17447482547692</v>
      </c>
    </row>
    <row r="37" spans="1:21" s="101" customFormat="1" ht="14.5" x14ac:dyDescent="0.35">
      <c r="A37" s="101" t="s">
        <v>22</v>
      </c>
      <c r="B37" s="101" t="s">
        <v>13</v>
      </c>
      <c r="C37" s="101">
        <v>2002</v>
      </c>
      <c r="G37" s="101">
        <v>40.441558000000001</v>
      </c>
      <c r="H37" s="101">
        <v>-74.098799</v>
      </c>
      <c r="I37" s="101" t="s">
        <v>1</v>
      </c>
      <c r="J37" s="101" t="s">
        <v>14</v>
      </c>
      <c r="M37" s="101">
        <v>22000</v>
      </c>
      <c r="N37" s="101">
        <f>M37*0.764555</f>
        <v>16820.21</v>
      </c>
      <c r="S37" s="101">
        <v>0.75800000000000001</v>
      </c>
    </row>
    <row r="38" spans="1:21" s="101" customFormat="1" ht="14.5" x14ac:dyDescent="0.35">
      <c r="A38" s="101" t="s">
        <v>22</v>
      </c>
      <c r="B38" s="101" t="s">
        <v>13</v>
      </c>
      <c r="C38" s="101">
        <v>1994</v>
      </c>
      <c r="G38" s="101">
        <v>40.441558000000001</v>
      </c>
      <c r="H38" s="101">
        <v>-74.098799</v>
      </c>
      <c r="I38" s="101" t="s">
        <v>1</v>
      </c>
      <c r="J38" s="101" t="s">
        <v>14</v>
      </c>
      <c r="M38" s="101">
        <v>24000</v>
      </c>
      <c r="N38" s="101">
        <f>M38*0.764555</f>
        <v>18349.32</v>
      </c>
      <c r="S38" s="101">
        <v>0.621</v>
      </c>
    </row>
    <row r="39" spans="1:21" s="101" customFormat="1" ht="14.5" x14ac:dyDescent="0.35">
      <c r="A39" s="101" t="s">
        <v>22</v>
      </c>
      <c r="B39" s="101" t="s">
        <v>13</v>
      </c>
      <c r="C39" s="101">
        <v>1999</v>
      </c>
      <c r="G39" s="101">
        <v>40.441558000000001</v>
      </c>
      <c r="H39" s="101">
        <v>-74.098799</v>
      </c>
      <c r="I39" s="101" t="s">
        <v>1</v>
      </c>
      <c r="J39" s="101" t="s">
        <v>14</v>
      </c>
      <c r="M39" s="101">
        <v>40000</v>
      </c>
      <c r="N39" s="101">
        <f>M39*0.764555</f>
        <v>30582.2</v>
      </c>
      <c r="S39" s="101">
        <v>0.69899999999999995</v>
      </c>
    </row>
    <row r="40" spans="1:21" s="152" customFormat="1" ht="14.5" x14ac:dyDescent="0.35">
      <c r="A40" s="152" t="s">
        <v>131</v>
      </c>
      <c r="C40" s="152">
        <f>MAX(C37:C39)-MIN(C37:C39)</f>
        <v>8</v>
      </c>
      <c r="D40" s="152">
        <f>COUNT(C37:C39)</f>
        <v>3</v>
      </c>
      <c r="E40" s="152">
        <f>MIN(C37:C39)</f>
        <v>1994</v>
      </c>
      <c r="F40" s="152">
        <f>MAX(C37:C39)</f>
        <v>2002</v>
      </c>
      <c r="I40" s="152" t="e">
        <f>INDEX(I46:I54,MODE(MATCH(I46:I54,I46:I54,0)))</f>
        <v>#N/A</v>
      </c>
      <c r="K40" s="152" t="e">
        <f>MEDIAN(K37:K39)</f>
        <v>#NUM!</v>
      </c>
      <c r="L40" s="152" t="e">
        <f>MEDIAN(L37:L39)</f>
        <v>#NUM!</v>
      </c>
      <c r="M40" s="152">
        <f>MEDIAN(M37:M39)</f>
        <v>24000</v>
      </c>
      <c r="N40" s="152">
        <f>MEDIAN(N37:N39)</f>
        <v>18349.32</v>
      </c>
      <c r="P40" s="152" t="e">
        <f>N40/L40</f>
        <v>#NUM!</v>
      </c>
    </row>
    <row r="41" spans="1:21" s="101" customFormat="1" ht="14.5" x14ac:dyDescent="0.35">
      <c r="A41" s="101" t="s">
        <v>41</v>
      </c>
      <c r="B41" s="101" t="s">
        <v>13</v>
      </c>
      <c r="C41" s="101">
        <v>1962</v>
      </c>
      <c r="G41" s="101">
        <v>40.445379000000003</v>
      </c>
      <c r="H41" s="101">
        <v>-74.113133000000005</v>
      </c>
      <c r="I41" s="101" t="s">
        <v>15</v>
      </c>
      <c r="J41" s="101" t="s">
        <v>17</v>
      </c>
      <c r="K41" s="101">
        <v>1400</v>
      </c>
      <c r="L41" s="101">
        <f>K41*0.3048</f>
        <v>426.72</v>
      </c>
      <c r="M41" s="101">
        <v>35000</v>
      </c>
      <c r="N41" s="101">
        <f t="shared" si="2"/>
        <v>26759.424999999999</v>
      </c>
      <c r="R41" s="101">
        <v>46400</v>
      </c>
      <c r="S41" s="101">
        <v>0.127</v>
      </c>
      <c r="T41" s="101">
        <f>+R41/S41</f>
        <v>365354.33070866141</v>
      </c>
    </row>
    <row r="42" spans="1:21" s="101" customFormat="1" ht="14.5" x14ac:dyDescent="0.35">
      <c r="A42" s="101" t="s">
        <v>41</v>
      </c>
      <c r="B42" s="101" t="s">
        <v>13</v>
      </c>
      <c r="C42" s="101">
        <v>1967</v>
      </c>
      <c r="G42" s="101">
        <v>40.445379000000003</v>
      </c>
      <c r="H42" s="101">
        <v>-74.113133000000005</v>
      </c>
      <c r="I42" s="101" t="s">
        <v>14</v>
      </c>
      <c r="J42" s="101" t="s">
        <v>14</v>
      </c>
      <c r="M42" s="101">
        <v>70000</v>
      </c>
      <c r="N42" s="101">
        <f t="shared" si="2"/>
        <v>53518.85</v>
      </c>
      <c r="S42" s="101">
        <v>0.14000000000000001</v>
      </c>
    </row>
    <row r="43" spans="1:21" s="101" customFormat="1" ht="14.5" x14ac:dyDescent="0.35">
      <c r="A43" s="101" t="s">
        <v>41</v>
      </c>
      <c r="B43" s="101" t="s">
        <v>13</v>
      </c>
      <c r="C43" s="101">
        <v>1967</v>
      </c>
      <c r="G43" s="101">
        <v>40.445379000000003</v>
      </c>
      <c r="H43" s="101">
        <v>-74.113133000000005</v>
      </c>
      <c r="I43" s="101" t="s">
        <v>14</v>
      </c>
      <c r="J43" s="101" t="s">
        <v>14</v>
      </c>
      <c r="M43" s="101">
        <v>450000</v>
      </c>
      <c r="N43" s="101">
        <f t="shared" si="2"/>
        <v>344049.75</v>
      </c>
      <c r="S43" s="101">
        <v>0.14000000000000001</v>
      </c>
    </row>
    <row r="44" spans="1:21" s="152" customFormat="1" ht="14.5" x14ac:dyDescent="0.35">
      <c r="A44" s="152" t="s">
        <v>157</v>
      </c>
      <c r="D44" s="152">
        <f>COUNT(C41:C43)</f>
        <v>3</v>
      </c>
    </row>
    <row r="45" spans="1:21" s="101" customFormat="1" ht="14.5" x14ac:dyDescent="0.35">
      <c r="A45" s="101" t="s">
        <v>29</v>
      </c>
      <c r="B45" s="101" t="s">
        <v>13</v>
      </c>
      <c r="C45" s="101">
        <v>1954</v>
      </c>
      <c r="G45" s="101">
        <v>40.436886999999999</v>
      </c>
      <c r="H45" s="101">
        <v>-74.083668000000003</v>
      </c>
      <c r="I45" s="101" t="s">
        <v>1</v>
      </c>
      <c r="J45" s="101" t="s">
        <v>14</v>
      </c>
      <c r="M45" s="101">
        <v>195000</v>
      </c>
      <c r="N45" s="101">
        <f t="shared" ref="N45:N53" si="3">M45*0.764555</f>
        <v>149088.22500000001</v>
      </c>
      <c r="S45" s="101">
        <v>0.113</v>
      </c>
    </row>
    <row r="46" spans="1:21" s="101" customFormat="1" ht="14.5" x14ac:dyDescent="0.35">
      <c r="A46" s="101" t="s">
        <v>29</v>
      </c>
      <c r="B46" s="101" t="s">
        <v>13</v>
      </c>
      <c r="C46" s="101">
        <v>1972</v>
      </c>
      <c r="G46" s="101">
        <v>40.436886999999999</v>
      </c>
      <c r="H46" s="101">
        <v>-74.083668000000003</v>
      </c>
      <c r="I46" s="101" t="s">
        <v>15</v>
      </c>
      <c r="J46" s="101" t="s">
        <v>14</v>
      </c>
      <c r="M46" s="101">
        <v>700000</v>
      </c>
      <c r="N46" s="101">
        <f t="shared" si="3"/>
        <v>535188.5</v>
      </c>
      <c r="S46" s="101">
        <v>0.17499999999999999</v>
      </c>
    </row>
    <row r="47" spans="1:21" s="152" customFormat="1" ht="14.5" x14ac:dyDescent="0.35">
      <c r="A47" s="152" t="s">
        <v>156</v>
      </c>
      <c r="D47" s="152">
        <f>COUNT(C45:C46)</f>
        <v>2</v>
      </c>
    </row>
    <row r="48" spans="1:21" s="101" customFormat="1" ht="14.5" x14ac:dyDescent="0.35">
      <c r="A48" s="101" t="s">
        <v>77</v>
      </c>
      <c r="B48" s="101" t="s">
        <v>13</v>
      </c>
      <c r="C48" s="101">
        <v>2015</v>
      </c>
      <c r="G48" s="101">
        <v>40.440385999999997</v>
      </c>
      <c r="H48" s="101">
        <v>-74.095040999999995</v>
      </c>
      <c r="I48" s="101" t="s">
        <v>15</v>
      </c>
      <c r="J48" s="101" t="s">
        <v>17</v>
      </c>
      <c r="K48" s="101">
        <v>3500</v>
      </c>
      <c r="L48" s="101">
        <f>K48*0.3048</f>
        <v>1066.8</v>
      </c>
      <c r="M48" s="101">
        <v>391000</v>
      </c>
      <c r="N48" s="101">
        <f t="shared" si="3"/>
        <v>298941.005</v>
      </c>
      <c r="R48" s="101">
        <v>17731250</v>
      </c>
      <c r="S48" s="101">
        <v>0.995</v>
      </c>
      <c r="T48" s="101">
        <f>+R48/S48</f>
        <v>17820351.758793969</v>
      </c>
    </row>
    <row r="49" spans="1:42" s="101" customFormat="1" ht="14.5" x14ac:dyDescent="0.35">
      <c r="A49" s="101" t="s">
        <v>76</v>
      </c>
      <c r="B49" s="101" t="s">
        <v>13</v>
      </c>
      <c r="C49" s="101">
        <v>1967</v>
      </c>
      <c r="G49" s="101">
        <v>40.439500000000002</v>
      </c>
      <c r="H49" s="101">
        <v>-74.093714000000006</v>
      </c>
      <c r="I49" s="101" t="s">
        <v>14</v>
      </c>
      <c r="J49" s="101" t="s">
        <v>14</v>
      </c>
      <c r="M49" s="101">
        <v>50000</v>
      </c>
      <c r="N49" s="101">
        <f t="shared" si="3"/>
        <v>38227.75</v>
      </c>
      <c r="S49" s="101">
        <v>0.14000000000000001</v>
      </c>
    </row>
    <row r="50" spans="1:42" s="101" customFormat="1" ht="14.5" x14ac:dyDescent="0.35">
      <c r="A50" s="101" t="s">
        <v>76</v>
      </c>
      <c r="B50" s="101" t="s">
        <v>13</v>
      </c>
      <c r="C50" s="101">
        <v>1945</v>
      </c>
      <c r="G50" s="101">
        <v>40.439500000000002</v>
      </c>
      <c r="H50" s="101">
        <v>-74.093714000000006</v>
      </c>
      <c r="I50" s="101" t="s">
        <v>1</v>
      </c>
      <c r="J50" s="101" t="s">
        <v>14</v>
      </c>
      <c r="M50" s="101">
        <v>54000</v>
      </c>
      <c r="N50" s="101">
        <f t="shared" si="3"/>
        <v>41285.97</v>
      </c>
      <c r="S50" s="101">
        <v>7.5999999999999998E-2</v>
      </c>
    </row>
    <row r="51" spans="1:42" s="101" customFormat="1" ht="14.5" x14ac:dyDescent="0.35">
      <c r="A51" s="101" t="s">
        <v>76</v>
      </c>
      <c r="B51" s="101" t="s">
        <v>13</v>
      </c>
      <c r="C51" s="101">
        <v>2012</v>
      </c>
      <c r="G51" s="101">
        <v>40.439500000000002</v>
      </c>
      <c r="H51" s="101">
        <v>-74.093714000000006</v>
      </c>
      <c r="I51" s="101" t="s">
        <v>15</v>
      </c>
      <c r="J51" s="101" t="s">
        <v>16</v>
      </c>
      <c r="M51" s="101">
        <v>800000</v>
      </c>
      <c r="N51" s="101">
        <f t="shared" si="3"/>
        <v>611644</v>
      </c>
      <c r="R51" s="101">
        <v>12900000</v>
      </c>
      <c r="S51" s="101">
        <v>0.96399999999999997</v>
      </c>
      <c r="T51" s="101">
        <f>+R51/S51</f>
        <v>13381742.738589212</v>
      </c>
    </row>
    <row r="52" spans="1:42" s="152" customFormat="1" ht="14.5" x14ac:dyDescent="0.35">
      <c r="A52" s="152" t="s">
        <v>155</v>
      </c>
      <c r="D52" s="152">
        <f>COUNT(C48:C51)</f>
        <v>4</v>
      </c>
    </row>
    <row r="53" spans="1:42" s="152" customFormat="1" ht="14.5" x14ac:dyDescent="0.35">
      <c r="A53" s="152" t="s">
        <v>154</v>
      </c>
      <c r="B53" s="152" t="s">
        <v>13</v>
      </c>
      <c r="C53" s="152">
        <v>1957</v>
      </c>
      <c r="D53" s="152">
        <v>1</v>
      </c>
      <c r="G53" s="152">
        <v>40.422693000000002</v>
      </c>
      <c r="H53" s="152">
        <v>-74.058154999999999</v>
      </c>
      <c r="I53" s="152" t="s">
        <v>15</v>
      </c>
      <c r="J53" s="152" t="s">
        <v>14</v>
      </c>
      <c r="M53" s="152">
        <v>100000</v>
      </c>
      <c r="N53" s="152">
        <f t="shared" si="3"/>
        <v>76455.5</v>
      </c>
      <c r="S53" s="152">
        <v>0.11799999999999999</v>
      </c>
    </row>
    <row r="54" spans="1:42" s="152" customFormat="1" ht="14.5" x14ac:dyDescent="0.35">
      <c r="A54" s="152" t="s">
        <v>130</v>
      </c>
      <c r="C54" s="152">
        <f>MAX(C41:C53)-MIN(C41:C53)</f>
        <v>70</v>
      </c>
      <c r="D54" s="152">
        <f>COUNT(C41:C53)</f>
        <v>10</v>
      </c>
      <c r="E54" s="152">
        <f>MIN(C41:C53)</f>
        <v>1945</v>
      </c>
      <c r="F54" s="152">
        <f>MAX(C41:C53)</f>
        <v>2015</v>
      </c>
      <c r="G54" s="152">
        <f>AVERAGE(G41:G53)</f>
        <v>40.439149</v>
      </c>
      <c r="H54" s="152">
        <f>AVERAGE(H41:H53)</f>
        <v>-74.09410729999999</v>
      </c>
      <c r="I54" s="152" t="e">
        <f>INDEX(I41:I53,MODE(MATCH(I41:I53,I41:I53,0)))</f>
        <v>#N/A</v>
      </c>
      <c r="K54" s="152">
        <f>MEDIAN(K41:K53)</f>
        <v>2450</v>
      </c>
      <c r="L54" s="152">
        <f>MEDIAN(L41:L53)</f>
        <v>746.76</v>
      </c>
      <c r="M54" s="152">
        <f>MEDIAN(M41:M53)</f>
        <v>147500</v>
      </c>
      <c r="N54" s="152">
        <f>MEDIAN(N41:N53)</f>
        <v>112771.8625</v>
      </c>
      <c r="P54" s="152">
        <f>N54/L54</f>
        <v>151.01486756119772</v>
      </c>
      <c r="R54" s="152">
        <f>MEDIAN(R41:R53)</f>
        <v>12900000</v>
      </c>
      <c r="S54" s="152">
        <f>MEDIAN(S41:S53)</f>
        <v>0.14000000000000001</v>
      </c>
      <c r="T54" s="152">
        <f>MEDIAN(T41:T53)</f>
        <v>13381742.738589212</v>
      </c>
      <c r="U54" s="152">
        <f>T54/N54</f>
        <v>118.66207085645333</v>
      </c>
    </row>
    <row r="55" spans="1:42" s="101" customFormat="1" ht="14.5" x14ac:dyDescent="0.35">
      <c r="A55" s="101" t="s">
        <v>43</v>
      </c>
      <c r="B55" s="101" t="s">
        <v>13</v>
      </c>
      <c r="C55" s="101">
        <v>1966</v>
      </c>
      <c r="G55" s="101">
        <v>40.408856</v>
      </c>
      <c r="H55" s="101">
        <v>-73.997046999999995</v>
      </c>
      <c r="I55" s="101" t="s">
        <v>15</v>
      </c>
      <c r="J55" s="101" t="s">
        <v>14</v>
      </c>
      <c r="M55" s="101">
        <v>620000</v>
      </c>
      <c r="N55" s="101">
        <f t="shared" si="2"/>
        <v>474024.1</v>
      </c>
      <c r="R55" s="101">
        <v>0</v>
      </c>
      <c r="S55" s="101">
        <v>0.13600000000000001</v>
      </c>
      <c r="T55" s="101">
        <f>+R55/S55</f>
        <v>0</v>
      </c>
    </row>
    <row r="56" spans="1:42" s="101" customFormat="1" ht="14.5" x14ac:dyDescent="0.35">
      <c r="A56" s="101" t="s">
        <v>42</v>
      </c>
      <c r="B56" s="101" t="s">
        <v>13</v>
      </c>
      <c r="C56" s="101">
        <v>1968</v>
      </c>
      <c r="G56" s="101">
        <v>40.408856</v>
      </c>
      <c r="H56" s="101">
        <v>-73.997046999999995</v>
      </c>
      <c r="I56" s="101" t="s">
        <v>14</v>
      </c>
      <c r="J56" s="101" t="s">
        <v>14</v>
      </c>
      <c r="M56" s="101">
        <v>900000</v>
      </c>
      <c r="N56" s="101">
        <f t="shared" si="2"/>
        <v>688099.5</v>
      </c>
      <c r="R56" s="101">
        <v>0</v>
      </c>
      <c r="S56" s="101">
        <v>0.14599999999999999</v>
      </c>
      <c r="T56" s="101">
        <f>+R56/S56</f>
        <v>0</v>
      </c>
    </row>
    <row r="57" spans="1:42" s="152" customFormat="1" ht="14.5" x14ac:dyDescent="0.35">
      <c r="A57" s="152" t="s">
        <v>141</v>
      </c>
      <c r="D57" s="152">
        <f>COUNT(C55:C56)</f>
        <v>2</v>
      </c>
    </row>
    <row r="58" spans="1:42" x14ac:dyDescent="0.25">
      <c r="A58" s="74" t="s">
        <v>84</v>
      </c>
      <c r="B58" s="75" t="s">
        <v>13</v>
      </c>
      <c r="C58" s="75">
        <v>1996</v>
      </c>
      <c r="D58" s="75"/>
      <c r="E58" s="75"/>
      <c r="F58" s="75"/>
      <c r="G58" s="77">
        <v>40.390847999999998</v>
      </c>
      <c r="H58" s="77">
        <v>-73.975289000000004</v>
      </c>
      <c r="I58" s="84" t="s">
        <v>15</v>
      </c>
      <c r="J58" s="84" t="s">
        <v>16</v>
      </c>
      <c r="K58" s="89">
        <v>12672</v>
      </c>
      <c r="L58" s="12">
        <f>K58*0.3048</f>
        <v>3862.4256</v>
      </c>
      <c r="M58" s="89">
        <v>3800000</v>
      </c>
      <c r="N58" s="12">
        <f t="shared" ref="N58:N72" si="4">M58*0.764555</f>
        <v>2905309</v>
      </c>
      <c r="O58" s="12"/>
      <c r="P58" s="12">
        <f t="shared" ref="P58:P59" si="5">N58/L58</f>
        <v>752.1980488116069</v>
      </c>
      <c r="Q58" s="184">
        <f t="shared" ref="Q58:Q59" si="6">P58/10</f>
        <v>75.219804881160684</v>
      </c>
      <c r="R58" s="82">
        <v>24307692</v>
      </c>
      <c r="S58" s="81">
        <v>0.65800000000000003</v>
      </c>
      <c r="T58" s="82">
        <f>+R58/S58</f>
        <v>36941781.155015193</v>
      </c>
      <c r="U58">
        <f>T58/N58</f>
        <v>12.715267517160891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x14ac:dyDescent="0.25">
      <c r="A59" s="2" t="s">
        <v>87</v>
      </c>
      <c r="B59" s="3" t="s">
        <v>13</v>
      </c>
      <c r="C59" s="3">
        <v>1963</v>
      </c>
      <c r="D59" s="3"/>
      <c r="E59" s="3"/>
      <c r="F59" s="3"/>
      <c r="G59" s="4">
        <v>40.349684000000003</v>
      </c>
      <c r="H59" s="4">
        <v>-73.973408000000006</v>
      </c>
      <c r="I59" s="14" t="s">
        <v>15</v>
      </c>
      <c r="J59" s="18" t="s">
        <v>17</v>
      </c>
      <c r="K59" s="7">
        <v>26928</v>
      </c>
      <c r="L59" s="12">
        <f>K59*0.3048</f>
        <v>8207.6544000000013</v>
      </c>
      <c r="M59" s="7">
        <v>1433000</v>
      </c>
      <c r="N59" s="12">
        <f t="shared" si="4"/>
        <v>1095607.3149999999</v>
      </c>
      <c r="O59" s="12"/>
      <c r="P59" s="12">
        <f t="shared" si="5"/>
        <v>133.48604383244984</v>
      </c>
      <c r="Q59" s="184">
        <f t="shared" si="6"/>
        <v>13.348604383244984</v>
      </c>
      <c r="R59" s="8">
        <v>1418400</v>
      </c>
      <c r="S59" s="9">
        <v>0.129</v>
      </c>
      <c r="T59" s="8">
        <f>+R59/S59</f>
        <v>10995348.837209303</v>
      </c>
      <c r="U59" s="133">
        <f>T59/N59</f>
        <v>10.035848325099311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42" x14ac:dyDescent="0.25">
      <c r="A60" s="2" t="s">
        <v>86</v>
      </c>
      <c r="B60" s="3" t="s">
        <v>13</v>
      </c>
      <c r="C60" s="3">
        <v>1966</v>
      </c>
      <c r="D60" s="3"/>
      <c r="E60" s="3"/>
      <c r="F60" s="3"/>
      <c r="G60" s="4">
        <v>40.349684000000003</v>
      </c>
      <c r="H60" s="4">
        <v>-73.973408000000006</v>
      </c>
      <c r="I60" s="5" t="s">
        <v>14</v>
      </c>
      <c r="J60" s="5" t="s">
        <v>14</v>
      </c>
      <c r="K60" s="6"/>
      <c r="L60" s="12"/>
      <c r="M60" s="7">
        <v>425000</v>
      </c>
      <c r="N60" s="12">
        <f t="shared" si="4"/>
        <v>324935.875</v>
      </c>
      <c r="O60" s="12"/>
      <c r="P60" s="12"/>
      <c r="Q60" s="12"/>
      <c r="R60" s="13"/>
      <c r="S60" s="9">
        <v>0.13600000000000001</v>
      </c>
      <c r="T60" s="8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 spans="1:42" x14ac:dyDescent="0.25">
      <c r="A61" s="2" t="s">
        <v>86</v>
      </c>
      <c r="B61" s="3" t="s">
        <v>13</v>
      </c>
      <c r="C61" s="11">
        <v>1983</v>
      </c>
      <c r="D61" s="11"/>
      <c r="E61" s="11"/>
      <c r="F61" s="11"/>
      <c r="G61" s="4">
        <v>40.349684000000003</v>
      </c>
      <c r="H61" s="4">
        <v>-73.973408000000006</v>
      </c>
      <c r="I61" s="5" t="s">
        <v>14</v>
      </c>
      <c r="J61" s="5" t="s">
        <v>14</v>
      </c>
      <c r="K61" s="6"/>
      <c r="L61" s="12"/>
      <c r="M61" s="12">
        <v>1433000</v>
      </c>
      <c r="N61" s="12">
        <f t="shared" si="4"/>
        <v>1095607.3149999999</v>
      </c>
      <c r="O61" s="12"/>
      <c r="P61" s="12"/>
      <c r="Q61" s="12"/>
      <c r="R61" s="13"/>
      <c r="S61" s="9">
        <v>0.41799999999999998</v>
      </c>
      <c r="T61" s="8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1:42" s="133" customFormat="1" x14ac:dyDescent="0.25">
      <c r="A62" s="2" t="s">
        <v>86</v>
      </c>
      <c r="B62" s="3" t="s">
        <v>13</v>
      </c>
      <c r="C62" s="139">
        <v>2015</v>
      </c>
      <c r="G62" s="4"/>
      <c r="H62" s="4"/>
      <c r="I62" s="5"/>
      <c r="J62" s="5"/>
      <c r="K62" s="140">
        <v>80783</v>
      </c>
      <c r="L62" s="12">
        <f>K62*0.3048</f>
        <v>24622.6584</v>
      </c>
      <c r="M62" s="140">
        <v>1370000</v>
      </c>
      <c r="N62" s="12">
        <f t="shared" si="4"/>
        <v>1047440.35</v>
      </c>
      <c r="O62" s="12"/>
      <c r="P62" s="195">
        <f>AVERAGE(N62:N63)/AVERAGE(L62:L63)</f>
        <v>67.846154052967734</v>
      </c>
      <c r="Q62" s="196">
        <f>P62/10</f>
        <v>6.7846154052967735</v>
      </c>
      <c r="R62" s="141">
        <v>38283230</v>
      </c>
      <c r="S62" s="133">
        <v>0.995</v>
      </c>
      <c r="T62" s="8">
        <f t="shared" ref="T62:T69" si="7">+R62/S62</f>
        <v>38475608.040201008</v>
      </c>
      <c r="U62" s="133">
        <f t="shared" ref="U62:U69" si="8">T62/N62</f>
        <v>36.732982494135356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 spans="1:42" s="133" customFormat="1" x14ac:dyDescent="0.25">
      <c r="A63" s="2" t="s">
        <v>86</v>
      </c>
      <c r="B63" s="3" t="s">
        <v>13</v>
      </c>
      <c r="C63" s="139">
        <v>2015</v>
      </c>
      <c r="G63" s="4"/>
      <c r="H63" s="4"/>
      <c r="I63" s="5"/>
      <c r="J63" s="5"/>
      <c r="K63" s="140">
        <v>80783</v>
      </c>
      <c r="L63" s="12">
        <f>K63*0.3048</f>
        <v>24622.6584</v>
      </c>
      <c r="M63" s="140">
        <v>3000000</v>
      </c>
      <c r="N63" s="12">
        <f t="shared" si="4"/>
        <v>2293665</v>
      </c>
      <c r="O63" s="12"/>
      <c r="P63" s="195"/>
      <c r="Q63" s="196"/>
      <c r="R63" s="141">
        <v>87047210</v>
      </c>
      <c r="S63" s="133">
        <v>0.995</v>
      </c>
      <c r="T63" s="8">
        <f t="shared" si="7"/>
        <v>87484633.165829152</v>
      </c>
      <c r="U63" s="133">
        <f t="shared" si="8"/>
        <v>38.141852958400271</v>
      </c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1:42" s="133" customFormat="1" x14ac:dyDescent="0.25">
      <c r="A64" s="2" t="s">
        <v>86</v>
      </c>
      <c r="B64" s="3" t="s">
        <v>13</v>
      </c>
      <c r="C64" s="139">
        <v>2013</v>
      </c>
      <c r="G64" s="4"/>
      <c r="H64" s="4"/>
      <c r="I64" s="5"/>
      <c r="J64" s="5"/>
      <c r="K64" s="140">
        <v>4224</v>
      </c>
      <c r="L64" s="12">
        <f>K64*0.3048</f>
        <v>1287.4752000000001</v>
      </c>
      <c r="M64" s="140">
        <v>3300000</v>
      </c>
      <c r="N64" s="12">
        <f t="shared" si="4"/>
        <v>2523031.5</v>
      </c>
      <c r="O64" s="12"/>
      <c r="P64" s="12">
        <f>N64/L64</f>
        <v>1959.6738640091862</v>
      </c>
      <c r="Q64" s="178">
        <f>P64/10</f>
        <v>195.96738640091863</v>
      </c>
      <c r="R64" s="141">
        <v>40067500</v>
      </c>
      <c r="S64" s="81">
        <v>0.97799999999999998</v>
      </c>
      <c r="T64" s="8">
        <f t="shared" si="7"/>
        <v>40968813.905930474</v>
      </c>
      <c r="U64" s="133">
        <f t="shared" si="8"/>
        <v>16.237931990120011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spans="1:42" s="133" customFormat="1" x14ac:dyDescent="0.25">
      <c r="A65" s="2" t="s">
        <v>86</v>
      </c>
      <c r="B65" s="3" t="s">
        <v>13</v>
      </c>
      <c r="C65" s="139">
        <v>2011</v>
      </c>
      <c r="G65" s="4"/>
      <c r="H65" s="4"/>
      <c r="I65" s="5"/>
      <c r="J65" s="5"/>
      <c r="K65" s="139"/>
      <c r="L65" s="12"/>
      <c r="M65" s="140">
        <v>813323</v>
      </c>
      <c r="N65" s="12">
        <f t="shared" si="4"/>
        <v>621830.16626500001</v>
      </c>
      <c r="O65" s="12"/>
      <c r="P65" s="12">
        <f>N65/5630</f>
        <v>110.44940786234459</v>
      </c>
      <c r="Q65" s="178">
        <f>P65/10</f>
        <v>11.044940786234459</v>
      </c>
      <c r="R65" s="141">
        <v>16638307</v>
      </c>
      <c r="S65" s="20">
        <v>0.96399999999999997</v>
      </c>
      <c r="T65" s="8">
        <f t="shared" si="7"/>
        <v>17259654.564315353</v>
      </c>
      <c r="U65" s="133">
        <f t="shared" si="8"/>
        <v>27.756219464206492</v>
      </c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1:42" s="133" customFormat="1" x14ac:dyDescent="0.25">
      <c r="A66" s="2" t="s">
        <v>86</v>
      </c>
      <c r="B66" s="3" t="s">
        <v>13</v>
      </c>
      <c r="C66" s="139">
        <v>2009</v>
      </c>
      <c r="G66" s="4"/>
      <c r="H66" s="4"/>
      <c r="I66" s="5"/>
      <c r="J66" s="5"/>
      <c r="K66" s="140">
        <v>17423</v>
      </c>
      <c r="L66" s="12">
        <f>K66*0.3048</f>
        <v>5310.5304000000006</v>
      </c>
      <c r="M66" s="140">
        <v>959999</v>
      </c>
      <c r="N66" s="12">
        <f t="shared" si="4"/>
        <v>733972.03544499993</v>
      </c>
      <c r="O66" s="12"/>
      <c r="P66" s="12">
        <f>N66/L66</f>
        <v>138.21068333306215</v>
      </c>
      <c r="Q66" s="178">
        <f>P66/10</f>
        <v>13.821068333306215</v>
      </c>
      <c r="R66" s="141">
        <v>10989550</v>
      </c>
      <c r="S66" s="20">
        <v>0.90100000000000002</v>
      </c>
      <c r="T66" s="8">
        <f t="shared" si="7"/>
        <v>12197058.823529411</v>
      </c>
      <c r="U66" s="133">
        <f t="shared" si="8"/>
        <v>16.617879475659389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s="133" customFormat="1" x14ac:dyDescent="0.25">
      <c r="A67" s="2" t="s">
        <v>86</v>
      </c>
      <c r="B67" s="3" t="s">
        <v>13</v>
      </c>
      <c r="C67" s="139">
        <v>2002</v>
      </c>
      <c r="G67" s="4"/>
      <c r="H67" s="4"/>
      <c r="I67" s="5"/>
      <c r="J67" s="5"/>
      <c r="K67" s="140">
        <v>63360</v>
      </c>
      <c r="L67" s="12">
        <f>K67*0.3048</f>
        <v>19312.128000000001</v>
      </c>
      <c r="M67" s="140">
        <v>2492908</v>
      </c>
      <c r="N67" s="12">
        <f t="shared" si="4"/>
        <v>1905965.2759399998</v>
      </c>
      <c r="O67" s="12"/>
      <c r="P67" s="12">
        <f t="shared" ref="P67:P69" si="9">N67/L67</f>
        <v>98.692659656149743</v>
      </c>
      <c r="Q67" s="184">
        <f t="shared" ref="Q67:Q69" si="10">P67/10</f>
        <v>9.869265965614975</v>
      </c>
      <c r="R67" s="141">
        <v>13910479</v>
      </c>
      <c r="S67" s="81">
        <v>0.75800000000000001</v>
      </c>
      <c r="T67" s="8">
        <f t="shared" si="7"/>
        <v>18351555.408970974</v>
      </c>
      <c r="U67" s="133">
        <f t="shared" si="8"/>
        <v>9.6284836038894781</v>
      </c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s="133" customFormat="1" x14ac:dyDescent="0.25">
      <c r="A68" s="2" t="s">
        <v>86</v>
      </c>
      <c r="B68" s="3" t="s">
        <v>13</v>
      </c>
      <c r="C68" s="139">
        <v>1999</v>
      </c>
      <c r="G68" s="4"/>
      <c r="H68" s="4"/>
      <c r="I68" s="5"/>
      <c r="J68" s="5"/>
      <c r="K68" s="140">
        <v>17423</v>
      </c>
      <c r="L68" s="12">
        <f>K68*0.3048</f>
        <v>5310.5304000000006</v>
      </c>
      <c r="M68" s="140">
        <v>3800000</v>
      </c>
      <c r="N68" s="12">
        <f t="shared" si="4"/>
        <v>2905309</v>
      </c>
      <c r="O68" s="12"/>
      <c r="P68" s="12">
        <f t="shared" si="9"/>
        <v>547.08452473975103</v>
      </c>
      <c r="Q68" s="184">
        <f t="shared" si="10"/>
        <v>54.7084524739751</v>
      </c>
      <c r="R68" s="141">
        <v>28814290</v>
      </c>
      <c r="S68" s="81">
        <v>0.69899999999999995</v>
      </c>
      <c r="T68" s="8">
        <f t="shared" si="7"/>
        <v>41222160.228898428</v>
      </c>
      <c r="U68" s="133">
        <f t="shared" si="8"/>
        <v>14.188563154176864</v>
      </c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s="133" customFormat="1" x14ac:dyDescent="0.25">
      <c r="A69" s="2" t="s">
        <v>86</v>
      </c>
      <c r="B69" s="3" t="s">
        <v>13</v>
      </c>
      <c r="C69" s="139">
        <v>1995</v>
      </c>
      <c r="G69" s="4"/>
      <c r="H69" s="4"/>
      <c r="I69" s="5"/>
      <c r="J69" s="5"/>
      <c r="K69" s="140">
        <v>63360</v>
      </c>
      <c r="L69" s="12">
        <f>K69*0.3048</f>
        <v>19312.128000000001</v>
      </c>
      <c r="M69" s="140">
        <v>4898834</v>
      </c>
      <c r="N69" s="12">
        <f t="shared" si="4"/>
        <v>3745428.02887</v>
      </c>
      <c r="O69" s="12"/>
      <c r="P69" s="12">
        <f t="shared" si="9"/>
        <v>193.94175664483996</v>
      </c>
      <c r="Q69" s="184">
        <f t="shared" si="10"/>
        <v>19.394175664483996</v>
      </c>
      <c r="R69" s="141">
        <v>14795291</v>
      </c>
      <c r="S69" s="20">
        <v>0.64100000000000001</v>
      </c>
      <c r="T69" s="8">
        <f t="shared" si="7"/>
        <v>23081577.223088924</v>
      </c>
      <c r="U69" s="133">
        <f t="shared" si="8"/>
        <v>6.1626006547648604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1:42" s="133" customFormat="1" x14ac:dyDescent="0.25">
      <c r="A70" s="2" t="s">
        <v>86</v>
      </c>
      <c r="B70" s="3" t="s">
        <v>13</v>
      </c>
      <c r="C70" s="139">
        <v>1962</v>
      </c>
      <c r="D70" s="139"/>
      <c r="G70" s="4"/>
      <c r="H70" s="4"/>
      <c r="I70" s="5"/>
      <c r="J70" s="5"/>
      <c r="K70" s="6"/>
      <c r="L70" s="12"/>
      <c r="M70" s="140">
        <v>25000</v>
      </c>
      <c r="N70" s="12">
        <f t="shared" si="4"/>
        <v>19113.875</v>
      </c>
      <c r="O70" s="12"/>
      <c r="P70" s="12"/>
      <c r="Q70" s="12"/>
      <c r="R70" s="139"/>
      <c r="S70" s="9">
        <v>0.127</v>
      </c>
      <c r="T70" s="8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1:42" x14ac:dyDescent="0.25">
      <c r="A71" s="74" t="s">
        <v>85</v>
      </c>
      <c r="B71" s="75" t="s">
        <v>13</v>
      </c>
      <c r="C71" s="76">
        <v>2002</v>
      </c>
      <c r="D71" s="76"/>
      <c r="E71" s="76"/>
      <c r="F71" s="76"/>
      <c r="G71" s="77">
        <v>40.346151999999996</v>
      </c>
      <c r="H71" s="77">
        <v>-73.973207000000002</v>
      </c>
      <c r="I71" s="78" t="s">
        <v>15</v>
      </c>
      <c r="J71" s="78" t="s">
        <v>16</v>
      </c>
      <c r="K71" s="140">
        <v>30094</v>
      </c>
      <c r="L71" s="12">
        <f>K71*0.3048</f>
        <v>9172.6512000000002</v>
      </c>
      <c r="M71" s="79">
        <v>2100000</v>
      </c>
      <c r="N71" s="12">
        <f t="shared" si="4"/>
        <v>1605565.5</v>
      </c>
      <c r="O71" s="12"/>
      <c r="P71" s="12">
        <f>N71/L71</f>
        <v>175.03832479752418</v>
      </c>
      <c r="Q71" s="184">
        <f>P71/10</f>
        <v>17.503832479752418</v>
      </c>
      <c r="R71" s="80"/>
      <c r="S71" s="81">
        <v>0.75800000000000001</v>
      </c>
      <c r="T71" s="82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1:42" x14ac:dyDescent="0.25">
      <c r="A72" s="57" t="s">
        <v>85</v>
      </c>
      <c r="B72" s="75" t="s">
        <v>13</v>
      </c>
      <c r="C72" s="83">
        <v>2013</v>
      </c>
      <c r="D72" s="83"/>
      <c r="E72" s="83"/>
      <c r="F72" s="83"/>
      <c r="G72" s="77">
        <v>40.346151999999996</v>
      </c>
      <c r="H72" s="77">
        <v>-73.973207000000002</v>
      </c>
      <c r="I72" s="84" t="s">
        <v>15</v>
      </c>
      <c r="J72" s="77" t="s">
        <v>17</v>
      </c>
      <c r="K72" s="140">
        <v>30094</v>
      </c>
      <c r="L72" s="12">
        <f>K72*0.3048</f>
        <v>9172.6512000000002</v>
      </c>
      <c r="M72" s="140">
        <v>2175000</v>
      </c>
      <c r="N72" s="12">
        <f t="shared" si="4"/>
        <v>1662907.125</v>
      </c>
      <c r="O72" s="12"/>
      <c r="P72" s="12">
        <f>N72/L72</f>
        <v>181.28969354029292</v>
      </c>
      <c r="Q72" s="178">
        <f>P72/10</f>
        <v>18.128969354029291</v>
      </c>
      <c r="R72" s="86">
        <v>25590800</v>
      </c>
      <c r="S72" s="81">
        <v>0.97799999999999998</v>
      </c>
      <c r="T72" s="82">
        <f>+R72/S72</f>
        <v>26166462.167689163</v>
      </c>
      <c r="U72" s="133">
        <f>T72/N72</f>
        <v>15.735371972556292</v>
      </c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1:42" s="112" customFormat="1" ht="14.5" x14ac:dyDescent="0.35">
      <c r="A73" s="113" t="s">
        <v>159</v>
      </c>
      <c r="B73" s="104"/>
      <c r="C73" s="114"/>
      <c r="D73" s="114">
        <f>COUNT(C58:C72)</f>
        <v>15</v>
      </c>
      <c r="E73" s="114">
        <f>MIN(C58:C72)</f>
        <v>1962</v>
      </c>
      <c r="F73" s="114">
        <f>MAX(C58:C72)</f>
        <v>2015</v>
      </c>
      <c r="G73" s="105"/>
      <c r="H73" s="105"/>
      <c r="I73" s="106"/>
      <c r="J73" s="105"/>
      <c r="K73" s="107">
        <f>AVERAGE(K58:K72)</f>
        <v>38831.272727272728</v>
      </c>
      <c r="L73" s="107">
        <f>AVERAGE(L58:L72)</f>
        <v>11835.771927272726</v>
      </c>
      <c r="M73" s="107">
        <f>AVERAGE(M58:M72)</f>
        <v>2135070.9333333331</v>
      </c>
      <c r="N73" s="107">
        <f>AVERAGE(N58,N60:N70,(N59/L59)*5630,(N71/L71)*5630,(N72/L72)*5630)</f>
        <v>1525284.0394359068</v>
      </c>
      <c r="O73" s="107"/>
      <c r="P73" s="109">
        <f>AVERAGE(P58:P72)</f>
        <v>396.17374193456141</v>
      </c>
      <c r="Q73" s="109">
        <f>AVERAGE(Q58:Q72)</f>
        <v>39.617374193456136</v>
      </c>
      <c r="R73" s="115"/>
      <c r="S73" s="111"/>
      <c r="T73" s="110">
        <f>AVERAGE(T58,T60:T70,(T59/L59)*5630,(T71/L71)*5630,(T72/L72)*5630)</f>
        <v>28298793.986743137</v>
      </c>
      <c r="U73" s="123">
        <f>AVERAGE(U58:U72)</f>
        <v>18.541181964560842</v>
      </c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</row>
    <row r="74" spans="1:42" x14ac:dyDescent="0.25">
      <c r="A74" s="74" t="s">
        <v>83</v>
      </c>
      <c r="B74" s="75" t="s">
        <v>13</v>
      </c>
      <c r="C74" s="75">
        <v>1995</v>
      </c>
      <c r="D74" s="75"/>
      <c r="E74" s="75"/>
      <c r="F74" s="75"/>
      <c r="G74" s="77">
        <v>40.335357000000002</v>
      </c>
      <c r="H74" s="77">
        <v>-73.973708000000002</v>
      </c>
      <c r="I74" s="84" t="s">
        <v>15</v>
      </c>
      <c r="J74" s="84" t="s">
        <v>16</v>
      </c>
      <c r="K74" s="89">
        <v>16368</v>
      </c>
      <c r="L74" s="12">
        <f>K74*0.3048</f>
        <v>4988.9664000000002</v>
      </c>
      <c r="M74" s="89">
        <v>4600000</v>
      </c>
      <c r="N74" s="12">
        <f>M74*0.764555</f>
        <v>3516953</v>
      </c>
      <c r="O74" s="12"/>
      <c r="P74" s="12">
        <f>N74/L74</f>
        <v>704.94621892021553</v>
      </c>
      <c r="Q74" s="184">
        <f>P74/10</f>
        <v>70.494621892021556</v>
      </c>
      <c r="R74" s="82">
        <v>32307692</v>
      </c>
      <c r="S74" s="81">
        <v>0.64100000000000001</v>
      </c>
      <c r="T74" s="82">
        <f>+R74/S74</f>
        <v>50402015.600624025</v>
      </c>
      <c r="U74" s="133">
        <f t="shared" ref="U74:U76" si="11">T74/N74</f>
        <v>14.331159842233895</v>
      </c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1:42" x14ac:dyDescent="0.25">
      <c r="A75" s="29" t="s">
        <v>68</v>
      </c>
      <c r="B75" s="34" t="s">
        <v>13</v>
      </c>
      <c r="C75" s="34">
        <v>2009</v>
      </c>
      <c r="D75" s="34"/>
      <c r="E75" s="34"/>
      <c r="F75" s="34"/>
      <c r="G75" s="22">
        <v>40.335357000000002</v>
      </c>
      <c r="H75" s="22">
        <v>-73.973708000000002</v>
      </c>
      <c r="I75" s="23" t="s">
        <v>15</v>
      </c>
      <c r="J75" s="18" t="s">
        <v>19</v>
      </c>
      <c r="K75" s="24">
        <v>1200</v>
      </c>
      <c r="L75" s="12">
        <f>K75*0.3048</f>
        <v>365.76</v>
      </c>
      <c r="M75" s="25">
        <v>60000</v>
      </c>
      <c r="N75" s="12">
        <f>M75*0.764555</f>
        <v>45873.299999999996</v>
      </c>
      <c r="O75" s="12"/>
      <c r="P75" s="12">
        <f>N75/L75</f>
        <v>125.41912729658792</v>
      </c>
      <c r="Q75" s="178">
        <f>P75/10</f>
        <v>12.541912729658792</v>
      </c>
      <c r="R75" s="26">
        <v>2550000</v>
      </c>
      <c r="S75" s="20">
        <v>0.90100000000000002</v>
      </c>
      <c r="T75" s="8">
        <f>+R75/S75</f>
        <v>2830188.6792452829</v>
      </c>
      <c r="U75" s="133">
        <f t="shared" si="11"/>
        <v>61.695772469939662</v>
      </c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x14ac:dyDescent="0.25">
      <c r="A76" s="74" t="s">
        <v>83</v>
      </c>
      <c r="B76" s="75" t="s">
        <v>13</v>
      </c>
      <c r="C76" s="75">
        <v>2012</v>
      </c>
      <c r="D76" s="75"/>
      <c r="E76" s="75"/>
      <c r="F76" s="75"/>
      <c r="G76" s="77">
        <v>40.335357000000002</v>
      </c>
      <c r="H76" s="77">
        <v>-73.973708000000002</v>
      </c>
      <c r="I76" s="84" t="s">
        <v>15</v>
      </c>
      <c r="J76" s="84" t="s">
        <v>16</v>
      </c>
      <c r="K76" s="89">
        <v>5000</v>
      </c>
      <c r="L76" s="12">
        <f>K76*0.3048</f>
        <v>1524</v>
      </c>
      <c r="M76" s="89">
        <v>800000</v>
      </c>
      <c r="N76" s="12">
        <f>M76*0.764555</f>
        <v>611644</v>
      </c>
      <c r="O76" s="12"/>
      <c r="P76" s="12">
        <f>(AVERAGE(N76,N72)/AVERAGE(L76,L72))</f>
        <v>212.64142229859752</v>
      </c>
      <c r="Q76" s="178">
        <f>P76/10</f>
        <v>21.26414222985975</v>
      </c>
      <c r="R76" s="82">
        <v>18461538</v>
      </c>
      <c r="S76" s="81">
        <v>0.96399999999999997</v>
      </c>
      <c r="T76" s="82">
        <f>+R76/S76</f>
        <v>19150973.029045645</v>
      </c>
      <c r="U76" s="133">
        <f t="shared" si="11"/>
        <v>31.310652976315708</v>
      </c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s="112" customFormat="1" ht="14.5" x14ac:dyDescent="0.35">
      <c r="A77" s="103" t="s">
        <v>158</v>
      </c>
      <c r="B77" s="104"/>
      <c r="C77" s="104"/>
      <c r="D77" s="104">
        <f>COUNT(C76,C75,C74,C72,C71,C59)</f>
        <v>6</v>
      </c>
      <c r="E77" s="104">
        <f>MIN(C76,C75,C74,C71,C72,C59)</f>
        <v>1963</v>
      </c>
      <c r="F77" s="104">
        <f>MAX(C76,C75,C74,C71,C72,C59)</f>
        <v>2013</v>
      </c>
      <c r="G77" s="105"/>
      <c r="H77" s="105"/>
      <c r="I77" s="106"/>
      <c r="J77" s="106"/>
      <c r="K77" s="107">
        <f>AVERAGE(K76,K75,K74,K72,K71,K59)</f>
        <v>18280.666666666668</v>
      </c>
      <c r="L77" s="107">
        <f>AVERAGE(L76,L75,L74,L72,L71,L59)</f>
        <v>5571.9471999999996</v>
      </c>
      <c r="M77" s="107">
        <f>AVERAGE(M76,M75,M74,M72,M71,M59)</f>
        <v>1861333.3333333333</v>
      </c>
      <c r="N77" s="107">
        <f>AVERAGE(N76,N75,N74,(N72/L72)*2610,(N71/L71)*2610,(N59/L59)*2610)</f>
        <v>908814.16704406601</v>
      </c>
      <c r="O77" s="107"/>
      <c r="P77" s="109">
        <f>AVERAGE(P74:P76,P71:P72,P59)</f>
        <v>255.47013844761136</v>
      </c>
      <c r="Q77" s="109">
        <f>AVERAGE(Q74:Q76,Q71:Q72,Q59)</f>
        <v>25.547013844761128</v>
      </c>
      <c r="R77" s="110"/>
      <c r="S77" s="111"/>
      <c r="T77" s="107">
        <f>AVERAGE(T76,T75,T74,(T72/L72)*2610,(T71/L71)*2610,(T59/L59)*2610)</f>
        <v>13887516.191468423</v>
      </c>
      <c r="U77" s="109">
        <f>AVERAGE(U74:U76,U71:U72,U59)</f>
        <v>26.621761117228978</v>
      </c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</row>
    <row r="78" spans="1:42" x14ac:dyDescent="0.25">
      <c r="A78" s="2" t="s">
        <v>62</v>
      </c>
      <c r="B78" s="3" t="s">
        <v>13</v>
      </c>
      <c r="C78" s="3">
        <v>1943</v>
      </c>
      <c r="D78" s="3"/>
      <c r="E78" s="3"/>
      <c r="F78" s="3"/>
      <c r="G78" s="22">
        <v>40.303224999999998</v>
      </c>
      <c r="H78" s="22">
        <v>-73.978014000000002</v>
      </c>
      <c r="I78" s="5" t="s">
        <v>14</v>
      </c>
      <c r="J78" s="5" t="s">
        <v>14</v>
      </c>
      <c r="K78" s="6">
        <v>1800</v>
      </c>
      <c r="L78" s="12">
        <f>K78*0.3048</f>
        <v>548.64</v>
      </c>
      <c r="M78" s="7">
        <v>15000</v>
      </c>
      <c r="N78" s="12">
        <f t="shared" ref="N78:N85" si="12">M78*0.764555</f>
        <v>11468.324999999999</v>
      </c>
      <c r="O78" s="12"/>
      <c r="P78" s="12">
        <f>N78/L78</f>
        <v>20.903187882764652</v>
      </c>
      <c r="Q78" s="184">
        <f>P78/10</f>
        <v>2.0903187882764653</v>
      </c>
      <c r="R78" s="13"/>
      <c r="S78" s="9">
        <v>7.2999999999999995E-2</v>
      </c>
      <c r="T78" s="8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x14ac:dyDescent="0.25">
      <c r="A79" s="2" t="s">
        <v>62</v>
      </c>
      <c r="B79" s="3" t="s">
        <v>13</v>
      </c>
      <c r="C79" s="3">
        <v>1945</v>
      </c>
      <c r="D79" s="3"/>
      <c r="E79" s="3"/>
      <c r="F79" s="3"/>
      <c r="G79" s="22">
        <v>40.303224999999998</v>
      </c>
      <c r="H79" s="22">
        <v>-73.978014000000002</v>
      </c>
      <c r="I79" s="5" t="s">
        <v>14</v>
      </c>
      <c r="J79" s="5" t="s">
        <v>14</v>
      </c>
      <c r="K79" s="6"/>
      <c r="L79" s="12"/>
      <c r="M79" s="7">
        <v>18732</v>
      </c>
      <c r="N79" s="12">
        <f t="shared" si="12"/>
        <v>14321.644259999999</v>
      </c>
      <c r="O79" s="12"/>
      <c r="P79" s="12"/>
      <c r="Q79" s="12"/>
      <c r="R79" s="13"/>
      <c r="S79" s="9">
        <v>7.5999999999999998E-2</v>
      </c>
      <c r="T79" s="8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x14ac:dyDescent="0.25">
      <c r="A80" s="2" t="s">
        <v>62</v>
      </c>
      <c r="B80" s="3" t="s">
        <v>13</v>
      </c>
      <c r="C80" s="3">
        <v>1948</v>
      </c>
      <c r="D80" s="3"/>
      <c r="E80" s="3"/>
      <c r="F80" s="3"/>
      <c r="G80" s="22">
        <v>40.303224999999998</v>
      </c>
      <c r="H80" s="22">
        <v>-73.978014000000002</v>
      </c>
      <c r="I80" s="14" t="s">
        <v>15</v>
      </c>
      <c r="J80" s="5" t="s">
        <v>14</v>
      </c>
      <c r="K80" s="6"/>
      <c r="L80" s="12"/>
      <c r="M80" s="7">
        <v>600000</v>
      </c>
      <c r="N80" s="12">
        <f t="shared" si="12"/>
        <v>458733</v>
      </c>
      <c r="O80" s="12"/>
      <c r="P80" s="12"/>
      <c r="Q80" s="12"/>
      <c r="R80" s="13"/>
      <c r="S80" s="9">
        <v>0.10100000000000001</v>
      </c>
      <c r="T80" s="8"/>
      <c r="Y80" s="46"/>
      <c r="Z80" s="46"/>
      <c r="AA80" s="46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x14ac:dyDescent="0.25">
      <c r="A81" s="2" t="s">
        <v>62</v>
      </c>
      <c r="B81" s="3" t="s">
        <v>13</v>
      </c>
      <c r="C81" s="3">
        <v>1962</v>
      </c>
      <c r="D81" s="3"/>
      <c r="E81" s="3"/>
      <c r="F81" s="3"/>
      <c r="G81" s="22">
        <v>40.303224999999998</v>
      </c>
      <c r="H81" s="22">
        <v>-73.978014000000002</v>
      </c>
      <c r="I81" s="5" t="s">
        <v>14</v>
      </c>
      <c r="J81" s="5" t="s">
        <v>14</v>
      </c>
      <c r="K81" s="6"/>
      <c r="L81" s="12"/>
      <c r="M81" s="7">
        <v>25000</v>
      </c>
      <c r="N81" s="12">
        <f t="shared" si="12"/>
        <v>19113.875</v>
      </c>
      <c r="O81" s="12"/>
      <c r="P81" s="12"/>
      <c r="Q81" s="12"/>
      <c r="R81" s="13"/>
      <c r="S81" s="9">
        <v>0.127</v>
      </c>
      <c r="T81" s="8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x14ac:dyDescent="0.25">
      <c r="A82" s="2" t="s">
        <v>62</v>
      </c>
      <c r="B82" s="3" t="s">
        <v>13</v>
      </c>
      <c r="C82" s="3">
        <v>1963</v>
      </c>
      <c r="D82" s="3"/>
      <c r="E82" s="3"/>
      <c r="F82" s="3"/>
      <c r="G82" s="22">
        <v>40.303224999999998</v>
      </c>
      <c r="H82" s="22">
        <v>-73.978014000000002</v>
      </c>
      <c r="I82" s="5" t="s">
        <v>14</v>
      </c>
      <c r="J82" s="5" t="s">
        <v>14</v>
      </c>
      <c r="K82" s="6"/>
      <c r="L82" s="12"/>
      <c r="M82" s="7">
        <v>27100</v>
      </c>
      <c r="N82" s="12">
        <f t="shared" si="12"/>
        <v>20719.440500000001</v>
      </c>
      <c r="O82" s="12"/>
      <c r="P82" s="12"/>
      <c r="Q82" s="12"/>
      <c r="R82" s="13"/>
      <c r="S82" s="9">
        <v>0.129</v>
      </c>
      <c r="T82" s="8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x14ac:dyDescent="0.25">
      <c r="A83" s="74" t="s">
        <v>82</v>
      </c>
      <c r="B83" s="75" t="s">
        <v>13</v>
      </c>
      <c r="C83" s="76">
        <v>1999</v>
      </c>
      <c r="D83" s="76"/>
      <c r="E83" s="76"/>
      <c r="F83" s="76"/>
      <c r="G83" s="77">
        <v>40.303224999999998</v>
      </c>
      <c r="H83" s="77">
        <v>-73.978014000000002</v>
      </c>
      <c r="I83" s="78" t="s">
        <v>15</v>
      </c>
      <c r="J83" s="78" t="s">
        <v>16</v>
      </c>
      <c r="K83" s="79">
        <v>17423</v>
      </c>
      <c r="L83" s="12">
        <f>K83*0.3048</f>
        <v>5310.5304000000006</v>
      </c>
      <c r="M83" s="79">
        <v>4300000</v>
      </c>
      <c r="N83" s="12">
        <f t="shared" si="12"/>
        <v>3287586.5</v>
      </c>
      <c r="O83" s="12"/>
      <c r="P83" s="12">
        <f>N83/L83</f>
        <v>619.06933062656037</v>
      </c>
      <c r="Q83" s="184">
        <f>P83/10</f>
        <v>61.906933062656037</v>
      </c>
      <c r="R83" s="86">
        <v>45454545</v>
      </c>
      <c r="S83" s="81">
        <v>0.69899999999999995</v>
      </c>
      <c r="T83" s="82">
        <f>+R83/S83</f>
        <v>65027961.373390563</v>
      </c>
      <c r="U83" s="133">
        <f t="shared" ref="U83:U85" si="13">T83/N83</f>
        <v>19.779848035448058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x14ac:dyDescent="0.25">
      <c r="A84" s="74" t="s">
        <v>82</v>
      </c>
      <c r="B84" s="75" t="s">
        <v>13</v>
      </c>
      <c r="C84" s="83">
        <v>2009</v>
      </c>
      <c r="D84" s="83"/>
      <c r="E84" s="83"/>
      <c r="F84" s="83"/>
      <c r="G84" s="77">
        <v>40.303224999999998</v>
      </c>
      <c r="H84" s="77">
        <v>-73.978014000000002</v>
      </c>
      <c r="I84" s="78" t="s">
        <v>15</v>
      </c>
      <c r="J84" s="78" t="s">
        <v>16</v>
      </c>
      <c r="K84" s="88">
        <v>3000</v>
      </c>
      <c r="L84" s="12">
        <f>K84*0.3048</f>
        <v>914.40000000000009</v>
      </c>
      <c r="M84" s="89">
        <v>700000</v>
      </c>
      <c r="N84" s="12">
        <f t="shared" si="12"/>
        <v>535188.5</v>
      </c>
      <c r="O84" s="12"/>
      <c r="P84" s="12">
        <f>N84/L84</f>
        <v>585.28926071741023</v>
      </c>
      <c r="Q84" s="178">
        <f>P84/10</f>
        <v>58.528926071741026</v>
      </c>
      <c r="R84" s="80">
        <v>18539000</v>
      </c>
      <c r="S84" s="81">
        <v>0.90100000000000002</v>
      </c>
      <c r="T84" s="82">
        <f>+R84/S84</f>
        <v>20576026.637069922</v>
      </c>
      <c r="U84" s="133">
        <f t="shared" si="13"/>
        <v>38.446316834292816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x14ac:dyDescent="0.25">
      <c r="A85" s="57" t="s">
        <v>82</v>
      </c>
      <c r="B85" s="75" t="s">
        <v>13</v>
      </c>
      <c r="C85" s="83">
        <v>2014</v>
      </c>
      <c r="D85" s="83"/>
      <c r="E85" s="83"/>
      <c r="F85" s="83"/>
      <c r="G85" s="77">
        <v>40.303224999999998</v>
      </c>
      <c r="H85" s="77">
        <v>-73.978014000000002</v>
      </c>
      <c r="I85" s="84" t="s">
        <v>15</v>
      </c>
      <c r="J85" s="77" t="s">
        <v>17</v>
      </c>
      <c r="K85" s="85"/>
      <c r="L85" s="12"/>
      <c r="M85" s="79">
        <v>3303000</v>
      </c>
      <c r="N85" s="12">
        <f t="shared" si="12"/>
        <v>2525325.165</v>
      </c>
      <c r="O85" s="12"/>
      <c r="P85" s="12">
        <f>N85/6950</f>
        <v>363.35613884892086</v>
      </c>
      <c r="Q85" s="178">
        <f>P85/10</f>
        <v>36.335613884892084</v>
      </c>
      <c r="R85" s="86">
        <v>40067500</v>
      </c>
      <c r="S85" s="81">
        <v>0.99399999999999999</v>
      </c>
      <c r="T85" s="82">
        <f>+R85/S85</f>
        <v>40309356.136820927</v>
      </c>
      <c r="U85" s="133">
        <f t="shared" si="13"/>
        <v>15.962045876504353</v>
      </c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s="112" customFormat="1" ht="14.5" x14ac:dyDescent="0.35">
      <c r="A86" s="113" t="s">
        <v>120</v>
      </c>
      <c r="B86" s="104"/>
      <c r="C86" s="114">
        <f>MAX(C78:C85)-MIN(C78:C85)</f>
        <v>71</v>
      </c>
      <c r="D86" s="114">
        <f>COUNT(C78:C85)</f>
        <v>8</v>
      </c>
      <c r="E86" s="114">
        <f>MIN(C78:C85)</f>
        <v>1943</v>
      </c>
      <c r="F86" s="114">
        <f>MAX(C78:C85)</f>
        <v>2014</v>
      </c>
      <c r="G86" s="105">
        <f>AVERAGE(G78:G85)</f>
        <v>40.303224999999998</v>
      </c>
      <c r="H86" s="105">
        <f>AVERAGE(H78:H85)</f>
        <v>-73.978014000000016</v>
      </c>
      <c r="I86" s="106" t="e">
        <f>INDEX(I76:I85,MODE(MATCH(I76:I85,I76:I85,0)))</f>
        <v>#N/A</v>
      </c>
      <c r="J86" s="105"/>
      <c r="K86" s="107">
        <f>AVERAGE(K78:K85)</f>
        <v>7407.666666666667</v>
      </c>
      <c r="L86" s="107">
        <f>AVERAGE(L78:L85)</f>
        <v>2257.8568</v>
      </c>
      <c r="M86" s="107">
        <f>AVERAGE(M78:M85)</f>
        <v>1123604</v>
      </c>
      <c r="N86" s="107">
        <f>AVERAGE(N78:N85)</f>
        <v>859057.05622000003</v>
      </c>
      <c r="O86" s="107"/>
      <c r="P86" s="108">
        <f>AVERAGE(P78:P85)</f>
        <v>397.154479518914</v>
      </c>
      <c r="Q86" s="108">
        <f>AVERAGE(Q78:Q85)</f>
        <v>39.715447951891406</v>
      </c>
      <c r="R86" s="115">
        <f>MEDIAN(R78:R85)</f>
        <v>40067500</v>
      </c>
      <c r="S86" s="115">
        <f>MEDIAN(S78:S85)</f>
        <v>0.128</v>
      </c>
      <c r="T86" s="107">
        <f>AVERAGE(T78:T85)</f>
        <v>41971114.715760469</v>
      </c>
      <c r="U86" s="108">
        <f>AVERAGE(U78:U85)</f>
        <v>24.729403582081741</v>
      </c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</row>
    <row r="87" spans="1:42" s="133" customFormat="1" x14ac:dyDescent="0.25">
      <c r="C87" s="161">
        <v>2016</v>
      </c>
      <c r="K87" s="133">
        <f>3.5*5280</f>
        <v>18480</v>
      </c>
      <c r="L87" s="12">
        <f>K87*0.3048</f>
        <v>5632.7040000000006</v>
      </c>
      <c r="M87" s="133">
        <v>1400000</v>
      </c>
      <c r="N87" s="12">
        <f>M87*0.764555</f>
        <v>1070377</v>
      </c>
      <c r="O87" s="12"/>
      <c r="R87" s="133">
        <v>38000000</v>
      </c>
      <c r="S87" s="175">
        <v>1</v>
      </c>
      <c r="T87" s="8">
        <f>+R87/S87</f>
        <v>38000000</v>
      </c>
      <c r="U87" s="133">
        <f t="shared" ref="U87:U88" si="14">T87/N87</f>
        <v>35.501510215559563</v>
      </c>
    </row>
    <row r="88" spans="1:42" s="133" customFormat="1" x14ac:dyDescent="0.25">
      <c r="C88" s="161">
        <v>2016</v>
      </c>
      <c r="K88" s="133">
        <v>7920</v>
      </c>
      <c r="L88" s="12">
        <f>K88*0.3048</f>
        <v>2414.0160000000001</v>
      </c>
      <c r="M88" s="133">
        <v>3000000</v>
      </c>
      <c r="N88" s="12">
        <f>M88*0.764555</f>
        <v>2293665</v>
      </c>
      <c r="O88" s="12"/>
      <c r="P88" s="133">
        <f>(AVERAGE(N87:N88))/(AVERAGE(L87:L88))</f>
        <v>418.06375765529305</v>
      </c>
      <c r="Q88" s="133">
        <f>P88/10</f>
        <v>41.806375765529303</v>
      </c>
      <c r="R88" s="133">
        <v>87006410</v>
      </c>
      <c r="S88" s="175">
        <v>1</v>
      </c>
      <c r="T88" s="8">
        <f>+R88/S88</f>
        <v>87006410</v>
      </c>
      <c r="U88" s="133">
        <f t="shared" si="14"/>
        <v>37.933355568489731</v>
      </c>
    </row>
    <row r="89" spans="1:42" s="112" customFormat="1" ht="14.5" x14ac:dyDescent="0.35">
      <c r="A89" s="113" t="s">
        <v>175</v>
      </c>
      <c r="B89" s="104"/>
      <c r="C89" s="114"/>
      <c r="D89" s="114">
        <f>COUNT(C87:C88)</f>
        <v>2</v>
      </c>
      <c r="E89" s="114">
        <f>MIN(C87:C88)</f>
        <v>2016</v>
      </c>
      <c r="F89" s="114">
        <f>MAX(C87:C88)</f>
        <v>2016</v>
      </c>
      <c r="G89" s="105"/>
      <c r="H89" s="105"/>
      <c r="I89" s="106"/>
      <c r="J89" s="105"/>
      <c r="K89" s="107">
        <f>AVERAGE(K87:K88)</f>
        <v>13200</v>
      </c>
      <c r="L89" s="107">
        <f>AVERAGE(L87:L88)</f>
        <v>4023.3600000000006</v>
      </c>
      <c r="M89" s="107">
        <f>AVERAGE(M87:M88)</f>
        <v>2200000</v>
      </c>
      <c r="N89" s="107">
        <f>AVERAGE(N87:N88)</f>
        <v>1682021</v>
      </c>
      <c r="O89" s="107"/>
      <c r="P89" s="108">
        <f>AVERAGE(P87:P88)</f>
        <v>418.06375765529305</v>
      </c>
      <c r="Q89" s="108">
        <f>AVERAGE(Q87:Q88)</f>
        <v>41.806375765529303</v>
      </c>
      <c r="R89" s="115"/>
      <c r="S89" s="115"/>
      <c r="T89" s="107">
        <f>AVERAGE(T87:T88)</f>
        <v>62503205</v>
      </c>
      <c r="U89" s="108">
        <f>AVERAGE(U87:U88)</f>
        <v>36.717432892024647</v>
      </c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</row>
    <row r="90" spans="1:42" x14ac:dyDescent="0.25">
      <c r="A90" s="57" t="s">
        <v>80</v>
      </c>
      <c r="B90" s="75" t="s">
        <v>13</v>
      </c>
      <c r="C90" s="83">
        <v>2014</v>
      </c>
      <c r="D90" s="83"/>
      <c r="E90" s="83"/>
      <c r="F90" s="83"/>
      <c r="G90" s="77">
        <v>40.210737000000002</v>
      </c>
      <c r="H90" s="77">
        <v>-74.002733000000006</v>
      </c>
      <c r="I90" s="84" t="s">
        <v>15</v>
      </c>
      <c r="J90" s="77" t="s">
        <v>17</v>
      </c>
      <c r="K90" s="85">
        <v>16157</v>
      </c>
      <c r="L90" s="12">
        <f>K90*0.3048</f>
        <v>4924.6536000000006</v>
      </c>
      <c r="M90" s="79">
        <v>1200000</v>
      </c>
      <c r="N90" s="12">
        <f t="shared" ref="N90:N94" si="15">M90*0.764555</f>
        <v>917466</v>
      </c>
      <c r="O90" s="12"/>
      <c r="P90" s="12">
        <f>N90/L90</f>
        <v>186.3006161489206</v>
      </c>
      <c r="Q90" s="178">
        <f>P90/10</f>
        <v>18.63006161489206</v>
      </c>
      <c r="R90" s="86">
        <v>18300000</v>
      </c>
      <c r="S90" s="81">
        <v>0.99399999999999999</v>
      </c>
      <c r="T90" s="82">
        <f t="shared" ref="T90:T91" si="16">+R90/S90</f>
        <v>18410462.776659958</v>
      </c>
      <c r="U90" s="133">
        <f t="shared" ref="U90:U91" si="17">T90/N90</f>
        <v>20.066643098120213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42" x14ac:dyDescent="0.25">
      <c r="A91" s="74" t="s">
        <v>79</v>
      </c>
      <c r="B91" s="75" t="s">
        <v>13</v>
      </c>
      <c r="C91" s="76">
        <v>2001</v>
      </c>
      <c r="D91" s="76"/>
      <c r="E91" s="76"/>
      <c r="F91" s="76"/>
      <c r="G91" s="77">
        <v>40.210737000000002</v>
      </c>
      <c r="H91" s="77">
        <v>-74.002733000000006</v>
      </c>
      <c r="I91" s="78" t="s">
        <v>15</v>
      </c>
      <c r="J91" s="78" t="s">
        <v>16</v>
      </c>
      <c r="K91" s="79">
        <v>16368</v>
      </c>
      <c r="L91" s="12">
        <f>K91*0.3048</f>
        <v>4988.9664000000002</v>
      </c>
      <c r="M91" s="79">
        <v>3100000</v>
      </c>
      <c r="N91" s="12">
        <f t="shared" si="15"/>
        <v>2370120.5</v>
      </c>
      <c r="O91" s="12"/>
      <c r="P91" s="12">
        <f>N91/L91</f>
        <v>475.07245188101484</v>
      </c>
      <c r="Q91" s="184">
        <f>P91/10</f>
        <v>47.507245188101486</v>
      </c>
      <c r="R91" s="80">
        <v>36923076</v>
      </c>
      <c r="S91" s="81">
        <v>0.746</v>
      </c>
      <c r="T91" s="82">
        <f t="shared" si="16"/>
        <v>49494739.946380697</v>
      </c>
      <c r="U91" s="133">
        <f t="shared" si="17"/>
        <v>20.882794755110847</v>
      </c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42" s="112" customFormat="1" ht="14.5" x14ac:dyDescent="0.35">
      <c r="A92" s="103" t="s">
        <v>143</v>
      </c>
      <c r="B92" s="104"/>
      <c r="C92" s="116"/>
      <c r="D92" s="116">
        <f>COUNT(C90:C91)</f>
        <v>2</v>
      </c>
      <c r="E92" s="116">
        <f>MIN(C90:C91)</f>
        <v>2001</v>
      </c>
      <c r="F92" s="116">
        <f>MAX(C90:C91)</f>
        <v>2014</v>
      </c>
      <c r="G92" s="105"/>
      <c r="H92" s="105"/>
      <c r="I92" s="117"/>
      <c r="J92" s="117"/>
      <c r="K92" s="108">
        <f>AVERAGE(K90:K91)</f>
        <v>16262.5</v>
      </c>
      <c r="L92" s="108">
        <f>AVERAGE(L90:L91)</f>
        <v>4956.8100000000004</v>
      </c>
      <c r="M92" s="108">
        <f>AVERAGE(M90:M91)</f>
        <v>2150000</v>
      </c>
      <c r="N92" s="108">
        <f>AVERAGE((N90/L90)*1490,(N91/L91)*1490)</f>
        <v>492722.93568230188</v>
      </c>
      <c r="O92" s="108"/>
      <c r="P92" s="108">
        <f>AVERAGE(P90:P91)</f>
        <v>330.68653401496772</v>
      </c>
      <c r="Q92" s="108">
        <f>AVERAGE(Q90:Q91)</f>
        <v>33.068653401496775</v>
      </c>
      <c r="R92" s="118"/>
      <c r="S92" s="111"/>
      <c r="T92" s="108">
        <f>AVERAGE((T90/L90)*1490,(T91/L91)*1490)</f>
        <v>10176155.017345795</v>
      </c>
      <c r="U92" s="108">
        <f>AVERAGE(U90:U91)</f>
        <v>20.47471892661553</v>
      </c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</row>
    <row r="93" spans="1:42" x14ac:dyDescent="0.25">
      <c r="A93" s="2" t="s">
        <v>33</v>
      </c>
      <c r="B93" s="3" t="s">
        <v>13</v>
      </c>
      <c r="C93" s="3">
        <v>1958</v>
      </c>
      <c r="D93" s="3"/>
      <c r="E93" s="3"/>
      <c r="F93" s="3"/>
      <c r="G93" s="4">
        <v>40.201870999999997</v>
      </c>
      <c r="H93" s="4">
        <v>-74.006224000000003</v>
      </c>
      <c r="I93" s="5" t="s">
        <v>14</v>
      </c>
      <c r="J93" s="5" t="s">
        <v>14</v>
      </c>
      <c r="K93" s="6"/>
      <c r="L93" s="12"/>
      <c r="M93" s="7">
        <v>250000</v>
      </c>
      <c r="N93" s="12">
        <f t="shared" si="15"/>
        <v>191138.75</v>
      </c>
      <c r="O93" s="12"/>
      <c r="P93" s="12"/>
      <c r="Q93" s="12"/>
      <c r="R93" s="13"/>
      <c r="S93" s="9">
        <v>0.121</v>
      </c>
      <c r="T93" s="8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42" x14ac:dyDescent="0.25">
      <c r="A94" s="2" t="s">
        <v>33</v>
      </c>
      <c r="B94" s="3" t="s">
        <v>13</v>
      </c>
      <c r="C94" s="3">
        <v>1960</v>
      </c>
      <c r="D94" s="3"/>
      <c r="E94" s="3"/>
      <c r="F94" s="3"/>
      <c r="G94" s="4">
        <v>40.201870999999997</v>
      </c>
      <c r="H94" s="4">
        <v>-74.006224000000003</v>
      </c>
      <c r="I94" s="5" t="s">
        <v>14</v>
      </c>
      <c r="J94" s="5" t="s">
        <v>14</v>
      </c>
      <c r="K94" s="6"/>
      <c r="L94" s="12"/>
      <c r="M94" s="7">
        <v>250000</v>
      </c>
      <c r="N94" s="12">
        <f t="shared" si="15"/>
        <v>191138.75</v>
      </c>
      <c r="O94" s="12"/>
      <c r="P94" s="12"/>
      <c r="Q94" s="12"/>
      <c r="R94" s="13"/>
      <c r="S94" s="9">
        <v>0.124</v>
      </c>
      <c r="T94" s="8"/>
      <c r="Y94" s="10"/>
      <c r="Z94" s="10"/>
      <c r="AA94" s="10"/>
      <c r="AB94" s="10"/>
      <c r="AC94" s="10"/>
      <c r="AD94" s="10"/>
      <c r="AE94" s="10"/>
      <c r="AF94" s="10"/>
      <c r="AG94" s="10"/>
      <c r="AH94" s="16"/>
      <c r="AI94" s="16"/>
      <c r="AJ94" s="16"/>
      <c r="AK94" s="16"/>
      <c r="AL94" s="16"/>
      <c r="AM94" s="16"/>
      <c r="AN94" s="16"/>
      <c r="AO94" s="16"/>
      <c r="AP94" s="16"/>
    </row>
    <row r="95" spans="1:42" s="112" customFormat="1" ht="14.5" x14ac:dyDescent="0.35">
      <c r="A95" s="103" t="s">
        <v>142</v>
      </c>
      <c r="B95" s="104"/>
      <c r="C95" s="104"/>
      <c r="D95" s="104">
        <f>COUNT(C93:C94,C90:C91)</f>
        <v>4</v>
      </c>
      <c r="E95" s="104">
        <f>MIN(C93:C94,C90:C91)</f>
        <v>1958</v>
      </c>
      <c r="F95" s="104">
        <f>MAX(C93:C94,C90:C91)</f>
        <v>2014</v>
      </c>
      <c r="G95" s="105"/>
      <c r="H95" s="105"/>
      <c r="I95" s="117"/>
      <c r="J95" s="117"/>
      <c r="K95" s="108">
        <f>AVERAGE(K93:K94,K90)</f>
        <v>16157</v>
      </c>
      <c r="L95" s="108">
        <f>AVERAGE(L93:L94,L90)</f>
        <v>4924.6536000000006</v>
      </c>
      <c r="M95" s="108">
        <f>AVERAGE(M93:M94,M90)</f>
        <v>566666.66666666663</v>
      </c>
      <c r="N95" s="108">
        <f>AVERAGE(N93:N94,(N90/L90)*1460,(N91/L91)*1460)</f>
        <v>336970.54483092646</v>
      </c>
      <c r="O95" s="108"/>
      <c r="P95" s="108">
        <f>AVERAGE(P93:P94,P90)</f>
        <v>186.3006161489206</v>
      </c>
      <c r="Q95" s="108">
        <f>AVERAGE(Q93:Q94,Q90)</f>
        <v>18.63006161489206</v>
      </c>
      <c r="R95" s="118"/>
      <c r="S95" s="111"/>
      <c r="T95" s="108">
        <f>AVERAGE(T93:T94,(T90/L90)*1460,(T91/L91)*1460)</f>
        <v>9971265.9901509136</v>
      </c>
      <c r="U95" s="108">
        <f>AVERAGE(U93:U94,U90)</f>
        <v>20.066643098120213</v>
      </c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</row>
    <row r="96" spans="1:42" x14ac:dyDescent="0.25">
      <c r="A96" s="2" t="s">
        <v>25</v>
      </c>
      <c r="B96" s="3" t="s">
        <v>13</v>
      </c>
      <c r="C96" s="3">
        <v>1947</v>
      </c>
      <c r="D96" s="3"/>
      <c r="E96" s="3"/>
      <c r="F96" s="3"/>
      <c r="G96" s="4">
        <v>40.191791000000002</v>
      </c>
      <c r="H96" s="4">
        <v>-74.008713</v>
      </c>
      <c r="I96" s="5" t="s">
        <v>14</v>
      </c>
      <c r="J96" s="5" t="s">
        <v>14</v>
      </c>
      <c r="K96" s="6"/>
      <c r="L96" s="12"/>
      <c r="M96" s="7">
        <v>150000</v>
      </c>
      <c r="N96" s="12">
        <f t="shared" ref="N96:N106" si="18">M96*0.764555</f>
        <v>114683.25</v>
      </c>
      <c r="O96" s="12"/>
      <c r="P96" s="12"/>
      <c r="Q96" s="12"/>
      <c r="R96" s="13"/>
      <c r="S96" s="9">
        <v>9.4E-2</v>
      </c>
      <c r="T96" s="8"/>
      <c r="Y96" s="10"/>
      <c r="Z96" s="10"/>
      <c r="AA96" s="10"/>
      <c r="AB96" s="10"/>
      <c r="AC96" s="10"/>
      <c r="AD96" s="10"/>
      <c r="AE96" s="10"/>
      <c r="AF96" s="10"/>
      <c r="AG96" s="10"/>
      <c r="AH96" s="16"/>
      <c r="AI96" s="16"/>
      <c r="AJ96" s="16"/>
      <c r="AK96" s="16"/>
      <c r="AL96" s="16"/>
      <c r="AM96" s="16"/>
      <c r="AN96" s="16"/>
      <c r="AO96" s="16"/>
      <c r="AP96" s="16"/>
    </row>
    <row r="97" spans="1:42" x14ac:dyDescent="0.25">
      <c r="A97" s="2" t="s">
        <v>25</v>
      </c>
      <c r="B97" s="3" t="s">
        <v>13</v>
      </c>
      <c r="C97" s="3">
        <v>1949</v>
      </c>
      <c r="D97" s="3"/>
      <c r="E97" s="3"/>
      <c r="F97" s="3"/>
      <c r="G97" s="4">
        <v>40.191791000000002</v>
      </c>
      <c r="H97" s="4">
        <v>-74.008713</v>
      </c>
      <c r="I97" s="14" t="s">
        <v>15</v>
      </c>
      <c r="J97" s="5" t="s">
        <v>19</v>
      </c>
      <c r="K97" s="6"/>
      <c r="L97" s="12"/>
      <c r="M97" s="7">
        <v>16000</v>
      </c>
      <c r="N97" s="12">
        <f t="shared" si="18"/>
        <v>12232.88</v>
      </c>
      <c r="O97" s="12"/>
      <c r="P97" s="12"/>
      <c r="Q97" s="12"/>
      <c r="R97" s="13"/>
      <c r="S97" s="9">
        <v>0.1</v>
      </c>
      <c r="T97" s="8"/>
      <c r="Y97" s="10"/>
      <c r="Z97" s="10"/>
      <c r="AA97" s="10"/>
      <c r="AB97" s="10"/>
      <c r="AC97" s="10"/>
      <c r="AD97" s="10"/>
      <c r="AE97" s="10"/>
      <c r="AF97" s="10"/>
      <c r="AG97" s="10"/>
      <c r="AH97" s="16"/>
      <c r="AI97" s="16"/>
      <c r="AJ97" s="16"/>
      <c r="AK97" s="16"/>
      <c r="AL97" s="16"/>
      <c r="AM97" s="16"/>
      <c r="AN97" s="16"/>
      <c r="AO97" s="16"/>
      <c r="AP97" s="16"/>
    </row>
    <row r="98" spans="1:42" x14ac:dyDescent="0.25">
      <c r="A98" s="2" t="s">
        <v>25</v>
      </c>
      <c r="B98" s="3" t="s">
        <v>13</v>
      </c>
      <c r="C98" s="3">
        <v>1950</v>
      </c>
      <c r="D98" s="3"/>
      <c r="E98" s="3"/>
      <c r="F98" s="3"/>
      <c r="G98" s="4">
        <v>40.191791000000002</v>
      </c>
      <c r="H98" s="4">
        <v>-74.008713</v>
      </c>
      <c r="I98" s="14" t="s">
        <v>15</v>
      </c>
      <c r="J98" s="5" t="s">
        <v>19</v>
      </c>
      <c r="K98" s="6"/>
      <c r="L98" s="12"/>
      <c r="M98" s="7">
        <v>22000</v>
      </c>
      <c r="N98" s="12">
        <f t="shared" si="18"/>
        <v>16820.21</v>
      </c>
      <c r="O98" s="12"/>
      <c r="P98" s="12"/>
      <c r="Q98" s="12"/>
      <c r="R98" s="8">
        <v>10795</v>
      </c>
      <c r="S98" s="9">
        <v>0.10100000000000001</v>
      </c>
      <c r="T98" s="8">
        <f>+R98/S98</f>
        <v>106881.18811881187</v>
      </c>
      <c r="U98" s="133">
        <f>T98/N98</f>
        <v>6.3543313739133982</v>
      </c>
      <c r="Y98" s="10"/>
      <c r="Z98" s="10"/>
      <c r="AA98" s="10"/>
      <c r="AB98" s="10"/>
      <c r="AC98" s="10"/>
      <c r="AD98" s="10"/>
      <c r="AE98" s="10"/>
      <c r="AF98" s="10"/>
      <c r="AG98" s="10"/>
      <c r="AH98" s="16"/>
      <c r="AI98" s="16"/>
      <c r="AJ98" s="16"/>
      <c r="AK98" s="16"/>
      <c r="AL98" s="16"/>
      <c r="AM98" s="16"/>
      <c r="AN98" s="16"/>
      <c r="AO98" s="16"/>
      <c r="AP98" s="16"/>
    </row>
    <row r="99" spans="1:42" x14ac:dyDescent="0.25">
      <c r="A99" s="2" t="s">
        <v>25</v>
      </c>
      <c r="B99" s="3" t="s">
        <v>13</v>
      </c>
      <c r="C99" s="3">
        <v>1958</v>
      </c>
      <c r="D99" s="3"/>
      <c r="E99" s="3"/>
      <c r="F99" s="3"/>
      <c r="G99" s="4">
        <v>40.191791000000002</v>
      </c>
      <c r="H99" s="4">
        <v>-74.008713</v>
      </c>
      <c r="I99" s="5" t="s">
        <v>14</v>
      </c>
      <c r="J99" s="5" t="s">
        <v>14</v>
      </c>
      <c r="K99" s="6"/>
      <c r="L99" s="12"/>
      <c r="M99" s="7">
        <v>250000</v>
      </c>
      <c r="N99" s="12">
        <f t="shared" si="18"/>
        <v>191138.75</v>
      </c>
      <c r="O99" s="12"/>
      <c r="P99" s="12"/>
      <c r="Q99" s="12"/>
      <c r="R99" s="13"/>
      <c r="S99" s="9">
        <v>0.121</v>
      </c>
      <c r="T99" s="8"/>
      <c r="Y99" s="10"/>
      <c r="Z99" s="10"/>
      <c r="AA99" s="10"/>
      <c r="AB99" s="10"/>
      <c r="AC99" s="10"/>
      <c r="AD99" s="10"/>
      <c r="AE99" s="10"/>
      <c r="AF99" s="10"/>
      <c r="AG99" s="10"/>
      <c r="AH99" s="16"/>
      <c r="AI99" s="16"/>
      <c r="AJ99" s="16"/>
      <c r="AK99" s="16"/>
      <c r="AL99" s="16"/>
      <c r="AM99" s="16"/>
      <c r="AN99" s="16"/>
      <c r="AO99" s="16"/>
      <c r="AP99" s="16"/>
    </row>
    <row r="100" spans="1:42" x14ac:dyDescent="0.25">
      <c r="A100" s="2" t="s">
        <v>25</v>
      </c>
      <c r="B100" s="3" t="s">
        <v>13</v>
      </c>
      <c r="C100" s="3">
        <v>1960</v>
      </c>
      <c r="D100" s="3"/>
      <c r="E100" s="3"/>
      <c r="F100" s="3"/>
      <c r="G100" s="4">
        <v>40.191791000000002</v>
      </c>
      <c r="H100" s="4">
        <v>-74.008713</v>
      </c>
      <c r="I100" s="5" t="s">
        <v>14</v>
      </c>
      <c r="J100" s="5" t="s">
        <v>14</v>
      </c>
      <c r="K100" s="6"/>
      <c r="L100" s="12"/>
      <c r="M100" s="7">
        <v>250000</v>
      </c>
      <c r="N100" s="12">
        <f t="shared" si="18"/>
        <v>191138.75</v>
      </c>
      <c r="O100" s="12"/>
      <c r="P100" s="12"/>
      <c r="Q100" s="12"/>
      <c r="R100" s="8">
        <v>197472</v>
      </c>
      <c r="S100" s="9">
        <v>0.124</v>
      </c>
      <c r="T100" s="8">
        <f t="shared" ref="T100:T106" si="19">+R100/S100</f>
        <v>1592516.1290322582</v>
      </c>
      <c r="U100" s="133">
        <f t="shared" ref="U100:U106" si="20">T100/N100</f>
        <v>8.3317282813257805</v>
      </c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x14ac:dyDescent="0.25">
      <c r="A101" s="2" t="s">
        <v>25</v>
      </c>
      <c r="B101" s="3" t="s">
        <v>13</v>
      </c>
      <c r="C101" s="3">
        <v>1971</v>
      </c>
      <c r="D101" s="3"/>
      <c r="E101" s="3"/>
      <c r="F101" s="3"/>
      <c r="G101" s="4">
        <v>40.191791000000002</v>
      </c>
      <c r="H101" s="4">
        <v>-74.008713</v>
      </c>
      <c r="I101" s="14" t="s">
        <v>15</v>
      </c>
      <c r="J101" s="5" t="s">
        <v>19</v>
      </c>
      <c r="K101" s="6"/>
      <c r="L101" s="12"/>
      <c r="M101" s="7">
        <v>120000</v>
      </c>
      <c r="N101" s="12">
        <f t="shared" si="18"/>
        <v>91746.599999999991</v>
      </c>
      <c r="O101" s="12"/>
      <c r="P101" s="12"/>
      <c r="Q101" s="12"/>
      <c r="R101" s="8">
        <v>179641</v>
      </c>
      <c r="S101" s="9">
        <v>0.17</v>
      </c>
      <c r="T101" s="8">
        <f t="shared" si="19"/>
        <v>1056711.7647058822</v>
      </c>
      <c r="U101" s="133">
        <f t="shared" si="20"/>
        <v>11.51772125294978</v>
      </c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x14ac:dyDescent="0.25">
      <c r="A102" s="2" t="s">
        <v>25</v>
      </c>
      <c r="B102" s="3" t="s">
        <v>13</v>
      </c>
      <c r="C102" s="3">
        <v>1982</v>
      </c>
      <c r="D102" s="3"/>
      <c r="E102" s="3"/>
      <c r="F102" s="3"/>
      <c r="G102" s="4">
        <v>40.191791000000002</v>
      </c>
      <c r="H102" s="4">
        <v>-74.008713</v>
      </c>
      <c r="I102" s="14" t="s">
        <v>15</v>
      </c>
      <c r="J102" s="5" t="s">
        <v>19</v>
      </c>
      <c r="K102" s="6"/>
      <c r="L102" s="12"/>
      <c r="M102" s="7">
        <v>136000</v>
      </c>
      <c r="N102" s="12">
        <f t="shared" si="18"/>
        <v>103979.48</v>
      </c>
      <c r="O102" s="12"/>
      <c r="P102" s="12"/>
      <c r="Q102" s="12"/>
      <c r="R102" s="8">
        <v>352240</v>
      </c>
      <c r="S102" s="9">
        <v>0.40100000000000002</v>
      </c>
      <c r="T102" s="8">
        <f t="shared" si="19"/>
        <v>878403.99002493755</v>
      </c>
      <c r="U102" s="133">
        <f t="shared" si="20"/>
        <v>8.4478590393502415</v>
      </c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s="133" customFormat="1" x14ac:dyDescent="0.25">
      <c r="A103" s="29" t="s">
        <v>91</v>
      </c>
      <c r="B103" s="3"/>
      <c r="C103" s="3">
        <v>1997</v>
      </c>
      <c r="D103" s="3"/>
      <c r="E103" s="3"/>
      <c r="F103" s="3"/>
      <c r="G103" s="4"/>
      <c r="H103" s="4"/>
      <c r="I103" s="5"/>
      <c r="J103" s="5"/>
      <c r="K103" s="6"/>
      <c r="L103" s="12"/>
      <c r="M103" s="7">
        <v>60000</v>
      </c>
      <c r="N103" s="12">
        <f t="shared" si="18"/>
        <v>45873.299999999996</v>
      </c>
      <c r="O103" s="12"/>
      <c r="P103" s="12"/>
      <c r="Q103" s="12"/>
      <c r="R103" s="8">
        <v>571197</v>
      </c>
      <c r="S103" s="9">
        <v>0.67600000000000005</v>
      </c>
      <c r="T103" s="8">
        <f t="shared" si="19"/>
        <v>844965.97633136087</v>
      </c>
      <c r="U103" s="133">
        <f t="shared" si="20"/>
        <v>18.41955944593829</v>
      </c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s="133" customFormat="1" x14ac:dyDescent="0.25">
      <c r="A104" s="29" t="s">
        <v>91</v>
      </c>
      <c r="B104" s="3"/>
      <c r="C104" s="3">
        <v>2003</v>
      </c>
      <c r="D104" s="3"/>
      <c r="E104" s="3"/>
      <c r="F104" s="3"/>
      <c r="G104" s="4"/>
      <c r="H104" s="4"/>
      <c r="I104" s="5"/>
      <c r="J104" s="5"/>
      <c r="K104" s="6"/>
      <c r="L104" s="12"/>
      <c r="M104" s="7">
        <v>30710</v>
      </c>
      <c r="N104" s="12">
        <f t="shared" si="18"/>
        <v>23479.484049999999</v>
      </c>
      <c r="O104" s="12"/>
      <c r="P104" s="12"/>
      <c r="Q104" s="12"/>
      <c r="R104" s="8">
        <v>857032</v>
      </c>
      <c r="S104" s="20">
        <v>0.77500000000000002</v>
      </c>
      <c r="T104" s="8">
        <f t="shared" si="19"/>
        <v>1105847.7419354839</v>
      </c>
      <c r="U104" s="133">
        <f t="shared" si="20"/>
        <v>47.098468585619706</v>
      </c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s="133" customFormat="1" x14ac:dyDescent="0.25">
      <c r="A105" s="29" t="s">
        <v>91</v>
      </c>
      <c r="B105" s="3"/>
      <c r="C105" s="3">
        <v>2006</v>
      </c>
      <c r="D105" s="3"/>
      <c r="E105" s="3"/>
      <c r="F105" s="3"/>
      <c r="G105" s="4"/>
      <c r="H105" s="4"/>
      <c r="I105" s="5"/>
      <c r="J105" s="5"/>
      <c r="K105" s="6"/>
      <c r="L105" s="12"/>
      <c r="M105" s="7">
        <v>147000</v>
      </c>
      <c r="N105" s="12">
        <f t="shared" si="18"/>
        <v>112389.58499999999</v>
      </c>
      <c r="O105" s="12"/>
      <c r="P105" s="12"/>
      <c r="Q105" s="12"/>
      <c r="R105" s="8">
        <v>3223950</v>
      </c>
      <c r="S105" s="9">
        <v>0.84699999999999998</v>
      </c>
      <c r="T105" s="8">
        <f t="shared" si="19"/>
        <v>3806316.4108618656</v>
      </c>
      <c r="U105" s="133">
        <f t="shared" si="20"/>
        <v>33.867163143825699</v>
      </c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x14ac:dyDescent="0.25">
      <c r="A106" s="29" t="s">
        <v>91</v>
      </c>
      <c r="B106" s="3" t="s">
        <v>13</v>
      </c>
      <c r="C106" s="21">
        <v>2006</v>
      </c>
      <c r="D106" s="21"/>
      <c r="E106" s="21"/>
      <c r="F106" s="21"/>
      <c r="G106" s="4">
        <v>40.189070000000001</v>
      </c>
      <c r="H106" s="4">
        <v>-74.009148999999994</v>
      </c>
      <c r="I106" s="23" t="s">
        <v>15</v>
      </c>
      <c r="J106" s="18" t="s">
        <v>19</v>
      </c>
      <c r="K106" s="24"/>
      <c r="L106" s="12"/>
      <c r="M106" s="25">
        <v>15000</v>
      </c>
      <c r="N106" s="12">
        <f t="shared" si="18"/>
        <v>11468.324999999999</v>
      </c>
      <c r="O106" s="12"/>
      <c r="P106" s="12"/>
      <c r="Q106" s="12"/>
      <c r="R106" s="26">
        <v>970503</v>
      </c>
      <c r="S106" s="9">
        <v>0.84699999999999998</v>
      </c>
      <c r="T106" s="8">
        <f t="shared" si="19"/>
        <v>1145812.2786304604</v>
      </c>
      <c r="U106" s="133">
        <f t="shared" si="20"/>
        <v>99.911040071715831</v>
      </c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s="112" customFormat="1" ht="14.5" x14ac:dyDescent="0.35">
      <c r="A107" s="103" t="s">
        <v>144</v>
      </c>
      <c r="B107" s="104"/>
      <c r="C107" s="104"/>
      <c r="D107" s="104">
        <f>COUNT(C90:C91,C96:C106)</f>
        <v>13</v>
      </c>
      <c r="E107" s="104">
        <f>MIN(C96:C106,C90:C91)</f>
        <v>1947</v>
      </c>
      <c r="F107" s="104">
        <f>MAX(C96:C106,C90:C91)</f>
        <v>2014</v>
      </c>
      <c r="G107" s="105"/>
      <c r="H107" s="105"/>
      <c r="I107" s="117"/>
      <c r="J107" s="117"/>
      <c r="K107" s="108">
        <f>AVERAGE(K90,K96:K106)</f>
        <v>16157</v>
      </c>
      <c r="L107" s="108">
        <f>AVERAGE(L90,L96:L106)</f>
        <v>4924.6536000000006</v>
      </c>
      <c r="M107" s="108">
        <f>AVERAGE(M90,M96:M106)</f>
        <v>199725.83333333334</v>
      </c>
      <c r="N107" s="108">
        <f>AVERAGE((N90/L90)*889.83,(N91/L91)*889.83,N96:N106)</f>
        <v>115650.78547500596</v>
      </c>
      <c r="O107" s="108"/>
      <c r="P107" s="108">
        <f>AVERAGE(P90,P96:P106)</f>
        <v>186.3006161489206</v>
      </c>
      <c r="Q107" s="108">
        <f>AVERAGE(Q90,Q96:Q106)</f>
        <v>18.63006161489206</v>
      </c>
      <c r="R107" s="110"/>
      <c r="S107" s="111"/>
      <c r="T107" s="108">
        <f>AVERAGE(T90,T96:T106)</f>
        <v>3216435.3618112244</v>
      </c>
      <c r="U107" s="108">
        <f>AVERAGE(U90,U96:U106)</f>
        <v>28.223834921417662</v>
      </c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</row>
    <row r="108" spans="1:42" x14ac:dyDescent="0.25">
      <c r="A108" s="2" t="s">
        <v>30</v>
      </c>
      <c r="B108" s="3" t="s">
        <v>13</v>
      </c>
      <c r="C108" s="3">
        <v>1975</v>
      </c>
      <c r="D108" s="3"/>
      <c r="E108" s="3"/>
      <c r="F108" s="3"/>
      <c r="G108" s="4">
        <v>40.177692999999998</v>
      </c>
      <c r="H108" s="4">
        <v>-74.012660999999994</v>
      </c>
      <c r="I108" s="5" t="s">
        <v>14</v>
      </c>
      <c r="J108" s="5" t="s">
        <v>14</v>
      </c>
      <c r="K108" s="6"/>
      <c r="L108" s="12"/>
      <c r="M108" s="7">
        <v>20000</v>
      </c>
      <c r="N108" s="12">
        <f t="shared" ref="N108:N124" si="21">M108*0.764555</f>
        <v>15291.1</v>
      </c>
      <c r="O108" s="12"/>
      <c r="P108" s="12"/>
      <c r="Q108" s="12"/>
      <c r="R108" s="13"/>
      <c r="S108" s="9">
        <v>0.22600000000000001</v>
      </c>
      <c r="T108" s="8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x14ac:dyDescent="0.25">
      <c r="A109" s="2" t="s">
        <v>30</v>
      </c>
      <c r="B109" s="3" t="s">
        <v>13</v>
      </c>
      <c r="C109" s="3">
        <v>1970</v>
      </c>
      <c r="D109" s="3"/>
      <c r="E109" s="3"/>
      <c r="F109" s="3"/>
      <c r="G109" s="4">
        <v>40.177692999999998</v>
      </c>
      <c r="H109" s="4">
        <v>-74.012660999999994</v>
      </c>
      <c r="I109" s="5" t="s">
        <v>14</v>
      </c>
      <c r="J109" s="5" t="s">
        <v>14</v>
      </c>
      <c r="K109" s="6"/>
      <c r="L109" s="12"/>
      <c r="M109" s="7">
        <v>26026</v>
      </c>
      <c r="N109" s="12">
        <f t="shared" si="21"/>
        <v>19898.308430000001</v>
      </c>
      <c r="O109" s="12"/>
      <c r="P109" s="12"/>
      <c r="Q109" s="12"/>
      <c r="R109" s="13"/>
      <c r="S109" s="9">
        <v>0.16300000000000001</v>
      </c>
      <c r="T109" s="8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x14ac:dyDescent="0.25">
      <c r="A110" s="2" t="s">
        <v>30</v>
      </c>
      <c r="B110" s="3" t="s">
        <v>13</v>
      </c>
      <c r="C110" s="3">
        <v>1967</v>
      </c>
      <c r="D110" s="3"/>
      <c r="E110" s="3"/>
      <c r="F110" s="3"/>
      <c r="G110" s="4">
        <v>40.177692999999998</v>
      </c>
      <c r="H110" s="4">
        <v>-74.012660999999994</v>
      </c>
      <c r="I110" s="5" t="s">
        <v>14</v>
      </c>
      <c r="J110" s="5" t="s">
        <v>14</v>
      </c>
      <c r="K110" s="6"/>
      <c r="L110" s="12"/>
      <c r="M110" s="7">
        <v>45000</v>
      </c>
      <c r="N110" s="12">
        <f t="shared" si="21"/>
        <v>34404.974999999999</v>
      </c>
      <c r="O110" s="12"/>
      <c r="P110" s="12"/>
      <c r="Q110" s="12"/>
      <c r="R110" s="13"/>
      <c r="S110" s="9">
        <v>0.14000000000000001</v>
      </c>
      <c r="T110" s="8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s="112" customFormat="1" ht="14.5" x14ac:dyDescent="0.35">
      <c r="A111" s="103" t="s">
        <v>145</v>
      </c>
      <c r="B111" s="104"/>
      <c r="C111" s="104"/>
      <c r="D111" s="104">
        <f>COUNT(C108:C110,C112:C114,C115,C119)</f>
        <v>8</v>
      </c>
      <c r="E111" s="104">
        <f>MIN(C108:C110,C112:C114,C115,C119)</f>
        <v>1967</v>
      </c>
      <c r="F111" s="104">
        <f>MAX(C108:C110,C112:C114,C115,C119)</f>
        <v>2014</v>
      </c>
      <c r="G111" s="105"/>
      <c r="H111" s="105"/>
      <c r="I111" s="117"/>
      <c r="J111" s="117"/>
      <c r="K111" s="107">
        <f>AVERAGE(K108:K110,K112:K114,K115,K119)</f>
        <v>21161.333333333332</v>
      </c>
      <c r="L111" s="107">
        <f>AVERAGE(L108:L110,L112:L114,L115,L119)</f>
        <v>6449.9744000000001</v>
      </c>
      <c r="M111" s="107">
        <f>AVERAGE(M108:M110,M112:M114,M115,M119)</f>
        <v>733878.25</v>
      </c>
      <c r="N111" s="107">
        <f>AVERAGE(N108:N110,N112:N114,(N115/L115)*2280,(N119/L119)*2280)</f>
        <v>154412.90970029234</v>
      </c>
      <c r="O111" s="107"/>
      <c r="P111" s="108">
        <f>AVERAGE(P108:P110,P115,P119)</f>
        <v>225.45811275709181</v>
      </c>
      <c r="Q111" s="108">
        <f>AVERAGE(Q108:Q110,Q115,Q119)</f>
        <v>22.54581127570918</v>
      </c>
      <c r="R111" s="118"/>
      <c r="S111" s="111"/>
      <c r="T111" s="107">
        <f>AVERAGE(T108:T110,T112:T114,T115,T119)</f>
        <v>29946419.279153455</v>
      </c>
      <c r="U111" s="108">
        <f>AVERAGE(U108:U110,U115,U119)</f>
        <v>21.277832873280374</v>
      </c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</row>
    <row r="112" spans="1:42" x14ac:dyDescent="0.25">
      <c r="A112" s="2" t="s">
        <v>32</v>
      </c>
      <c r="B112" s="3" t="s">
        <v>13</v>
      </c>
      <c r="C112" s="3">
        <v>1972</v>
      </c>
      <c r="D112" s="3"/>
      <c r="E112" s="3"/>
      <c r="F112" s="3"/>
      <c r="G112" s="4">
        <v>40.164707</v>
      </c>
      <c r="H112" s="4">
        <v>-74.017639000000003</v>
      </c>
      <c r="I112" s="5" t="s">
        <v>14</v>
      </c>
      <c r="J112" s="5" t="s">
        <v>14</v>
      </c>
      <c r="K112" s="6"/>
      <c r="L112" s="12"/>
      <c r="M112" s="7">
        <v>40000</v>
      </c>
      <c r="N112" s="12">
        <f t="shared" si="21"/>
        <v>30582.2</v>
      </c>
      <c r="O112" s="12"/>
      <c r="P112" s="12"/>
      <c r="Q112" s="12"/>
      <c r="R112" s="13"/>
      <c r="S112" s="9">
        <v>0.17499999999999999</v>
      </c>
      <c r="T112" s="8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x14ac:dyDescent="0.25">
      <c r="A113" s="2" t="s">
        <v>32</v>
      </c>
      <c r="B113" s="3" t="s">
        <v>13</v>
      </c>
      <c r="C113" s="3">
        <v>1994</v>
      </c>
      <c r="D113" s="3"/>
      <c r="E113" s="3"/>
      <c r="F113" s="3"/>
      <c r="G113" s="4">
        <v>40.164707</v>
      </c>
      <c r="H113" s="4">
        <v>-74.017639000000003</v>
      </c>
      <c r="I113" s="14" t="s">
        <v>1</v>
      </c>
      <c r="J113" s="5" t="s">
        <v>14</v>
      </c>
      <c r="K113" s="6"/>
      <c r="L113" s="12"/>
      <c r="M113" s="7">
        <v>70000</v>
      </c>
      <c r="N113" s="12">
        <f t="shared" si="21"/>
        <v>53518.85</v>
      </c>
      <c r="O113" s="12"/>
      <c r="P113" s="12"/>
      <c r="Q113" s="12"/>
      <c r="R113" s="13"/>
      <c r="S113" s="9">
        <v>0.621</v>
      </c>
      <c r="T113" s="8"/>
      <c r="Y113" s="10"/>
      <c r="Z113" s="10"/>
      <c r="AA113" s="10"/>
      <c r="AB113" s="10"/>
      <c r="AC113" s="10"/>
      <c r="AD113" s="10"/>
      <c r="AE113" s="10"/>
      <c r="AF113" s="10"/>
      <c r="AG113" s="10"/>
      <c r="AH113" s="16"/>
      <c r="AI113" s="16"/>
      <c r="AJ113" s="16"/>
      <c r="AK113" s="16"/>
      <c r="AL113" s="16"/>
      <c r="AM113" s="16"/>
      <c r="AN113" s="16"/>
      <c r="AO113" s="16"/>
      <c r="AP113" s="16"/>
    </row>
    <row r="114" spans="1:42" x14ac:dyDescent="0.25">
      <c r="A114" s="29" t="s">
        <v>32</v>
      </c>
      <c r="B114" s="34" t="s">
        <v>13</v>
      </c>
      <c r="C114" s="34">
        <v>1994</v>
      </c>
      <c r="D114" s="34"/>
      <c r="E114" s="34"/>
      <c r="F114" s="34"/>
      <c r="G114" s="22">
        <v>40.150143999999997</v>
      </c>
      <c r="H114" s="22">
        <v>-74.022302999999994</v>
      </c>
      <c r="I114" s="14" t="s">
        <v>1</v>
      </c>
      <c r="J114" s="18" t="s">
        <v>14</v>
      </c>
      <c r="K114" s="25">
        <v>1180</v>
      </c>
      <c r="L114" s="12">
        <f>K114*0.3048</f>
        <v>359.66400000000004</v>
      </c>
      <c r="M114" s="25">
        <v>70000</v>
      </c>
      <c r="N114" s="12">
        <f t="shared" si="21"/>
        <v>53518.85</v>
      </c>
      <c r="O114" s="12"/>
      <c r="P114" s="12">
        <f>N114/L114</f>
        <v>148.80235441968057</v>
      </c>
      <c r="Q114" s="12">
        <f>P114/10</f>
        <v>14.880235441968058</v>
      </c>
      <c r="R114" s="26">
        <v>347199</v>
      </c>
      <c r="S114" s="9">
        <v>0.621</v>
      </c>
      <c r="T114" s="26">
        <f t="shared" ref="T114:T124" si="22">+R114/S114</f>
        <v>559096.61835748795</v>
      </c>
      <c r="U114" s="133">
        <f t="shared" ref="U114:U115" si="23">T114/N114</f>
        <v>10.446723320054298</v>
      </c>
      <c r="Y114" s="46"/>
      <c r="Z114" s="46"/>
      <c r="AA114" s="46"/>
      <c r="AB114" s="10"/>
      <c r="AC114" s="10"/>
      <c r="AD114" s="10"/>
      <c r="AE114" s="10"/>
      <c r="AF114" s="10"/>
      <c r="AG114" s="10"/>
      <c r="AH114" s="16"/>
      <c r="AI114" s="16"/>
      <c r="AJ114" s="16"/>
      <c r="AK114" s="16"/>
      <c r="AL114" s="16"/>
      <c r="AM114" s="16"/>
      <c r="AN114" s="16"/>
      <c r="AO114" s="16"/>
      <c r="AP114" s="16"/>
    </row>
    <row r="115" spans="1:42" x14ac:dyDescent="0.25">
      <c r="A115" s="87" t="s">
        <v>81</v>
      </c>
      <c r="B115" s="75" t="s">
        <v>13</v>
      </c>
      <c r="C115" s="76">
        <v>1999</v>
      </c>
      <c r="D115" s="76"/>
      <c r="E115" s="76"/>
      <c r="F115" s="76"/>
      <c r="G115" s="77">
        <v>40.150143999999997</v>
      </c>
      <c r="H115" s="77">
        <v>-74.022302999999994</v>
      </c>
      <c r="I115" s="78" t="s">
        <v>15</v>
      </c>
      <c r="J115" s="78" t="s">
        <v>16</v>
      </c>
      <c r="K115" s="79">
        <v>31152</v>
      </c>
      <c r="L115" s="12">
        <f>K115*0.3048</f>
        <v>9495.1296000000002</v>
      </c>
      <c r="M115" s="79">
        <v>4100000</v>
      </c>
      <c r="N115" s="12">
        <f t="shared" si="21"/>
        <v>3134675.5</v>
      </c>
      <c r="O115" s="12"/>
      <c r="P115" s="12">
        <f>N115/L115</f>
        <v>330.1350936800273</v>
      </c>
      <c r="Q115" s="12">
        <f>P115/10</f>
        <v>33.01350936800273</v>
      </c>
      <c r="R115" s="86">
        <v>44615384</v>
      </c>
      <c r="S115" s="81">
        <v>0.69899999999999995</v>
      </c>
      <c r="T115" s="82">
        <f t="shared" si="22"/>
        <v>63827444.921316169</v>
      </c>
      <c r="U115" s="133">
        <f t="shared" si="23"/>
        <v>20.361739172464954</v>
      </c>
      <c r="Y115" s="10"/>
      <c r="Z115" s="10"/>
      <c r="AA115" s="10"/>
      <c r="AB115" s="10"/>
      <c r="AC115" s="10"/>
      <c r="AD115" s="10"/>
      <c r="AE115" s="10"/>
      <c r="AF115" s="10"/>
      <c r="AG115" s="10"/>
      <c r="AH115" s="16"/>
      <c r="AI115" s="16"/>
      <c r="AJ115" s="16"/>
      <c r="AK115" s="16"/>
      <c r="AL115" s="16"/>
      <c r="AM115" s="16"/>
      <c r="AN115" s="16"/>
      <c r="AO115" s="16"/>
      <c r="AP115" s="16"/>
    </row>
    <row r="116" spans="1:42" x14ac:dyDescent="0.25">
      <c r="A116" s="2" t="s">
        <v>94</v>
      </c>
      <c r="B116" s="3" t="s">
        <v>13</v>
      </c>
      <c r="C116" s="3">
        <v>1959</v>
      </c>
      <c r="D116" s="3"/>
      <c r="E116" s="3"/>
      <c r="F116" s="3"/>
      <c r="G116" s="22">
        <v>40.150143999999997</v>
      </c>
      <c r="H116" s="22">
        <v>-74.022302999999994</v>
      </c>
      <c r="I116" s="14" t="s">
        <v>15</v>
      </c>
      <c r="J116" s="14" t="s">
        <v>17</v>
      </c>
      <c r="K116" s="6"/>
      <c r="L116" s="12"/>
      <c r="M116" s="7">
        <v>2000</v>
      </c>
      <c r="N116" s="12">
        <f t="shared" si="21"/>
        <v>1529.11</v>
      </c>
      <c r="O116" s="12"/>
      <c r="P116" s="12"/>
      <c r="Q116" s="12"/>
      <c r="R116" s="13"/>
      <c r="S116" s="9">
        <v>0.122</v>
      </c>
      <c r="T116" s="8"/>
      <c r="Y116" s="10"/>
      <c r="Z116" s="10"/>
      <c r="AA116" s="10"/>
      <c r="AB116" s="10"/>
      <c r="AC116" s="10"/>
      <c r="AD116" s="10"/>
      <c r="AE116" s="10"/>
      <c r="AF116" s="10"/>
      <c r="AG116" s="10"/>
      <c r="AH116" s="16"/>
      <c r="AI116" s="16"/>
      <c r="AJ116" s="16"/>
      <c r="AK116" s="16"/>
      <c r="AL116" s="16"/>
      <c r="AM116" s="16"/>
      <c r="AN116" s="16"/>
      <c r="AO116" s="16"/>
      <c r="AP116" s="16"/>
    </row>
    <row r="117" spans="1:42" x14ac:dyDescent="0.25">
      <c r="A117" s="2" t="s">
        <v>94</v>
      </c>
      <c r="B117" s="3" t="s">
        <v>13</v>
      </c>
      <c r="C117" s="3">
        <v>1970</v>
      </c>
      <c r="D117" s="3"/>
      <c r="E117" s="3"/>
      <c r="F117" s="3"/>
      <c r="G117" s="22">
        <v>40.150143999999997</v>
      </c>
      <c r="H117" s="22">
        <v>-74.022302999999994</v>
      </c>
      <c r="I117" s="5" t="s">
        <v>14</v>
      </c>
      <c r="J117" s="5" t="s">
        <v>14</v>
      </c>
      <c r="K117" s="6"/>
      <c r="L117" s="12"/>
      <c r="M117" s="7">
        <v>55000</v>
      </c>
      <c r="N117" s="12">
        <f t="shared" si="21"/>
        <v>42050.525000000001</v>
      </c>
      <c r="O117" s="12"/>
      <c r="P117" s="12"/>
      <c r="Q117" s="12"/>
      <c r="R117" s="13"/>
      <c r="S117" s="9">
        <v>0.16300000000000001</v>
      </c>
      <c r="T117" s="8"/>
      <c r="Y117" s="10"/>
      <c r="Z117" s="10"/>
      <c r="AA117" s="10"/>
      <c r="AB117" s="10"/>
      <c r="AC117" s="10"/>
      <c r="AD117" s="10"/>
      <c r="AE117" s="10"/>
      <c r="AF117" s="10"/>
      <c r="AG117" s="10"/>
      <c r="AH117" s="16"/>
      <c r="AI117" s="16"/>
      <c r="AJ117" s="16"/>
      <c r="AK117" s="16"/>
      <c r="AL117" s="16"/>
      <c r="AM117" s="16"/>
      <c r="AN117" s="16"/>
      <c r="AO117" s="16"/>
      <c r="AP117" s="16"/>
    </row>
    <row r="118" spans="1:42" x14ac:dyDescent="0.25">
      <c r="A118" s="2" t="s">
        <v>94</v>
      </c>
      <c r="B118" s="3" t="s">
        <v>13</v>
      </c>
      <c r="C118" s="3">
        <v>1969</v>
      </c>
      <c r="D118" s="3"/>
      <c r="E118" s="3"/>
      <c r="F118" s="3"/>
      <c r="G118" s="22">
        <v>40.150143999999997</v>
      </c>
      <c r="H118" s="22">
        <v>-74.022302999999994</v>
      </c>
      <c r="I118" s="14" t="s">
        <v>1</v>
      </c>
      <c r="J118" s="5" t="s">
        <v>14</v>
      </c>
      <c r="K118" s="6"/>
      <c r="L118" s="12"/>
      <c r="M118" s="7">
        <v>93600</v>
      </c>
      <c r="N118" s="12">
        <f t="shared" si="21"/>
        <v>71562.347999999998</v>
      </c>
      <c r="O118" s="12"/>
      <c r="P118" s="12"/>
      <c r="Q118" s="12"/>
      <c r="R118" s="8">
        <v>112728</v>
      </c>
      <c r="S118" s="9">
        <v>0.154</v>
      </c>
      <c r="T118" s="8">
        <f t="shared" si="22"/>
        <v>732000</v>
      </c>
      <c r="U118" s="133">
        <f t="shared" ref="U118:U119" si="24">T118/N118</f>
        <v>10.228842686939227</v>
      </c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x14ac:dyDescent="0.25">
      <c r="A119" s="57" t="s">
        <v>81</v>
      </c>
      <c r="B119" s="75" t="s">
        <v>13</v>
      </c>
      <c r="C119" s="83">
        <v>2014</v>
      </c>
      <c r="D119" s="83"/>
      <c r="E119" s="83"/>
      <c r="F119" s="83"/>
      <c r="G119" s="77">
        <v>40.150143999999997</v>
      </c>
      <c r="H119" s="77">
        <v>-74.022302999999994</v>
      </c>
      <c r="I119" s="84" t="s">
        <v>15</v>
      </c>
      <c r="J119" s="77" t="s">
        <v>17</v>
      </c>
      <c r="K119" s="79">
        <v>31152</v>
      </c>
      <c r="L119" s="12">
        <f>K119*0.3048</f>
        <v>9495.1296000000002</v>
      </c>
      <c r="M119" s="79">
        <v>1500000</v>
      </c>
      <c r="N119" s="12">
        <f t="shared" si="21"/>
        <v>1146832.5</v>
      </c>
      <c r="O119" s="12"/>
      <c r="P119" s="12">
        <f>N119/L119</f>
        <v>120.78113183415633</v>
      </c>
      <c r="Q119" s="178">
        <f>P119/10</f>
        <v>12.078113183415633</v>
      </c>
      <c r="R119" s="86">
        <v>25300000</v>
      </c>
      <c r="S119" s="81">
        <v>0.99399999999999999</v>
      </c>
      <c r="T119" s="82">
        <f t="shared" si="22"/>
        <v>25452716.29778672</v>
      </c>
      <c r="U119" s="133">
        <f t="shared" si="24"/>
        <v>22.193926574095798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s="112" customFormat="1" ht="14.5" x14ac:dyDescent="0.35">
      <c r="A120" s="113" t="s">
        <v>146</v>
      </c>
      <c r="B120" s="104"/>
      <c r="C120" s="114"/>
      <c r="D120" s="114">
        <f>COUNT(C112:C119)</f>
        <v>8</v>
      </c>
      <c r="E120" s="114">
        <f>MIN(C112:C119)</f>
        <v>1959</v>
      </c>
      <c r="F120" s="114">
        <f>MAX(C112:C119)</f>
        <v>2014</v>
      </c>
      <c r="G120" s="105"/>
      <c r="H120" s="105"/>
      <c r="I120" s="106"/>
      <c r="J120" s="105"/>
      <c r="K120" s="107">
        <f>AVERAGE(K112:K119)</f>
        <v>21161.333333333332</v>
      </c>
      <c r="L120" s="107">
        <f>AVERAGE(L112:L119)</f>
        <v>6449.9744000000001</v>
      </c>
      <c r="M120" s="107">
        <f>AVERAGE(M112:M119)</f>
        <v>741325</v>
      </c>
      <c r="N120" s="107">
        <f>AVERAGE(N112:N114,N116:N118,(N115/L115)*3180,(N119/L119)*3180)</f>
        <v>210834.43501688796</v>
      </c>
      <c r="O120" s="107"/>
      <c r="P120" s="108">
        <f>AVERAGE(P112:P119)</f>
        <v>199.90619331128809</v>
      </c>
      <c r="Q120" s="108">
        <f>AVERAGE(Q112:Q119)</f>
        <v>19.990619331128805</v>
      </c>
      <c r="R120" s="115"/>
      <c r="S120" s="111"/>
      <c r="T120" s="107">
        <f>AVERAGE(T112:T119)</f>
        <v>22642814.459365092</v>
      </c>
      <c r="U120" s="108">
        <f>AVERAGE(U112:U119)</f>
        <v>15.807807938388571</v>
      </c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</row>
    <row r="121" spans="1:42" x14ac:dyDescent="0.25">
      <c r="A121" s="2" t="s">
        <v>88</v>
      </c>
      <c r="B121" s="3" t="s">
        <v>13</v>
      </c>
      <c r="C121" s="3">
        <v>1962</v>
      </c>
      <c r="D121" s="3"/>
      <c r="E121" s="3"/>
      <c r="F121" s="3"/>
      <c r="G121" s="4">
        <v>40.128819</v>
      </c>
      <c r="H121" s="4">
        <v>-74.029498000000004</v>
      </c>
      <c r="I121" s="5" t="s">
        <v>14</v>
      </c>
      <c r="J121" s="5" t="s">
        <v>14</v>
      </c>
      <c r="K121" s="6"/>
      <c r="L121" s="12"/>
      <c r="M121" s="7">
        <v>46300</v>
      </c>
      <c r="N121" s="12">
        <f t="shared" si="21"/>
        <v>35398.896500000003</v>
      </c>
      <c r="O121" s="12"/>
      <c r="P121" s="12"/>
      <c r="Q121" s="12"/>
      <c r="R121" s="13"/>
      <c r="S121" s="9">
        <v>0.127</v>
      </c>
      <c r="T121" s="8"/>
      <c r="Y121" s="10"/>
      <c r="Z121" s="10"/>
      <c r="AA121" s="10"/>
      <c r="AB121" s="10"/>
      <c r="AC121" s="10"/>
      <c r="AD121" s="10"/>
      <c r="AE121" s="10"/>
      <c r="AF121" s="10"/>
      <c r="AG121" s="10"/>
      <c r="AH121" s="16"/>
      <c r="AI121" s="16"/>
      <c r="AJ121" s="16"/>
      <c r="AK121" s="16"/>
      <c r="AL121" s="16"/>
      <c r="AM121" s="16"/>
      <c r="AN121" s="16"/>
      <c r="AO121" s="16"/>
      <c r="AP121" s="16"/>
    </row>
    <row r="122" spans="1:42" x14ac:dyDescent="0.25">
      <c r="A122" s="2" t="s">
        <v>88</v>
      </c>
      <c r="B122" s="3" t="s">
        <v>13</v>
      </c>
      <c r="C122" s="3">
        <v>1978</v>
      </c>
      <c r="D122" s="3"/>
      <c r="E122" s="3"/>
      <c r="F122" s="3"/>
      <c r="G122" s="4">
        <v>40.128819</v>
      </c>
      <c r="H122" s="4">
        <v>-74.029498000000004</v>
      </c>
      <c r="I122" s="14" t="s">
        <v>15</v>
      </c>
      <c r="J122" s="14" t="s">
        <v>17</v>
      </c>
      <c r="K122" s="6"/>
      <c r="L122" s="12"/>
      <c r="M122" s="7">
        <v>60744</v>
      </c>
      <c r="N122" s="12">
        <f t="shared" si="21"/>
        <v>46442.128919999996</v>
      </c>
      <c r="O122" s="12"/>
      <c r="P122" s="12"/>
      <c r="Q122" s="12"/>
      <c r="R122" s="13"/>
      <c r="S122" s="9">
        <v>0.27400000000000002</v>
      </c>
      <c r="T122" s="8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x14ac:dyDescent="0.25">
      <c r="A123" s="2" t="s">
        <v>88</v>
      </c>
      <c r="B123" s="3" t="s">
        <v>13</v>
      </c>
      <c r="C123" s="3">
        <v>1966</v>
      </c>
      <c r="D123" s="3"/>
      <c r="E123" s="3"/>
      <c r="F123" s="3"/>
      <c r="G123" s="4">
        <v>40.128819</v>
      </c>
      <c r="H123" s="4">
        <v>-74.029498000000004</v>
      </c>
      <c r="I123" s="14" t="s">
        <v>15</v>
      </c>
      <c r="J123" s="5" t="s">
        <v>14</v>
      </c>
      <c r="K123" s="6"/>
      <c r="L123" s="12"/>
      <c r="M123" s="7">
        <v>250000</v>
      </c>
      <c r="N123" s="12">
        <f t="shared" si="21"/>
        <v>191138.75</v>
      </c>
      <c r="O123" s="12"/>
      <c r="P123" s="12"/>
      <c r="Q123" s="12"/>
      <c r="R123" s="13"/>
      <c r="S123" s="9">
        <v>0.13600000000000001</v>
      </c>
      <c r="T123" s="8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1:42" x14ac:dyDescent="0.25">
      <c r="A124" s="2" t="s">
        <v>88</v>
      </c>
      <c r="B124" s="3" t="s">
        <v>13</v>
      </c>
      <c r="C124" s="3">
        <v>1966</v>
      </c>
      <c r="D124" s="3"/>
      <c r="E124" s="3"/>
      <c r="F124" s="3"/>
      <c r="G124" s="4">
        <v>40.128819</v>
      </c>
      <c r="H124" s="4">
        <v>-74.029498000000004</v>
      </c>
      <c r="I124" s="14" t="s">
        <v>15</v>
      </c>
      <c r="J124" s="14" t="s">
        <v>16</v>
      </c>
      <c r="K124" s="6"/>
      <c r="L124" s="12"/>
      <c r="M124" s="7">
        <v>425211</v>
      </c>
      <c r="N124" s="12">
        <f t="shared" si="21"/>
        <v>325097.19610499998</v>
      </c>
      <c r="O124" s="12"/>
      <c r="P124" s="12"/>
      <c r="Q124" s="12"/>
      <c r="R124" s="8">
        <v>552774</v>
      </c>
      <c r="S124" s="9">
        <v>0.13600000000000001</v>
      </c>
      <c r="T124" s="8">
        <f t="shared" si="22"/>
        <v>4064514.7058823528</v>
      </c>
      <c r="U124" s="133">
        <f>T124/N124</f>
        <v>12.502460047577879</v>
      </c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1:42" s="112" customFormat="1" ht="14.5" x14ac:dyDescent="0.35">
      <c r="A125" s="103" t="s">
        <v>147</v>
      </c>
      <c r="B125" s="104"/>
      <c r="C125" s="104"/>
      <c r="D125" s="104">
        <f>COUNT(C121:C124,C119,C115)</f>
        <v>6</v>
      </c>
      <c r="E125" s="104">
        <f>MIN(C121:C124,C119,C115)</f>
        <v>1962</v>
      </c>
      <c r="F125" s="104">
        <f>MAX(C121:C124,C119,C115)</f>
        <v>2014</v>
      </c>
      <c r="G125" s="105"/>
      <c r="H125" s="105"/>
      <c r="I125" s="106"/>
      <c r="J125" s="106"/>
      <c r="K125" s="107">
        <f>AVERAGE(K121:K124,K119,K115)</f>
        <v>31152</v>
      </c>
      <c r="L125" s="107">
        <f>AVERAGE(L121:L124,L119,L115)</f>
        <v>9495.1296000000002</v>
      </c>
      <c r="M125" s="107">
        <f>AVERAGE(M121:M124,M119,M115)</f>
        <v>1063709.1666666667</v>
      </c>
      <c r="N125" s="107">
        <f>AVERAGE(N121:N124,(N119/L119)*1690,(N115/L115)*1690)</f>
        <v>226687.56544066174</v>
      </c>
      <c r="O125" s="107"/>
      <c r="P125" s="108">
        <f>AVERAGE(P121:P124,P115,P119)</f>
        <v>225.45811275709181</v>
      </c>
      <c r="Q125" s="108">
        <f>AVERAGE(Q121:Q124,Q115,Q119)</f>
        <v>22.54581127570918</v>
      </c>
      <c r="R125" s="110"/>
      <c r="S125" s="111"/>
      <c r="T125" s="107">
        <f>AVERAGE(T121:T124,T119,T115)</f>
        <v>31114891.97499508</v>
      </c>
      <c r="U125" s="108">
        <f>AVERAGE(U121:U124,U115,U119)</f>
        <v>18.35270859804621</v>
      </c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</row>
    <row r="126" spans="1:42" s="112" customFormat="1" ht="14.5" x14ac:dyDescent="0.35">
      <c r="A126" s="103" t="s">
        <v>150</v>
      </c>
      <c r="B126" s="104"/>
      <c r="C126" s="104"/>
      <c r="D126" s="104">
        <f>COUNT(C119,C115)</f>
        <v>2</v>
      </c>
      <c r="E126" s="104">
        <f>MIN(C119,C115)</f>
        <v>1999</v>
      </c>
      <c r="F126" s="104">
        <f>MAX(C119,C115)</f>
        <v>2014</v>
      </c>
      <c r="G126" s="105"/>
      <c r="H126" s="105"/>
      <c r="I126" s="106"/>
      <c r="J126" s="106"/>
      <c r="K126" s="107">
        <f>AVERAGE(K119,K115)</f>
        <v>31152</v>
      </c>
      <c r="L126" s="107">
        <f>AVERAGE(L119,L115)</f>
        <v>9495.1296000000002</v>
      </c>
      <c r="M126" s="107">
        <f>AVERAGE(M119,M115)</f>
        <v>2800000</v>
      </c>
      <c r="N126" s="107">
        <f>AVERAGE((N119/L119)*1640,(N115/L115)*1640)</f>
        <v>369751.30492163054</v>
      </c>
      <c r="O126" s="107"/>
      <c r="P126" s="108">
        <f>AVERAGE(P115,P119)</f>
        <v>225.45811275709181</v>
      </c>
      <c r="Q126" s="108">
        <f>AVERAGE(Q115,Q119)</f>
        <v>22.54581127570918</v>
      </c>
      <c r="R126" s="110"/>
      <c r="S126" s="111"/>
      <c r="T126" s="107">
        <f>AVERAGE(T119,T115)</f>
        <v>44640080.609551445</v>
      </c>
      <c r="U126" s="108">
        <f>AVERAGE(U115,U119)</f>
        <v>21.277832873280374</v>
      </c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13"/>
    </row>
    <row r="127" spans="1:42" s="133" customFormat="1" x14ac:dyDescent="0.25">
      <c r="A127" s="164" t="s">
        <v>171</v>
      </c>
      <c r="C127" s="139">
        <v>1964</v>
      </c>
      <c r="D127" s="139"/>
      <c r="G127" s="139"/>
      <c r="M127" s="140">
        <v>190000</v>
      </c>
      <c r="N127" s="12">
        <f t="shared" ref="N127:N132" si="25">M127*0.764555</f>
        <v>145265.44999999998</v>
      </c>
      <c r="O127" s="12"/>
      <c r="R127" s="139"/>
      <c r="S127" s="9">
        <v>0.13</v>
      </c>
    </row>
    <row r="128" spans="1:42" s="133" customFormat="1" x14ac:dyDescent="0.25">
      <c r="A128" s="164" t="s">
        <v>171</v>
      </c>
      <c r="C128" s="139">
        <v>1963</v>
      </c>
      <c r="D128" s="139"/>
      <c r="G128" s="139"/>
      <c r="M128" s="140">
        <v>136400</v>
      </c>
      <c r="N128" s="12">
        <f t="shared" si="25"/>
        <v>104285.302</v>
      </c>
      <c r="O128" s="12"/>
      <c r="R128" s="141">
        <v>99443</v>
      </c>
      <c r="S128" s="9">
        <v>0.129</v>
      </c>
      <c r="T128" s="8">
        <f>+R128/S128</f>
        <v>770875.96899224806</v>
      </c>
      <c r="U128" s="133">
        <f t="shared" ref="U128:U131" si="26">T128/N128</f>
        <v>7.3919905701787973</v>
      </c>
    </row>
    <row r="129" spans="1:42" s="133" customFormat="1" x14ac:dyDescent="0.25">
      <c r="A129" s="164" t="s">
        <v>171</v>
      </c>
      <c r="C129" s="139">
        <v>1963</v>
      </c>
      <c r="D129" s="139"/>
      <c r="G129" s="139"/>
      <c r="M129" s="140">
        <v>538000</v>
      </c>
      <c r="N129" s="12">
        <f t="shared" si="25"/>
        <v>411330.58999999997</v>
      </c>
      <c r="O129" s="12"/>
      <c r="R129" s="141">
        <v>217551</v>
      </c>
      <c r="S129" s="9">
        <v>0.129</v>
      </c>
      <c r="T129" s="8">
        <f>+R129/S129</f>
        <v>1686441.8604651163</v>
      </c>
      <c r="U129" s="133">
        <f t="shared" si="26"/>
        <v>4.099967037377688</v>
      </c>
    </row>
    <row r="130" spans="1:42" s="133" customFormat="1" x14ac:dyDescent="0.25">
      <c r="A130" s="164" t="s">
        <v>171</v>
      </c>
      <c r="C130" s="139">
        <v>1963</v>
      </c>
      <c r="D130" s="139"/>
      <c r="G130" s="139"/>
      <c r="M130" s="140">
        <v>218284</v>
      </c>
      <c r="N130" s="12">
        <f t="shared" si="25"/>
        <v>166890.12362</v>
      </c>
      <c r="O130" s="12"/>
      <c r="R130" s="141">
        <v>154498</v>
      </c>
      <c r="S130" s="9">
        <v>0.129</v>
      </c>
      <c r="T130" s="8">
        <f>+R130/S130</f>
        <v>1197658.914728682</v>
      </c>
      <c r="U130" s="133">
        <f t="shared" si="26"/>
        <v>7.1763318808229073</v>
      </c>
    </row>
    <row r="131" spans="1:42" s="133" customFormat="1" x14ac:dyDescent="0.25">
      <c r="A131" s="57" t="s">
        <v>165</v>
      </c>
      <c r="B131" s="75"/>
      <c r="C131" s="83">
        <v>2019</v>
      </c>
      <c r="D131" s="83"/>
      <c r="E131" s="83"/>
      <c r="F131" s="83"/>
      <c r="G131" s="77"/>
      <c r="H131" s="77"/>
      <c r="I131" s="84"/>
      <c r="J131" s="77"/>
      <c r="K131" s="140">
        <v>73920</v>
      </c>
      <c r="L131" s="12">
        <f>K131*0.3048</f>
        <v>22530.816000000003</v>
      </c>
      <c r="M131" s="140">
        <v>10000000</v>
      </c>
      <c r="N131" s="12">
        <f>M131*0.764555</f>
        <v>7645550</v>
      </c>
      <c r="O131" s="12"/>
      <c r="P131" s="12">
        <f>N131/22153.4</f>
        <v>345.11858224922582</v>
      </c>
      <c r="Q131" s="178">
        <f>P131/10</f>
        <v>34.511858224922584</v>
      </c>
      <c r="R131" s="86">
        <v>130000000</v>
      </c>
      <c r="S131" s="81">
        <v>1.07</v>
      </c>
      <c r="T131" s="8">
        <f>+R131/S131</f>
        <v>121495327.10280374</v>
      </c>
      <c r="U131" s="133">
        <f t="shared" si="26"/>
        <v>15.890985881042402</v>
      </c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1:42" s="133" customFormat="1" x14ac:dyDescent="0.25">
      <c r="A132" s="164" t="s">
        <v>171</v>
      </c>
      <c r="C132" s="139">
        <v>1962</v>
      </c>
      <c r="D132" s="139"/>
      <c r="G132" s="139"/>
      <c r="M132" s="140">
        <v>15000</v>
      </c>
      <c r="N132" s="12">
        <f t="shared" si="25"/>
        <v>11468.324999999999</v>
      </c>
      <c r="O132" s="12"/>
      <c r="R132" s="141">
        <v>18300</v>
      </c>
      <c r="S132" s="9">
        <v>0.127</v>
      </c>
      <c r="T132" s="8">
        <f>+R132/S132</f>
        <v>144094.48818897636</v>
      </c>
      <c r="U132" s="133">
        <f>T132/N132</f>
        <v>12.564562670571018</v>
      </c>
    </row>
    <row r="133" spans="1:42" s="112" customFormat="1" ht="14.5" x14ac:dyDescent="0.35">
      <c r="A133" s="103" t="s">
        <v>168</v>
      </c>
      <c r="B133" s="104"/>
      <c r="C133" s="104"/>
      <c r="D133" s="104">
        <f>COUNT(C127:C132)</f>
        <v>6</v>
      </c>
      <c r="E133" s="104">
        <f>MIN(C127:C132)</f>
        <v>1962</v>
      </c>
      <c r="F133" s="104">
        <f>MAX(C127:C132)</f>
        <v>2019</v>
      </c>
      <c r="G133" s="105"/>
      <c r="H133" s="105"/>
      <c r="I133" s="106"/>
      <c r="J133" s="106"/>
      <c r="K133" s="107">
        <f>AVERAGE(K127:K132)</f>
        <v>73920</v>
      </c>
      <c r="L133" s="107">
        <f>AVERAGE(L127:L132)</f>
        <v>22530.816000000003</v>
      </c>
      <c r="M133" s="107">
        <f>AVERAGE(M127:M132)</f>
        <v>1849614</v>
      </c>
      <c r="N133" s="107">
        <f>AVERAGE(N127:N130,N132,(N131/L131)*2970)</f>
        <v>307845.34392316832</v>
      </c>
      <c r="O133" s="107"/>
      <c r="P133" s="108">
        <f>AVERAGE(P127:P132)</f>
        <v>345.11858224922582</v>
      </c>
      <c r="Q133" s="108">
        <f>AVERAGE(Q127:Q132)</f>
        <v>34.511858224922584</v>
      </c>
      <c r="R133" s="110"/>
      <c r="S133" s="111"/>
      <c r="T133" s="107">
        <f>AVERAGE(T127:T132)</f>
        <v>25058879.667035751</v>
      </c>
      <c r="U133" s="108">
        <f>AVERAGE(U127:U132)</f>
        <v>9.4247676079985645</v>
      </c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13"/>
    </row>
    <row r="134" spans="1:42" s="112" customFormat="1" ht="14.5" x14ac:dyDescent="0.35">
      <c r="A134" s="103" t="s">
        <v>169</v>
      </c>
      <c r="B134" s="104" t="s">
        <v>13</v>
      </c>
      <c r="C134" s="104">
        <v>1963</v>
      </c>
      <c r="D134" s="104">
        <f>COUNT(C134,C131)</f>
        <v>2</v>
      </c>
      <c r="E134" s="104">
        <f>MIN(C134,C131)</f>
        <v>1963</v>
      </c>
      <c r="F134" s="104">
        <f>MAX(C134,C131)</f>
        <v>2019</v>
      </c>
      <c r="G134" s="105">
        <v>40.06326</v>
      </c>
      <c r="H134" s="105">
        <v>-74.054804000000004</v>
      </c>
      <c r="I134" s="117" t="s">
        <v>15</v>
      </c>
      <c r="J134" s="117" t="s">
        <v>17</v>
      </c>
      <c r="K134" s="107">
        <f>(K131)</f>
        <v>73920</v>
      </c>
      <c r="L134" s="107">
        <f>(L131)</f>
        <v>22530.816000000003</v>
      </c>
      <c r="M134" s="109">
        <f>AVERAGE(538000,K131)</f>
        <v>305960</v>
      </c>
      <c r="N134" s="108">
        <f>M134*0.764555</f>
        <v>233923.24779999998</v>
      </c>
      <c r="O134" s="108"/>
      <c r="P134" s="108">
        <f>N134/L134</f>
        <v>10.38236909839395</v>
      </c>
      <c r="Q134" s="108"/>
      <c r="R134" s="110">
        <v>217551</v>
      </c>
      <c r="S134" s="111">
        <v>0.129</v>
      </c>
      <c r="T134" s="110">
        <f>AVERAGE(+R134/S134,T131)</f>
        <v>61590884.481634423</v>
      </c>
      <c r="U134" s="108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</row>
    <row r="135" spans="1:42" x14ac:dyDescent="0.25">
      <c r="A135" s="2" t="s">
        <v>48</v>
      </c>
      <c r="B135" s="3" t="s">
        <v>13</v>
      </c>
      <c r="C135" s="3">
        <v>1963</v>
      </c>
      <c r="D135" s="3"/>
      <c r="E135" s="3"/>
      <c r="F135" s="3"/>
      <c r="G135" s="4">
        <v>39.970492999999998</v>
      </c>
      <c r="H135" s="4">
        <v>-74.065467999999996</v>
      </c>
      <c r="I135" s="14" t="s">
        <v>15</v>
      </c>
      <c r="J135" s="14" t="s">
        <v>17</v>
      </c>
      <c r="K135" s="6"/>
      <c r="L135" s="12"/>
      <c r="M135" s="7">
        <v>190000</v>
      </c>
      <c r="N135" s="12">
        <f t="shared" ref="N135:N157" si="27">M135*0.764555</f>
        <v>145265.44999999998</v>
      </c>
      <c r="O135" s="12"/>
      <c r="P135" s="133"/>
      <c r="R135" s="8">
        <v>186225</v>
      </c>
      <c r="S135" s="9">
        <v>0.129</v>
      </c>
      <c r="T135" s="8">
        <f>+R135/S135</f>
        <v>1443604.6511627906</v>
      </c>
      <c r="U135" s="133">
        <f>T135/N135</f>
        <v>9.9377012989860347</v>
      </c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1:42" x14ac:dyDescent="0.25">
      <c r="A136" s="2" t="s">
        <v>48</v>
      </c>
      <c r="B136" s="3" t="s">
        <v>13</v>
      </c>
      <c r="C136" s="3">
        <v>1953</v>
      </c>
      <c r="D136" s="3"/>
      <c r="E136" s="3"/>
      <c r="F136" s="3"/>
      <c r="G136" s="4">
        <v>39.970492999999998</v>
      </c>
      <c r="H136" s="4">
        <v>-74.065467999999996</v>
      </c>
      <c r="I136" s="5" t="s">
        <v>14</v>
      </c>
      <c r="J136" s="5" t="s">
        <v>14</v>
      </c>
      <c r="K136" s="6"/>
      <c r="L136" s="12"/>
      <c r="M136" s="7">
        <v>200000</v>
      </c>
      <c r="N136" s="12">
        <f t="shared" si="27"/>
        <v>152911</v>
      </c>
      <c r="O136" s="12"/>
      <c r="P136" s="133"/>
      <c r="R136" s="13"/>
      <c r="S136" s="20">
        <v>0.112</v>
      </c>
      <c r="T136" s="8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1:42" x14ac:dyDescent="0.25">
      <c r="A137" s="2" t="s">
        <v>48</v>
      </c>
      <c r="B137" s="3" t="s">
        <v>13</v>
      </c>
      <c r="C137" s="3">
        <v>1962</v>
      </c>
      <c r="D137" s="3"/>
      <c r="E137" s="3"/>
      <c r="F137" s="3"/>
      <c r="G137" s="4">
        <v>39.970492999999998</v>
      </c>
      <c r="H137" s="4">
        <v>-74.065467999999996</v>
      </c>
      <c r="I137" s="5" t="s">
        <v>14</v>
      </c>
      <c r="J137" s="5" t="s">
        <v>14</v>
      </c>
      <c r="K137" s="6"/>
      <c r="L137" s="12"/>
      <c r="M137" s="7">
        <v>320631</v>
      </c>
      <c r="N137" s="12">
        <f t="shared" si="27"/>
        <v>245140.034205</v>
      </c>
      <c r="O137" s="12"/>
      <c r="P137" s="133"/>
      <c r="R137" s="13"/>
      <c r="S137" s="9">
        <v>0.127</v>
      </c>
      <c r="T137" s="8"/>
      <c r="Y137" s="10"/>
      <c r="Z137" s="10"/>
      <c r="AA137" s="10"/>
      <c r="AB137" s="10"/>
      <c r="AC137" s="10"/>
      <c r="AD137" s="10"/>
      <c r="AE137" s="10"/>
      <c r="AF137" s="10"/>
      <c r="AG137" s="10"/>
      <c r="AH137" s="16"/>
      <c r="AI137" s="16"/>
      <c r="AJ137" s="16"/>
      <c r="AK137" s="16"/>
      <c r="AL137" s="16"/>
      <c r="AM137" s="16"/>
      <c r="AN137" s="16"/>
      <c r="AO137" s="16"/>
      <c r="AP137" s="16"/>
    </row>
    <row r="138" spans="1:42" s="112" customFormat="1" ht="14.5" x14ac:dyDescent="0.35">
      <c r="A138" s="103" t="s">
        <v>148</v>
      </c>
      <c r="B138" s="104"/>
      <c r="C138" s="104"/>
      <c r="D138" s="104">
        <f>COUNT(C135:C137,C131)</f>
        <v>4</v>
      </c>
      <c r="E138" s="104">
        <f>MIN(C135:C137,C131)</f>
        <v>1953</v>
      </c>
      <c r="F138" s="104">
        <f>MAX(C135:C137,C131)</f>
        <v>2019</v>
      </c>
      <c r="G138" s="105"/>
      <c r="H138" s="105"/>
      <c r="I138" s="117"/>
      <c r="J138" s="117"/>
      <c r="K138" s="107">
        <f>MEDIAN(K135:K137,K131)</f>
        <v>73920</v>
      </c>
      <c r="L138" s="107">
        <f>MEDIAN(L135:L137,L131)</f>
        <v>22530.816000000003</v>
      </c>
      <c r="M138" s="107">
        <f>MEDIAN(M135:M137,M131)</f>
        <v>260315.5</v>
      </c>
      <c r="N138" s="107">
        <f>MEDIAN(N135:N137,(N131/M131)*2340)</f>
        <v>149088.22499999998</v>
      </c>
      <c r="O138" s="107"/>
      <c r="P138" s="108">
        <f>AVERAGE(P135:P137,P131)</f>
        <v>345.11858224922582</v>
      </c>
      <c r="Q138" s="108">
        <f>AVERAGE(Q135:Q137,Q131)</f>
        <v>34.511858224922584</v>
      </c>
      <c r="R138" s="118"/>
      <c r="S138" s="111"/>
      <c r="T138" s="107">
        <f>MEDIAN(T135:T137,T131)</f>
        <v>61469465.876983263</v>
      </c>
      <c r="U138" s="108">
        <f>AVERAGE(U135:U137,U131)</f>
        <v>12.914343590014219</v>
      </c>
      <c r="Y138" s="113"/>
      <c r="Z138" s="113"/>
      <c r="AA138" s="113"/>
      <c r="AB138" s="113"/>
      <c r="AC138" s="113"/>
      <c r="AD138" s="113"/>
      <c r="AE138" s="113"/>
      <c r="AF138" s="113"/>
      <c r="AG138" s="113"/>
      <c r="AH138" s="113"/>
      <c r="AI138" s="113"/>
      <c r="AJ138" s="113"/>
      <c r="AK138" s="113"/>
      <c r="AL138" s="113"/>
      <c r="AM138" s="113"/>
      <c r="AN138" s="113"/>
      <c r="AO138" s="113"/>
      <c r="AP138" s="113"/>
    </row>
    <row r="139" spans="1:42" s="152" customFormat="1" ht="14.5" x14ac:dyDescent="0.35">
      <c r="A139" s="142" t="s">
        <v>45</v>
      </c>
      <c r="B139" s="143" t="s">
        <v>13</v>
      </c>
      <c r="C139" s="143">
        <v>1962</v>
      </c>
      <c r="D139" s="143">
        <v>1</v>
      </c>
      <c r="E139" s="143"/>
      <c r="F139" s="143"/>
      <c r="G139" s="145">
        <v>39.940845000000003</v>
      </c>
      <c r="H139" s="145">
        <v>-74.150944999999993</v>
      </c>
      <c r="I139" s="154" t="s">
        <v>15</v>
      </c>
      <c r="J139" s="154" t="s">
        <v>17</v>
      </c>
      <c r="K139" s="147"/>
      <c r="L139" s="148"/>
      <c r="M139" s="155">
        <v>15000</v>
      </c>
      <c r="N139" s="148">
        <f t="shared" si="27"/>
        <v>11468.324999999999</v>
      </c>
      <c r="O139" s="148"/>
      <c r="P139" s="148" t="e">
        <f>N139/L139</f>
        <v>#DIV/0!</v>
      </c>
      <c r="Q139" s="148"/>
      <c r="R139" s="151">
        <v>18300</v>
      </c>
      <c r="S139" s="150">
        <v>0.127</v>
      </c>
      <c r="T139" s="151">
        <f>+R139/S139</f>
        <v>144094.48818897636</v>
      </c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</row>
    <row r="140" spans="1:42" s="133" customFormat="1" x14ac:dyDescent="0.25">
      <c r="A140" s="164" t="s">
        <v>167</v>
      </c>
      <c r="C140" s="161">
        <v>1968</v>
      </c>
      <c r="M140" s="162">
        <v>65000</v>
      </c>
      <c r="N140" s="163">
        <f t="shared" si="27"/>
        <v>49696.074999999997</v>
      </c>
      <c r="O140" s="163"/>
      <c r="R140" s="133">
        <v>71566</v>
      </c>
      <c r="S140" s="9">
        <v>0.14599999999999999</v>
      </c>
      <c r="T140" s="8">
        <f>+R140/S140</f>
        <v>490178.08219178085</v>
      </c>
      <c r="U140" s="133">
        <f>T140/N140</f>
        <v>9.8635170321153307</v>
      </c>
    </row>
    <row r="141" spans="1:42" s="133" customFormat="1" x14ac:dyDescent="0.25">
      <c r="A141" s="164" t="s">
        <v>167</v>
      </c>
      <c r="C141" s="161">
        <v>1966</v>
      </c>
      <c r="M141" s="162">
        <v>31240</v>
      </c>
      <c r="N141" s="163">
        <f t="shared" si="27"/>
        <v>23884.698199999999</v>
      </c>
      <c r="O141" s="163"/>
      <c r="S141" s="9">
        <v>0.13600000000000001</v>
      </c>
    </row>
    <row r="142" spans="1:42" s="133" customFormat="1" x14ac:dyDescent="0.25">
      <c r="A142" s="164" t="s">
        <v>167</v>
      </c>
      <c r="C142" s="161">
        <v>1962</v>
      </c>
      <c r="M142" s="162">
        <v>10000</v>
      </c>
      <c r="N142" s="163">
        <f t="shared" si="27"/>
        <v>7645.55</v>
      </c>
      <c r="O142" s="163"/>
      <c r="R142" s="133">
        <v>12628</v>
      </c>
      <c r="S142" s="9">
        <v>0.127</v>
      </c>
      <c r="T142" s="8">
        <f>+R142/S142</f>
        <v>99433.07086614173</v>
      </c>
      <c r="U142" s="133">
        <f>T142/N142</f>
        <v>13.005352246227115</v>
      </c>
    </row>
    <row r="143" spans="1:42" s="133" customFormat="1" x14ac:dyDescent="0.25">
      <c r="A143" s="164" t="s">
        <v>167</v>
      </c>
      <c r="C143" s="161">
        <v>1961</v>
      </c>
      <c r="M143" s="162">
        <v>30000</v>
      </c>
      <c r="N143" s="163">
        <f t="shared" si="27"/>
        <v>22936.649999999998</v>
      </c>
      <c r="O143" s="163"/>
      <c r="S143" s="9">
        <v>0.126</v>
      </c>
    </row>
    <row r="144" spans="1:42" s="133" customFormat="1" x14ac:dyDescent="0.25">
      <c r="A144" s="164" t="s">
        <v>167</v>
      </c>
      <c r="C144" s="161">
        <v>1961</v>
      </c>
      <c r="M144" s="162">
        <v>50000</v>
      </c>
      <c r="N144" s="163">
        <f t="shared" si="27"/>
        <v>38227.75</v>
      </c>
      <c r="O144" s="163"/>
      <c r="S144" s="9">
        <v>0.126</v>
      </c>
    </row>
    <row r="145" spans="1:42" s="133" customFormat="1" x14ac:dyDescent="0.25">
      <c r="C145" s="133">
        <v>1963</v>
      </c>
      <c r="G145" s="133">
        <v>39.940556999999998</v>
      </c>
      <c r="H145" s="133">
        <v>-74.070429000000004</v>
      </c>
      <c r="I145" s="133" t="s">
        <v>14</v>
      </c>
      <c r="J145" s="133" t="s">
        <v>14</v>
      </c>
      <c r="R145" s="133">
        <v>154498</v>
      </c>
      <c r="S145" s="133">
        <v>0.129</v>
      </c>
      <c r="T145" s="133">
        <f>+R145/S145</f>
        <v>1197658.914728682</v>
      </c>
    </row>
    <row r="146" spans="1:42" s="112" customFormat="1" ht="14.5" x14ac:dyDescent="0.35">
      <c r="A146" s="103" t="s">
        <v>170</v>
      </c>
      <c r="B146" s="104" t="s">
        <v>13</v>
      </c>
      <c r="C146" s="104"/>
      <c r="D146" s="104">
        <f>COUNT(C140:C145,C127:C132)</f>
        <v>12</v>
      </c>
      <c r="E146" s="104">
        <f>MIN(C140:C145,C127:C132)</f>
        <v>1961</v>
      </c>
      <c r="F146" s="104">
        <f>MAX(C140:C145,C127:C132)</f>
        <v>2019</v>
      </c>
      <c r="G146" s="105"/>
      <c r="H146" s="105"/>
      <c r="I146" s="117"/>
      <c r="J146" s="117"/>
      <c r="K146" s="107">
        <f>AVERAGE(K140:K145,K127:K132)</f>
        <v>73920</v>
      </c>
      <c r="L146" s="107">
        <f>AVERAGE(L140:L145,L127:L132)</f>
        <v>22530.816000000003</v>
      </c>
      <c r="M146" s="107">
        <f>AVERAGE(M140:M145,M127:M132)</f>
        <v>1025811.2727272727</v>
      </c>
      <c r="N146" s="107">
        <f>AVERAGE(N140:N145,N127:N130,N132,(N131/L131)*1270)</f>
        <v>128417.19046992784</v>
      </c>
      <c r="O146" s="107"/>
      <c r="P146" s="108">
        <f>AVERAGE(P140:P145,P127:P132)</f>
        <v>345.11858224922582</v>
      </c>
      <c r="Q146" s="108">
        <f>AVERAGE(Q140:Q145,Q127:Q132)</f>
        <v>34.511858224922584</v>
      </c>
      <c r="R146" s="110">
        <f>AVERAGE(R140:R145,R127:R132)</f>
        <v>16341060.5</v>
      </c>
      <c r="S146" s="111"/>
      <c r="T146" s="110">
        <f>AVERAGE(T140:T145,T127:T132)</f>
        <v>15885208.550370671</v>
      </c>
      <c r="U146" s="108">
        <f>AVERAGE(U140:U145,U127:U132)</f>
        <v>9.9989581883336083</v>
      </c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  <c r="AI146" s="113"/>
      <c r="AJ146" s="113"/>
      <c r="AK146" s="113"/>
      <c r="AL146" s="113"/>
      <c r="AM146" s="113"/>
      <c r="AN146" s="113"/>
      <c r="AO146" s="113"/>
      <c r="AP146" s="113"/>
    </row>
    <row r="147" spans="1:42" s="152" customFormat="1" ht="14.5" x14ac:dyDescent="0.35">
      <c r="A147" s="142" t="s">
        <v>75</v>
      </c>
      <c r="B147" s="143" t="s">
        <v>13</v>
      </c>
      <c r="C147" s="143">
        <v>1961</v>
      </c>
      <c r="D147" s="143">
        <v>1</v>
      </c>
      <c r="E147" s="143"/>
      <c r="F147" s="143"/>
      <c r="G147" s="145">
        <v>39.939866000000002</v>
      </c>
      <c r="H147" s="145">
        <v>-74.165678999999997</v>
      </c>
      <c r="I147" s="146" t="s">
        <v>14</v>
      </c>
      <c r="J147" s="146" t="s">
        <v>14</v>
      </c>
      <c r="K147" s="147"/>
      <c r="L147" s="148"/>
      <c r="M147" s="155">
        <v>50000</v>
      </c>
      <c r="N147" s="148">
        <f t="shared" si="27"/>
        <v>38227.75</v>
      </c>
      <c r="O147" s="148"/>
      <c r="P147" s="148" t="e">
        <f>N147/L147</f>
        <v>#DIV/0!</v>
      </c>
      <c r="Q147" s="148"/>
      <c r="R147" s="149"/>
      <c r="S147" s="150">
        <v>0.126</v>
      </c>
      <c r="T147" s="151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</row>
    <row r="148" spans="1:42" s="152" customFormat="1" ht="14.5" x14ac:dyDescent="0.35">
      <c r="A148" s="142" t="s">
        <v>74</v>
      </c>
      <c r="B148" s="143" t="s">
        <v>13</v>
      </c>
      <c r="C148" s="143">
        <v>1961</v>
      </c>
      <c r="D148" s="143">
        <v>1</v>
      </c>
      <c r="E148" s="143"/>
      <c r="F148" s="143"/>
      <c r="G148" s="145">
        <v>39.928019999999997</v>
      </c>
      <c r="H148" s="145">
        <v>-74.133234999999999</v>
      </c>
      <c r="I148" s="146" t="s">
        <v>14</v>
      </c>
      <c r="J148" s="146" t="s">
        <v>14</v>
      </c>
      <c r="K148" s="147"/>
      <c r="L148" s="148"/>
      <c r="M148" s="155">
        <v>30000</v>
      </c>
      <c r="N148" s="148">
        <f t="shared" si="27"/>
        <v>22936.649999999998</v>
      </c>
      <c r="O148" s="148"/>
      <c r="P148" s="148" t="e">
        <f>N148/L148</f>
        <v>#DIV/0!</v>
      </c>
      <c r="Q148" s="148"/>
      <c r="R148" s="149"/>
      <c r="S148" s="150">
        <v>0.126</v>
      </c>
      <c r="T148" s="151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</row>
    <row r="149" spans="1:42" x14ac:dyDescent="0.25">
      <c r="A149" s="2" t="s">
        <v>90</v>
      </c>
      <c r="B149" s="3" t="s">
        <v>13</v>
      </c>
      <c r="C149" s="3">
        <v>1963</v>
      </c>
      <c r="D149" s="3"/>
      <c r="E149" s="3"/>
      <c r="F149" s="3"/>
      <c r="G149" s="4">
        <v>39.924416000000001</v>
      </c>
      <c r="H149" s="4">
        <v>-74.074387999999999</v>
      </c>
      <c r="I149" s="14" t="s">
        <v>15</v>
      </c>
      <c r="J149" s="14" t="s">
        <v>17</v>
      </c>
      <c r="K149" s="6"/>
      <c r="L149" s="12"/>
      <c r="M149" s="7">
        <v>136400</v>
      </c>
      <c r="N149" s="12">
        <f t="shared" si="27"/>
        <v>104285.302</v>
      </c>
      <c r="O149" s="12"/>
      <c r="P149" s="12"/>
      <c r="Q149" s="12"/>
      <c r="R149" s="8">
        <v>99443</v>
      </c>
      <c r="S149" s="9">
        <v>0.129</v>
      </c>
      <c r="T149" s="8">
        <f>+R149/S149</f>
        <v>770875.96899224806</v>
      </c>
      <c r="U149" s="133">
        <f>T149/N149</f>
        <v>7.3919905701787973</v>
      </c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1:42" x14ac:dyDescent="0.25">
      <c r="A150" s="2" t="s">
        <v>90</v>
      </c>
      <c r="B150" s="3" t="s">
        <v>13</v>
      </c>
      <c r="C150" s="3">
        <v>1964</v>
      </c>
      <c r="D150" s="3"/>
      <c r="E150" s="3"/>
      <c r="F150" s="3"/>
      <c r="G150" s="4">
        <v>39.924416000000001</v>
      </c>
      <c r="H150" s="4">
        <v>-74.074387999999999</v>
      </c>
      <c r="I150" s="5" t="s">
        <v>14</v>
      </c>
      <c r="J150" s="5" t="s">
        <v>14</v>
      </c>
      <c r="K150" s="6"/>
      <c r="L150" s="12"/>
      <c r="M150" s="7">
        <v>190000</v>
      </c>
      <c r="N150" s="12">
        <f t="shared" si="27"/>
        <v>145265.44999999998</v>
      </c>
      <c r="O150" s="12"/>
      <c r="P150" s="12"/>
      <c r="Q150" s="12"/>
      <c r="R150" s="13"/>
      <c r="S150" s="9">
        <v>0.13</v>
      </c>
      <c r="T150" s="8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1:42" s="112" customFormat="1" ht="14.5" x14ac:dyDescent="0.35">
      <c r="A151" s="103" t="s">
        <v>149</v>
      </c>
      <c r="B151" s="104"/>
      <c r="C151" s="104"/>
      <c r="D151" s="104">
        <f>COUNT(C149:C150,C131)</f>
        <v>3</v>
      </c>
      <c r="E151" s="104">
        <f>MIN(C149:C150,C131)</f>
        <v>1963</v>
      </c>
      <c r="F151" s="104">
        <f>MAX(C149:C150,C131)</f>
        <v>2019</v>
      </c>
      <c r="G151" s="105"/>
      <c r="H151" s="105"/>
      <c r="I151" s="117"/>
      <c r="J151" s="117"/>
      <c r="K151" s="160">
        <f>AVERAGE(K149:K150,K131)</f>
        <v>73920</v>
      </c>
      <c r="L151" s="160">
        <f>AVERAGE(L149:L150,L131)</f>
        <v>22530.816000000003</v>
      </c>
      <c r="M151" s="160">
        <f>AVERAGE(M149:M150,M131)</f>
        <v>3442133.3333333335</v>
      </c>
      <c r="N151" s="160">
        <f>AVERAGE(N149:N150,(N131/L131)*2700)</f>
        <v>388587.30306636664</v>
      </c>
      <c r="O151" s="160"/>
      <c r="P151" s="108">
        <f>AVERAGE(P149:P150,P131)</f>
        <v>345.11858224922582</v>
      </c>
      <c r="Q151" s="108">
        <f>AVERAGE(Q149:Q150,Q131)</f>
        <v>34.511858224922584</v>
      </c>
      <c r="R151" s="118"/>
      <c r="S151" s="111"/>
      <c r="T151" s="160">
        <f>AVERAGE(T149:T150,T131)</f>
        <v>61133101.535897993</v>
      </c>
      <c r="U151" s="108">
        <f>AVERAGE(U149:U150,U131)</f>
        <v>11.641488225610599</v>
      </c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13"/>
    </row>
    <row r="152" spans="1:42" s="101" customFormat="1" ht="14.5" x14ac:dyDescent="0.35">
      <c r="A152" s="90" t="s">
        <v>44</v>
      </c>
      <c r="B152" s="91" t="s">
        <v>13</v>
      </c>
      <c r="C152" s="91">
        <v>1962</v>
      </c>
      <c r="D152" s="91"/>
      <c r="E152" s="91"/>
      <c r="F152" s="91"/>
      <c r="G152" s="92">
        <v>39.821672</v>
      </c>
      <c r="H152" s="92">
        <v>-74.089651000000003</v>
      </c>
      <c r="I152" s="93" t="s">
        <v>15</v>
      </c>
      <c r="J152" s="93" t="s">
        <v>17</v>
      </c>
      <c r="K152" s="95"/>
      <c r="L152" s="96"/>
      <c r="M152" s="97">
        <v>60000</v>
      </c>
      <c r="N152" s="96">
        <f t="shared" si="27"/>
        <v>45873.299999999996</v>
      </c>
      <c r="O152" s="96"/>
      <c r="P152" s="96"/>
      <c r="Q152" s="96"/>
      <c r="R152" s="98"/>
      <c r="S152" s="99">
        <v>0.127</v>
      </c>
      <c r="T152" s="100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</row>
    <row r="153" spans="1:42" s="101" customFormat="1" ht="14.5" x14ac:dyDescent="0.35">
      <c r="A153" s="90" t="s">
        <v>44</v>
      </c>
      <c r="B153" s="91" t="s">
        <v>13</v>
      </c>
      <c r="C153" s="91">
        <v>1955</v>
      </c>
      <c r="D153" s="91"/>
      <c r="E153" s="91"/>
      <c r="F153" s="91"/>
      <c r="G153" s="92">
        <v>39.821672</v>
      </c>
      <c r="H153" s="92">
        <v>-74.089651000000003</v>
      </c>
      <c r="I153" s="94" t="s">
        <v>14</v>
      </c>
      <c r="J153" s="94" t="s">
        <v>14</v>
      </c>
      <c r="K153" s="95"/>
      <c r="L153" s="96"/>
      <c r="M153" s="97">
        <v>200000</v>
      </c>
      <c r="N153" s="96">
        <f t="shared" si="27"/>
        <v>152911</v>
      </c>
      <c r="O153" s="96"/>
      <c r="P153" s="96"/>
      <c r="Q153" s="96"/>
      <c r="R153" s="98"/>
      <c r="S153" s="99">
        <v>0.112</v>
      </c>
      <c r="T153" s="100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</row>
    <row r="154" spans="1:42" s="152" customFormat="1" ht="14.5" x14ac:dyDescent="0.35">
      <c r="A154" s="142" t="s">
        <v>138</v>
      </c>
      <c r="B154" s="143"/>
      <c r="C154" s="143"/>
      <c r="D154" s="143">
        <f>COUNT(C152:C153)</f>
        <v>2</v>
      </c>
      <c r="E154" s="143"/>
      <c r="F154" s="143"/>
      <c r="G154" s="145"/>
      <c r="H154" s="145"/>
      <c r="I154" s="146"/>
      <c r="J154" s="146"/>
      <c r="K154" s="147"/>
      <c r="L154" s="148"/>
      <c r="M154" s="155"/>
      <c r="N154" s="148"/>
      <c r="O154" s="148"/>
      <c r="P154" s="148"/>
      <c r="Q154" s="148"/>
      <c r="R154" s="149"/>
      <c r="S154" s="150"/>
      <c r="T154" s="151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</row>
    <row r="155" spans="1:42" x14ac:dyDescent="0.25">
      <c r="A155" s="2" t="s">
        <v>26</v>
      </c>
      <c r="B155" s="3" t="s">
        <v>13</v>
      </c>
      <c r="C155" s="11">
        <v>1963</v>
      </c>
      <c r="D155" s="11"/>
      <c r="E155" s="11"/>
      <c r="F155" s="11"/>
      <c r="G155" s="4">
        <v>39.764626</v>
      </c>
      <c r="H155" s="4">
        <v>-74.105425999999994</v>
      </c>
      <c r="I155" s="5" t="s">
        <v>15</v>
      </c>
      <c r="J155" s="18" t="s">
        <v>17</v>
      </c>
      <c r="K155" s="6"/>
      <c r="L155" s="12">
        <v>2748</v>
      </c>
      <c r="M155" s="12">
        <v>65000</v>
      </c>
      <c r="N155" s="12">
        <f t="shared" si="27"/>
        <v>49696.074999999997</v>
      </c>
      <c r="O155" s="12"/>
      <c r="P155" s="12">
        <f t="shared" ref="P155" si="28">N155/L155</f>
        <v>18.08445232896652</v>
      </c>
      <c r="Q155" s="12">
        <f t="shared" ref="Q155" si="29">P155/10</f>
        <v>1.808445232896652</v>
      </c>
      <c r="R155" s="19">
        <v>71566</v>
      </c>
      <c r="S155" s="9">
        <v>0.129</v>
      </c>
      <c r="T155" s="8">
        <f>+R155/S155</f>
        <v>554775.19379844959</v>
      </c>
      <c r="U155" s="133">
        <f t="shared" ref="U155:U156" si="30">T155/N155</f>
        <v>11.163360361928978</v>
      </c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x14ac:dyDescent="0.25">
      <c r="A156" s="2" t="s">
        <v>26</v>
      </c>
      <c r="B156" s="3" t="s">
        <v>13</v>
      </c>
      <c r="C156" s="3">
        <v>1991</v>
      </c>
      <c r="D156" s="3"/>
      <c r="E156" s="3"/>
      <c r="F156" s="3"/>
      <c r="G156" s="4">
        <v>39.764626</v>
      </c>
      <c r="H156" s="4">
        <v>-74.105425999999994</v>
      </c>
      <c r="I156" s="14" t="s">
        <v>15</v>
      </c>
      <c r="J156" s="5" t="s">
        <v>19</v>
      </c>
      <c r="K156" s="6"/>
      <c r="L156" s="12"/>
      <c r="M156" s="7">
        <v>75000</v>
      </c>
      <c r="N156" s="12">
        <f t="shared" si="27"/>
        <v>57341.625</v>
      </c>
      <c r="O156" s="12"/>
      <c r="P156" s="12"/>
      <c r="Q156" s="12"/>
      <c r="R156" s="8">
        <v>326087</v>
      </c>
      <c r="S156" s="9">
        <v>0.57099999999999995</v>
      </c>
      <c r="T156" s="8">
        <f>+R156/S156</f>
        <v>571080.56042031525</v>
      </c>
      <c r="U156" s="133">
        <f t="shared" si="30"/>
        <v>9.9592671191357987</v>
      </c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x14ac:dyDescent="0.25">
      <c r="A157" s="2" t="s">
        <v>51</v>
      </c>
      <c r="B157" s="3" t="s">
        <v>13</v>
      </c>
      <c r="C157" s="3">
        <v>1962</v>
      </c>
      <c r="D157" s="3"/>
      <c r="E157" s="3"/>
      <c r="F157" s="3"/>
      <c r="G157" s="4">
        <v>39.764626</v>
      </c>
      <c r="H157" s="4">
        <v>-74.105425999999994</v>
      </c>
      <c r="I157" s="14" t="s">
        <v>1</v>
      </c>
      <c r="J157" s="5" t="s">
        <v>17</v>
      </c>
      <c r="K157" s="6"/>
      <c r="L157" s="12"/>
      <c r="M157" s="7">
        <v>88503</v>
      </c>
      <c r="N157" s="12">
        <f t="shared" si="27"/>
        <v>67665.411164999998</v>
      </c>
      <c r="O157" s="12"/>
      <c r="P157" s="12"/>
      <c r="Q157" s="12"/>
      <c r="R157" s="13"/>
      <c r="S157" s="9">
        <v>0.127</v>
      </c>
      <c r="T157" s="8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s="133" customFormat="1" x14ac:dyDescent="0.25">
      <c r="A158" s="2" t="s">
        <v>166</v>
      </c>
      <c r="B158" s="3"/>
      <c r="C158" s="3">
        <v>2016</v>
      </c>
      <c r="D158" s="3"/>
      <c r="E158" s="3"/>
      <c r="F158" s="3"/>
      <c r="G158" s="4"/>
      <c r="H158" s="4"/>
      <c r="I158" s="14"/>
      <c r="J158" s="5"/>
      <c r="K158" s="6"/>
      <c r="L158" s="12"/>
      <c r="M158" s="7">
        <v>10111917</v>
      </c>
      <c r="N158" s="12">
        <f>M158*0.764555</f>
        <v>7731116.7019349998</v>
      </c>
      <c r="O158" s="12"/>
      <c r="P158" s="12">
        <f>N158/15670</f>
        <v>493.37056170612635</v>
      </c>
      <c r="Q158" s="178">
        <f>P158/10</f>
        <v>49.337056170612634</v>
      </c>
      <c r="R158" s="13">
        <v>162416911</v>
      </c>
      <c r="S158" s="175">
        <v>1</v>
      </c>
      <c r="T158" s="8">
        <f>+R158/S158</f>
        <v>162416911</v>
      </c>
      <c r="U158" s="133">
        <f t="shared" ref="U158:U159" si="31">T158/N158</f>
        <v>21.008208420828666</v>
      </c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s="133" customFormat="1" x14ac:dyDescent="0.25">
      <c r="A159" s="2" t="s">
        <v>166</v>
      </c>
      <c r="B159" s="3"/>
      <c r="C159" s="3">
        <v>2018</v>
      </c>
      <c r="D159" s="3"/>
      <c r="E159" s="3"/>
      <c r="F159" s="3"/>
      <c r="G159" s="4"/>
      <c r="H159" s="4"/>
      <c r="I159" s="14"/>
      <c r="J159" s="5"/>
      <c r="K159" s="6"/>
      <c r="L159" s="12"/>
      <c r="M159" s="7">
        <v>2361000</v>
      </c>
      <c r="N159" s="12">
        <f>M159*0.764555</f>
        <v>1805114.355</v>
      </c>
      <c r="O159" s="12"/>
      <c r="P159" s="12">
        <f>N159/15670</f>
        <v>115.1955555201021</v>
      </c>
      <c r="Q159" s="178">
        <f>P159/10</f>
        <v>11.51955555201021</v>
      </c>
      <c r="R159" s="13">
        <v>40147000</v>
      </c>
      <c r="S159" s="9">
        <v>1.0468</v>
      </c>
      <c r="T159" s="8">
        <f>+R159/S159</f>
        <v>38352120.748949178</v>
      </c>
      <c r="U159" s="133">
        <f t="shared" si="31"/>
        <v>21.24636627187488</v>
      </c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s="112" customFormat="1" ht="14.5" x14ac:dyDescent="0.35">
      <c r="A160" s="103" t="s">
        <v>107</v>
      </c>
      <c r="B160" s="104"/>
      <c r="C160" s="104">
        <f>MAX(C155:C157)-MIN(C155:C157)</f>
        <v>29</v>
      </c>
      <c r="D160" s="104">
        <f>COUNT(C155:C159,C180)</f>
        <v>6</v>
      </c>
      <c r="E160" s="104">
        <f>MIN(C155:C159,C180)</f>
        <v>1962</v>
      </c>
      <c r="F160" s="104">
        <f>MAX(C155:C159,C180)</f>
        <v>2018</v>
      </c>
      <c r="G160" s="105">
        <f>AVERAGE(G155:G157)</f>
        <v>39.764626</v>
      </c>
      <c r="H160" s="105">
        <f>AVERAGE(H155:H157)</f>
        <v>-74.105425999999994</v>
      </c>
      <c r="I160" s="106" t="e">
        <f>INDEX(I145:I157,MODE(MATCH(I145:I157,I145:I157,0)))</f>
        <v>#N/A</v>
      </c>
      <c r="J160" s="117"/>
      <c r="K160" s="107" t="e">
        <f>AVERAGE(K155:K159,K180)</f>
        <v>#DIV/0!</v>
      </c>
      <c r="L160" s="107">
        <f>AVERAGE(L155:L159,L180)</f>
        <v>2748</v>
      </c>
      <c r="M160" s="107">
        <f>AVERAGE(M155:M159,M180)</f>
        <v>2369403.3333333335</v>
      </c>
      <c r="N160" s="107">
        <f>AVERAGE(N155:N157,N170,(N158/15670)*2920,(N159/15670)*2920)</f>
        <v>416395.49974426458</v>
      </c>
      <c r="O160" s="107"/>
      <c r="P160" s="108">
        <f>AVERAGE(P155:P159,P170)</f>
        <v>180.26124134065671</v>
      </c>
      <c r="Q160" s="108">
        <f>AVERAGE(Q155:Q159,Q170)</f>
        <v>18.026124134065672</v>
      </c>
      <c r="R160" s="118">
        <f>MEDIAN(R155:R157)</f>
        <v>198826.5</v>
      </c>
      <c r="S160" s="118">
        <f>MEDIAN(S155:S157)</f>
        <v>0.129</v>
      </c>
      <c r="T160" s="118">
        <f>AVERAGE(T155:T157)</f>
        <v>562927.87710938242</v>
      </c>
      <c r="U160" s="108">
        <f>AVERAGE(U155:U159,U170)</f>
        <v>14.881260826099814</v>
      </c>
      <c r="Y160" s="113"/>
      <c r="Z160" s="113"/>
      <c r="AA160" s="113"/>
      <c r="AB160" s="113"/>
      <c r="AC160" s="113"/>
      <c r="AD160" s="113"/>
      <c r="AE160" s="113"/>
      <c r="AF160" s="113"/>
      <c r="AG160" s="113"/>
      <c r="AH160" s="113"/>
      <c r="AI160" s="113"/>
      <c r="AJ160" s="113"/>
      <c r="AK160" s="113"/>
      <c r="AL160" s="113"/>
      <c r="AM160" s="113"/>
      <c r="AN160" s="113"/>
      <c r="AO160" s="113"/>
      <c r="AP160" s="113"/>
    </row>
    <row r="161" spans="1:42" x14ac:dyDescent="0.25">
      <c r="A161" s="29" t="s">
        <v>58</v>
      </c>
      <c r="B161" s="34" t="s">
        <v>13</v>
      </c>
      <c r="C161" s="34">
        <v>1962</v>
      </c>
      <c r="D161" s="34"/>
      <c r="E161" s="34"/>
      <c r="F161" s="34"/>
      <c r="G161" s="22">
        <v>39.723635000000002</v>
      </c>
      <c r="H161" s="22">
        <v>-74.134540999999999</v>
      </c>
      <c r="I161" s="14" t="s">
        <v>1</v>
      </c>
      <c r="J161" s="23" t="s">
        <v>17</v>
      </c>
      <c r="K161" s="6"/>
      <c r="L161" s="12">
        <v>3385</v>
      </c>
      <c r="M161" s="7">
        <v>79348</v>
      </c>
      <c r="N161" s="12">
        <f>M161*0.764555</f>
        <v>60665.91014</v>
      </c>
      <c r="O161" s="12"/>
      <c r="P161" s="12">
        <f t="shared" ref="P161" si="32">N161/L161</f>
        <v>17.921982316100443</v>
      </c>
      <c r="Q161" s="12">
        <f t="shared" ref="Q161" si="33">P161/10</f>
        <v>1.7921982316100444</v>
      </c>
      <c r="R161" s="36"/>
      <c r="S161" s="9">
        <v>0.127</v>
      </c>
      <c r="T161" s="8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x14ac:dyDescent="0.25">
      <c r="A162" s="29" t="s">
        <v>58</v>
      </c>
      <c r="B162" s="34" t="s">
        <v>13</v>
      </c>
      <c r="C162" s="34">
        <v>1992</v>
      </c>
      <c r="D162" s="34"/>
      <c r="E162" s="34"/>
      <c r="F162" s="34"/>
      <c r="G162" s="22">
        <v>39.723635000000002</v>
      </c>
      <c r="H162" s="22">
        <v>-74.134540999999999</v>
      </c>
      <c r="I162" s="5" t="s">
        <v>15</v>
      </c>
      <c r="J162" s="18" t="s">
        <v>14</v>
      </c>
      <c r="K162" s="24"/>
      <c r="L162" s="12"/>
      <c r="M162" s="25">
        <v>183000</v>
      </c>
      <c r="N162" s="12">
        <f>M162*0.764555</f>
        <v>139913.565</v>
      </c>
      <c r="O162" s="12"/>
      <c r="P162" s="12"/>
      <c r="Q162" s="12"/>
      <c r="R162" s="36"/>
      <c r="S162" s="9">
        <v>0.58799999999999997</v>
      </c>
      <c r="T162" s="8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s="112" customFormat="1" ht="14.5" x14ac:dyDescent="0.35">
      <c r="A163" s="103" t="s">
        <v>122</v>
      </c>
      <c r="B163" s="104"/>
      <c r="C163" s="104">
        <f>C162-C161</f>
        <v>30</v>
      </c>
      <c r="D163" s="104">
        <f>COUNT(C161:C162,C164,C158:C159)</f>
        <v>5</v>
      </c>
      <c r="E163" s="104">
        <f>MIN(C161:C162,C173,C158:C159)</f>
        <v>1962</v>
      </c>
      <c r="F163" s="104">
        <f>MAX(C161:C162,C173,C158:C159)</f>
        <v>2018</v>
      </c>
      <c r="G163" s="105">
        <v>39.723635000000002</v>
      </c>
      <c r="H163" s="105">
        <v>-74.134540999999999</v>
      </c>
      <c r="I163" s="117" t="e">
        <f>INDEX(I149:I162,MODE(MATCH(I149:I162,I149:I162,0)))</f>
        <v>#N/A</v>
      </c>
      <c r="J163" s="117"/>
      <c r="K163" s="108">
        <f>AVERAGE(K161:K162,K164,K158:K159)</f>
        <v>3200</v>
      </c>
      <c r="L163" s="108">
        <f>AVERAGE(L161:L162,L164,L158:L159)</f>
        <v>2180.1799999999998</v>
      </c>
      <c r="M163" s="108">
        <f>AVERAGE(M161:M162,M164,M158:M159)</f>
        <v>2569991.6</v>
      </c>
      <c r="N163" s="108">
        <f>AVERAGE(N161:N162,N173,(N158/15670)*3380,(N159/15670)*3380)</f>
        <v>604417.59027293045</v>
      </c>
      <c r="O163" s="108"/>
      <c r="P163" s="108">
        <f>AVERAGE(P158:P159,P161:P162,P173)</f>
        <v>208.82936651410964</v>
      </c>
      <c r="Q163" s="108">
        <f>AVERAGE(Q158:Q159,Q161:Q162,Q173)</f>
        <v>20.882936651410962</v>
      </c>
      <c r="R163" s="118"/>
      <c r="S163" s="111"/>
      <c r="T163" s="108">
        <f>AVERAGE(T161:T162,T164,T158:T159)</f>
        <v>100384515.87447459</v>
      </c>
      <c r="U163" s="108">
        <f>AVERAGE(U158:U159,U161:U162,U173)</f>
        <v>21.127287346351771</v>
      </c>
      <c r="Y163" s="113"/>
      <c r="Z163" s="113"/>
      <c r="AA163" s="113"/>
      <c r="AB163" s="113"/>
      <c r="AC163" s="113"/>
      <c r="AD163" s="113"/>
      <c r="AE163" s="113"/>
      <c r="AF163" s="113"/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</row>
    <row r="164" spans="1:42" x14ac:dyDescent="0.25">
      <c r="A164" s="2" t="s">
        <v>54</v>
      </c>
      <c r="B164" s="3" t="s">
        <v>13</v>
      </c>
      <c r="C164" s="3">
        <v>1954</v>
      </c>
      <c r="D164" s="3"/>
      <c r="E164" s="3"/>
      <c r="F164" s="3"/>
      <c r="G164" s="4">
        <v>39.705998000000001</v>
      </c>
      <c r="H164" s="4">
        <v>-74.132244999999998</v>
      </c>
      <c r="I164" s="5" t="s">
        <v>14</v>
      </c>
      <c r="J164" s="5" t="s">
        <v>14</v>
      </c>
      <c r="K164" s="6">
        <v>3200</v>
      </c>
      <c r="L164" s="12">
        <f t="shared" ref="L164:L171" si="34">K164*0.3048</f>
        <v>975.36</v>
      </c>
      <c r="M164" s="7">
        <v>114693</v>
      </c>
      <c r="N164" s="12">
        <f t="shared" ref="N164:N180" si="35">M164*0.764555</f>
        <v>87689.106614999997</v>
      </c>
      <c r="O164" s="12"/>
      <c r="P164" s="12">
        <f t="shared" ref="P164:P171" si="36">N164/L164</f>
        <v>89.904349793922236</v>
      </c>
      <c r="Q164" s="12">
        <f t="shared" ref="Q164:Q171" si="37">P164/10</f>
        <v>8.9904349793922229</v>
      </c>
      <c r="R164" s="13"/>
      <c r="S164" s="9">
        <v>0.113</v>
      </c>
      <c r="T164" s="8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x14ac:dyDescent="0.25">
      <c r="A165" s="2" t="s">
        <v>54</v>
      </c>
      <c r="B165" s="3" t="s">
        <v>13</v>
      </c>
      <c r="C165" s="3">
        <v>1958</v>
      </c>
      <c r="D165" s="3"/>
      <c r="E165" s="3"/>
      <c r="F165" s="3"/>
      <c r="G165" s="4">
        <v>39.705998000000001</v>
      </c>
      <c r="H165" s="4">
        <v>-74.132244999999998</v>
      </c>
      <c r="I165" s="5" t="s">
        <v>14</v>
      </c>
      <c r="J165" s="5" t="s">
        <v>14</v>
      </c>
      <c r="K165" s="6">
        <v>2700</v>
      </c>
      <c r="L165" s="12">
        <f t="shared" si="34"/>
        <v>822.96</v>
      </c>
      <c r="M165" s="7">
        <v>149000</v>
      </c>
      <c r="N165" s="12">
        <f t="shared" si="35"/>
        <v>113918.69499999999</v>
      </c>
      <c r="O165" s="12"/>
      <c r="P165" s="12">
        <f t="shared" si="36"/>
        <v>138.42555531253035</v>
      </c>
      <c r="Q165" s="12">
        <f t="shared" si="37"/>
        <v>13.842555531253035</v>
      </c>
      <c r="R165" s="13"/>
      <c r="S165" s="9">
        <v>0.121</v>
      </c>
      <c r="T165" s="8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x14ac:dyDescent="0.25">
      <c r="A166" s="2" t="s">
        <v>54</v>
      </c>
      <c r="B166" s="3" t="s">
        <v>13</v>
      </c>
      <c r="C166" s="3">
        <v>1961</v>
      </c>
      <c r="D166" s="3"/>
      <c r="E166" s="3"/>
      <c r="F166" s="3"/>
      <c r="G166" s="4">
        <v>39.705998000000001</v>
      </c>
      <c r="H166" s="4">
        <v>-74.132244999999998</v>
      </c>
      <c r="I166" s="5" t="s">
        <v>14</v>
      </c>
      <c r="J166" s="5" t="s">
        <v>14</v>
      </c>
      <c r="K166" s="6">
        <v>1000</v>
      </c>
      <c r="L166" s="12">
        <f t="shared" si="34"/>
        <v>304.8</v>
      </c>
      <c r="M166" s="7">
        <v>58000</v>
      </c>
      <c r="N166" s="12">
        <f t="shared" si="35"/>
        <v>44344.19</v>
      </c>
      <c r="O166" s="12"/>
      <c r="P166" s="12">
        <f t="shared" si="36"/>
        <v>145.48618766404201</v>
      </c>
      <c r="Q166" s="12">
        <f t="shared" si="37"/>
        <v>14.5486187664042</v>
      </c>
      <c r="R166" s="13"/>
      <c r="S166" s="9">
        <v>0.126</v>
      </c>
      <c r="T166" s="8"/>
      <c r="Y166" s="10"/>
      <c r="Z166" s="10"/>
      <c r="AA166" s="10"/>
      <c r="AB166" s="10"/>
      <c r="AC166" s="10"/>
      <c r="AD166" s="10"/>
      <c r="AE166" s="10"/>
      <c r="AF166" s="10"/>
      <c r="AG166" s="10"/>
      <c r="AH166" s="16"/>
      <c r="AI166" s="16"/>
      <c r="AJ166" s="16"/>
      <c r="AK166" s="16"/>
      <c r="AL166" s="16"/>
      <c r="AM166" s="16"/>
      <c r="AN166" s="16"/>
      <c r="AO166" s="16"/>
      <c r="AP166" s="16"/>
    </row>
    <row r="167" spans="1:42" x14ac:dyDescent="0.25">
      <c r="A167" s="2" t="s">
        <v>54</v>
      </c>
      <c r="B167" s="3" t="s">
        <v>13</v>
      </c>
      <c r="C167" s="3">
        <v>1961</v>
      </c>
      <c r="D167" s="3"/>
      <c r="E167" s="3"/>
      <c r="F167" s="3"/>
      <c r="G167" s="4">
        <v>39.705998000000001</v>
      </c>
      <c r="H167" s="4">
        <v>-74.132244999999998</v>
      </c>
      <c r="I167" s="5" t="s">
        <v>14</v>
      </c>
      <c r="J167" s="5" t="s">
        <v>14</v>
      </c>
      <c r="K167" s="6">
        <v>1000</v>
      </c>
      <c r="L167" s="12">
        <f t="shared" si="34"/>
        <v>304.8</v>
      </c>
      <c r="M167" s="7">
        <v>60000</v>
      </c>
      <c r="N167" s="12">
        <f t="shared" si="35"/>
        <v>45873.299999999996</v>
      </c>
      <c r="O167" s="12"/>
      <c r="P167" s="12">
        <f t="shared" si="36"/>
        <v>150.50295275590548</v>
      </c>
      <c r="Q167" s="12">
        <f t="shared" si="37"/>
        <v>15.050295275590548</v>
      </c>
      <c r="R167" s="13"/>
      <c r="S167" s="9">
        <v>0.126</v>
      </c>
      <c r="T167" s="8"/>
      <c r="Y167" s="10"/>
      <c r="Z167" s="10"/>
      <c r="AA167" s="10"/>
      <c r="AB167" s="10"/>
      <c r="AC167" s="10"/>
      <c r="AD167" s="10"/>
      <c r="AE167" s="10"/>
      <c r="AF167" s="10"/>
      <c r="AG167" s="10"/>
      <c r="AH167" s="16"/>
      <c r="AI167" s="16"/>
      <c r="AJ167" s="16"/>
      <c r="AK167" s="16"/>
      <c r="AL167" s="16"/>
      <c r="AM167" s="16"/>
      <c r="AN167" s="16"/>
      <c r="AO167" s="16"/>
      <c r="AP167" s="16"/>
    </row>
    <row r="168" spans="1:42" x14ac:dyDescent="0.25">
      <c r="A168" s="2" t="s">
        <v>54</v>
      </c>
      <c r="B168" s="3" t="s">
        <v>13</v>
      </c>
      <c r="C168" s="3">
        <v>1962</v>
      </c>
      <c r="D168" s="3"/>
      <c r="E168" s="3"/>
      <c r="F168" s="3"/>
      <c r="G168" s="4">
        <v>39.705998000000001</v>
      </c>
      <c r="H168" s="4">
        <v>-74.132244999999998</v>
      </c>
      <c r="I168" s="14" t="s">
        <v>1</v>
      </c>
      <c r="J168" s="18" t="s">
        <v>17</v>
      </c>
      <c r="K168" s="6">
        <v>5660</v>
      </c>
      <c r="L168" s="12">
        <f t="shared" si="34"/>
        <v>1725.1680000000001</v>
      </c>
      <c r="M168" s="7">
        <v>353046</v>
      </c>
      <c r="N168" s="12">
        <f t="shared" si="35"/>
        <v>269923.08452999999</v>
      </c>
      <c r="O168" s="12"/>
      <c r="P168" s="12">
        <f t="shared" si="36"/>
        <v>156.46191242244231</v>
      </c>
      <c r="Q168" s="12">
        <f t="shared" si="37"/>
        <v>15.646191242244232</v>
      </c>
      <c r="R168" s="13"/>
      <c r="S168" s="9">
        <v>0.127</v>
      </c>
      <c r="T168" s="8"/>
      <c r="Y168" s="10"/>
      <c r="Z168" s="10"/>
      <c r="AA168" s="10"/>
      <c r="AB168" s="10"/>
      <c r="AC168" s="10"/>
      <c r="AD168" s="10"/>
      <c r="AE168" s="10"/>
      <c r="AF168" s="10"/>
      <c r="AG168" s="10"/>
      <c r="AH168" s="16"/>
      <c r="AI168" s="16"/>
      <c r="AJ168" s="16"/>
      <c r="AK168" s="16"/>
      <c r="AL168" s="16"/>
      <c r="AM168" s="16"/>
      <c r="AN168" s="16"/>
      <c r="AO168" s="16"/>
      <c r="AP168" s="16"/>
    </row>
    <row r="169" spans="1:42" x14ac:dyDescent="0.25">
      <c r="A169" s="2" t="s">
        <v>54</v>
      </c>
      <c r="B169" s="3" t="s">
        <v>13</v>
      </c>
      <c r="C169" s="3">
        <v>1962</v>
      </c>
      <c r="D169" s="3"/>
      <c r="E169" s="3"/>
      <c r="F169" s="3"/>
      <c r="G169" s="4">
        <v>39.705998000000001</v>
      </c>
      <c r="H169" s="4">
        <v>-74.132244999999998</v>
      </c>
      <c r="I169" s="14" t="s">
        <v>1</v>
      </c>
      <c r="J169" s="18" t="s">
        <v>17</v>
      </c>
      <c r="K169" s="6">
        <v>3000</v>
      </c>
      <c r="L169" s="12">
        <f t="shared" si="34"/>
        <v>914.40000000000009</v>
      </c>
      <c r="M169" s="7">
        <v>235252</v>
      </c>
      <c r="N169" s="12">
        <f t="shared" si="35"/>
        <v>179863.09286</v>
      </c>
      <c r="O169" s="12"/>
      <c r="P169" s="12">
        <f t="shared" si="36"/>
        <v>196.700670231846</v>
      </c>
      <c r="Q169" s="12">
        <f t="shared" si="37"/>
        <v>19.6700670231846</v>
      </c>
      <c r="R169" s="13"/>
      <c r="S169" s="9">
        <v>0.127</v>
      </c>
      <c r="T169" s="8"/>
      <c r="Y169" s="10"/>
      <c r="Z169" s="10"/>
      <c r="AA169" s="10"/>
      <c r="AB169" s="10"/>
      <c r="AC169" s="10"/>
      <c r="AD169" s="10"/>
      <c r="AE169" s="10"/>
      <c r="AF169" s="10"/>
      <c r="AG169" s="10"/>
      <c r="AH169" s="16"/>
      <c r="AI169" s="16"/>
      <c r="AJ169" s="16"/>
      <c r="AK169" s="16"/>
      <c r="AL169" s="16"/>
      <c r="AM169" s="16"/>
      <c r="AN169" s="16"/>
      <c r="AO169" s="16"/>
      <c r="AP169" s="16"/>
    </row>
    <row r="170" spans="1:42" x14ac:dyDescent="0.25">
      <c r="A170" s="38" t="s">
        <v>57</v>
      </c>
      <c r="B170" s="39" t="s">
        <v>13</v>
      </c>
      <c r="C170" s="39">
        <v>1962</v>
      </c>
      <c r="D170" s="39"/>
      <c r="E170" s="39"/>
      <c r="F170" s="39"/>
      <c r="G170" s="59">
        <v>39.704970000000003</v>
      </c>
      <c r="H170" s="59">
        <v>-74.133149000000003</v>
      </c>
      <c r="I170" s="48" t="s">
        <v>15</v>
      </c>
      <c r="J170" s="41" t="s">
        <v>35</v>
      </c>
      <c r="K170" s="42">
        <v>19000</v>
      </c>
      <c r="L170" s="12">
        <f t="shared" si="34"/>
        <v>5791.2000000000007</v>
      </c>
      <c r="M170" s="49">
        <v>715000</v>
      </c>
      <c r="N170" s="12">
        <f t="shared" si="35"/>
        <v>546656.82499999995</v>
      </c>
      <c r="O170" s="12"/>
      <c r="P170" s="12">
        <f t="shared" si="36"/>
        <v>94.394395807431948</v>
      </c>
      <c r="Q170" s="12">
        <f t="shared" si="37"/>
        <v>9.4394395807431941</v>
      </c>
      <c r="R170" s="60">
        <v>765700</v>
      </c>
      <c r="S170" s="44">
        <v>0.127</v>
      </c>
      <c r="T170" s="45">
        <f>+R170/S170</f>
        <v>6029133.8582677161</v>
      </c>
      <c r="U170" s="133">
        <f>T170/N170</f>
        <v>11.029101956730745</v>
      </c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x14ac:dyDescent="0.25">
      <c r="A171" s="2" t="s">
        <v>54</v>
      </c>
      <c r="B171" s="3" t="s">
        <v>13</v>
      </c>
      <c r="C171" s="3">
        <v>1966</v>
      </c>
      <c r="D171" s="3"/>
      <c r="E171" s="3"/>
      <c r="F171" s="3"/>
      <c r="G171" s="4">
        <v>39.705998000000001</v>
      </c>
      <c r="H171" s="4">
        <v>-74.132244999999998</v>
      </c>
      <c r="I171" s="14" t="s">
        <v>1</v>
      </c>
      <c r="J171" s="18" t="s">
        <v>17</v>
      </c>
      <c r="K171" s="6">
        <v>3600</v>
      </c>
      <c r="L171" s="12">
        <f t="shared" si="34"/>
        <v>1097.28</v>
      </c>
      <c r="M171" s="7">
        <v>72870</v>
      </c>
      <c r="N171" s="12">
        <f t="shared" si="35"/>
        <v>55713.12285</v>
      </c>
      <c r="O171" s="12"/>
      <c r="P171" s="12">
        <f t="shared" si="36"/>
        <v>50.773843367235344</v>
      </c>
      <c r="Q171" s="12">
        <f t="shared" si="37"/>
        <v>5.0773843367235347</v>
      </c>
      <c r="R171" s="13"/>
      <c r="S171" s="9">
        <v>0.13600000000000001</v>
      </c>
      <c r="T171" s="8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x14ac:dyDescent="0.25">
      <c r="A172" s="2" t="s">
        <v>54</v>
      </c>
      <c r="B172" s="3" t="s">
        <v>13</v>
      </c>
      <c r="C172" s="3">
        <v>1967</v>
      </c>
      <c r="D172" s="3"/>
      <c r="E172" s="3"/>
      <c r="F172" s="3"/>
      <c r="G172" s="4">
        <v>39.705998000000001</v>
      </c>
      <c r="H172" s="4">
        <v>-74.132244999999998</v>
      </c>
      <c r="I172" s="5" t="s">
        <v>14</v>
      </c>
      <c r="J172" s="5" t="s">
        <v>14</v>
      </c>
      <c r="K172" s="6"/>
      <c r="L172" s="12"/>
      <c r="M172" s="7">
        <v>35000</v>
      </c>
      <c r="N172" s="12">
        <f t="shared" si="35"/>
        <v>26759.424999999999</v>
      </c>
      <c r="O172" s="12"/>
      <c r="P172" s="12"/>
      <c r="Q172" s="12"/>
      <c r="R172" s="13"/>
      <c r="S172" s="9">
        <v>0.14000000000000001</v>
      </c>
      <c r="T172" s="8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x14ac:dyDescent="0.25">
      <c r="A173" s="2" t="s">
        <v>59</v>
      </c>
      <c r="B173" s="3" t="s">
        <v>13</v>
      </c>
      <c r="C173" s="3">
        <v>1978</v>
      </c>
      <c r="D173" s="3"/>
      <c r="E173" s="3"/>
      <c r="F173" s="3"/>
      <c r="G173" s="4">
        <v>39.716430000000003</v>
      </c>
      <c r="H173" s="4">
        <v>-74.128017</v>
      </c>
      <c r="I173" s="14" t="s">
        <v>1</v>
      </c>
      <c r="J173" s="18" t="s">
        <v>17</v>
      </c>
      <c r="K173" s="6"/>
      <c r="L173" s="12"/>
      <c r="M173" s="7">
        <v>1000000</v>
      </c>
      <c r="N173" s="12">
        <f t="shared" si="35"/>
        <v>764555</v>
      </c>
      <c r="O173" s="12"/>
      <c r="P173" s="12"/>
      <c r="Q173" s="12"/>
      <c r="R173" s="13"/>
      <c r="S173" s="9">
        <v>0.27400000000000002</v>
      </c>
      <c r="T173" s="8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x14ac:dyDescent="0.25">
      <c r="A174" s="2" t="s">
        <v>54</v>
      </c>
      <c r="B174" s="3" t="s">
        <v>13</v>
      </c>
      <c r="C174" s="3">
        <v>1990</v>
      </c>
      <c r="D174" s="3"/>
      <c r="E174" s="3"/>
      <c r="F174" s="3"/>
      <c r="G174" s="4">
        <v>39.705998000000001</v>
      </c>
      <c r="H174" s="4">
        <v>-74.132244999999998</v>
      </c>
      <c r="I174" s="5" t="s">
        <v>14</v>
      </c>
      <c r="J174" s="5" t="s">
        <v>14</v>
      </c>
      <c r="K174" s="6"/>
      <c r="L174" s="12"/>
      <c r="M174" s="7">
        <v>27300</v>
      </c>
      <c r="N174" s="12">
        <f t="shared" si="35"/>
        <v>20872.351500000001</v>
      </c>
      <c r="O174" s="12"/>
      <c r="P174" s="12"/>
      <c r="Q174" s="12"/>
      <c r="R174" s="8">
        <v>34957</v>
      </c>
      <c r="S174" s="9">
        <v>0.57099999999999995</v>
      </c>
      <c r="T174" s="8">
        <f>+R174/S174</f>
        <v>61220.665499124349</v>
      </c>
      <c r="U174" s="133">
        <f t="shared" ref="U174:U176" si="38">T174/N174</f>
        <v>2.9330986256687153</v>
      </c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x14ac:dyDescent="0.25">
      <c r="A175" s="2" t="s">
        <v>54</v>
      </c>
      <c r="B175" s="3" t="s">
        <v>13</v>
      </c>
      <c r="C175" s="3">
        <v>1992</v>
      </c>
      <c r="D175" s="3"/>
      <c r="E175" s="3"/>
      <c r="F175" s="3"/>
      <c r="G175" s="4">
        <v>39.705998000000001</v>
      </c>
      <c r="H175" s="4">
        <v>-74.132244999999998</v>
      </c>
      <c r="I175" s="5" t="s">
        <v>14</v>
      </c>
      <c r="J175" s="5" t="s">
        <v>14</v>
      </c>
      <c r="K175" s="6"/>
      <c r="L175" s="12"/>
      <c r="M175" s="7">
        <v>110000</v>
      </c>
      <c r="N175" s="12">
        <f t="shared" si="35"/>
        <v>84101.05</v>
      </c>
      <c r="O175" s="12"/>
      <c r="P175" s="12"/>
      <c r="Q175" s="12"/>
      <c r="R175" s="8">
        <v>491071</v>
      </c>
      <c r="S175" s="9">
        <v>0.58799999999999997</v>
      </c>
      <c r="T175" s="8">
        <f>+R175/S176</f>
        <v>790774.55716586148</v>
      </c>
      <c r="U175" s="133">
        <f t="shared" si="38"/>
        <v>9.4026716333013844</v>
      </c>
      <c r="Y175" s="10"/>
      <c r="Z175" s="10"/>
      <c r="AA175" s="10"/>
      <c r="AB175" s="10"/>
      <c r="AC175" s="10"/>
      <c r="AD175" s="10"/>
      <c r="AE175" s="10"/>
      <c r="AF175" s="10"/>
      <c r="AG175" s="10"/>
      <c r="AH175" s="16"/>
      <c r="AI175" s="16"/>
      <c r="AJ175" s="16"/>
      <c r="AK175" s="16"/>
      <c r="AL175" s="16"/>
      <c r="AM175" s="16"/>
      <c r="AN175" s="16"/>
      <c r="AO175" s="16"/>
      <c r="AP175" s="16"/>
    </row>
    <row r="176" spans="1:42" x14ac:dyDescent="0.25">
      <c r="A176" s="2" t="s">
        <v>54</v>
      </c>
      <c r="B176" s="3" t="s">
        <v>13</v>
      </c>
      <c r="C176" s="3">
        <v>1994</v>
      </c>
      <c r="D176" s="3"/>
      <c r="E176" s="3"/>
      <c r="F176" s="3"/>
      <c r="G176" s="4">
        <v>39.705998000000001</v>
      </c>
      <c r="H176" s="4">
        <v>-74.132244999999998</v>
      </c>
      <c r="I176" s="14" t="s">
        <v>1</v>
      </c>
      <c r="J176" s="5" t="s">
        <v>14</v>
      </c>
      <c r="K176" s="6"/>
      <c r="L176" s="12"/>
      <c r="M176" s="7">
        <v>660000</v>
      </c>
      <c r="N176" s="12">
        <f t="shared" si="35"/>
        <v>504606.3</v>
      </c>
      <c r="O176" s="12"/>
      <c r="P176" s="12"/>
      <c r="Q176" s="12"/>
      <c r="R176" s="8">
        <v>3700000</v>
      </c>
      <c r="S176" s="9">
        <v>0.621</v>
      </c>
      <c r="T176" s="8">
        <f>+R176/S176</f>
        <v>5958132.0450885668</v>
      </c>
      <c r="U176" s="133">
        <f t="shared" si="38"/>
        <v>11.807486440594513</v>
      </c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x14ac:dyDescent="0.25">
      <c r="A177" s="2" t="s">
        <v>54</v>
      </c>
      <c r="B177" s="3" t="s">
        <v>13</v>
      </c>
      <c r="C177" s="3">
        <v>1995</v>
      </c>
      <c r="D177" s="3"/>
      <c r="E177" s="3"/>
      <c r="F177" s="3"/>
      <c r="G177" s="4">
        <v>39.705998000000001</v>
      </c>
      <c r="H177" s="4">
        <v>-74.132244999999998</v>
      </c>
      <c r="I177" s="14" t="s">
        <v>1</v>
      </c>
      <c r="J177" s="18" t="s">
        <v>17</v>
      </c>
      <c r="K177" s="6"/>
      <c r="L177" s="12"/>
      <c r="M177" s="7">
        <v>525000</v>
      </c>
      <c r="N177" s="12">
        <f t="shared" si="35"/>
        <v>401391.375</v>
      </c>
      <c r="O177" s="12"/>
      <c r="P177" s="12"/>
      <c r="Q177" s="12"/>
      <c r="R177" s="13"/>
      <c r="S177" s="20">
        <v>0.64100000000000001</v>
      </c>
      <c r="T177" s="8"/>
      <c r="Y177" s="10"/>
      <c r="Z177" s="10"/>
      <c r="AA177" s="10"/>
      <c r="AB177" s="10"/>
      <c r="AC177" s="10"/>
      <c r="AD177" s="10"/>
      <c r="AE177" s="10"/>
      <c r="AF177" s="10"/>
      <c r="AG177" s="10"/>
      <c r="AH177" s="16"/>
      <c r="AI177" s="16"/>
      <c r="AJ177" s="16"/>
      <c r="AK177" s="16"/>
      <c r="AL177" s="16"/>
      <c r="AM177" s="16"/>
      <c r="AN177" s="16"/>
      <c r="AO177" s="16"/>
      <c r="AP177" s="16"/>
    </row>
    <row r="178" spans="1:42" x14ac:dyDescent="0.25">
      <c r="A178" s="2" t="s">
        <v>54</v>
      </c>
      <c r="B178" s="3" t="s">
        <v>13</v>
      </c>
      <c r="C178" s="3">
        <v>2005</v>
      </c>
      <c r="D178" s="3"/>
      <c r="E178" s="3"/>
      <c r="F178" s="3"/>
      <c r="G178" s="4">
        <v>39.705998000000001</v>
      </c>
      <c r="H178" s="4">
        <v>-74.132244999999998</v>
      </c>
      <c r="I178" s="5" t="s">
        <v>1</v>
      </c>
      <c r="J178" s="18" t="s">
        <v>17</v>
      </c>
      <c r="K178" s="6">
        <v>800</v>
      </c>
      <c r="L178" s="12">
        <f>K178*0.3048</f>
        <v>243.84</v>
      </c>
      <c r="M178" s="7">
        <v>16000</v>
      </c>
      <c r="N178" s="12">
        <f t="shared" si="35"/>
        <v>12232.88</v>
      </c>
      <c r="O178" s="12"/>
      <c r="P178" s="12">
        <f t="shared" ref="P178:P179" si="39">N178/L178</f>
        <v>50.167650918635168</v>
      </c>
      <c r="Q178" s="12">
        <f t="shared" ref="Q178:Q179" si="40">P178/10</f>
        <v>5.0167650918635172</v>
      </c>
      <c r="R178" s="13">
        <v>421009</v>
      </c>
      <c r="S178" s="9">
        <v>0.82</v>
      </c>
      <c r="T178" s="8">
        <f>+R178/S178</f>
        <v>513425.6097560976</v>
      </c>
      <c r="U178" s="133">
        <f t="shared" ref="U178:U180" si="41">T178/N178</f>
        <v>41.970951219671704</v>
      </c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x14ac:dyDescent="0.25">
      <c r="A179" s="2" t="s">
        <v>54</v>
      </c>
      <c r="B179" s="3" t="s">
        <v>13</v>
      </c>
      <c r="C179" s="3">
        <v>2010</v>
      </c>
      <c r="D179" s="3"/>
      <c r="E179" s="3"/>
      <c r="F179" s="3"/>
      <c r="G179" s="4">
        <v>39.705998000000001</v>
      </c>
      <c r="H179" s="4">
        <v>-74.132244999999998</v>
      </c>
      <c r="I179" s="14" t="s">
        <v>15</v>
      </c>
      <c r="J179" s="18" t="s">
        <v>16</v>
      </c>
      <c r="K179" s="6">
        <v>9700</v>
      </c>
      <c r="L179" s="12">
        <f>K179*0.3048</f>
        <v>2956.56</v>
      </c>
      <c r="M179" s="7">
        <v>3000000</v>
      </c>
      <c r="N179" s="12">
        <f t="shared" si="35"/>
        <v>2293665</v>
      </c>
      <c r="O179" s="12"/>
      <c r="P179" s="12">
        <f t="shared" si="39"/>
        <v>775.78841626755423</v>
      </c>
      <c r="Q179" s="12">
        <f t="shared" si="40"/>
        <v>77.57884162675542</v>
      </c>
      <c r="R179" s="13">
        <v>25000000</v>
      </c>
      <c r="S179" s="9">
        <v>0.91600000000000004</v>
      </c>
      <c r="T179" s="8">
        <f>+R179/S179</f>
        <v>27292576.419213973</v>
      </c>
      <c r="U179" s="133">
        <f t="shared" si="41"/>
        <v>11.899111866473078</v>
      </c>
      <c r="Y179" s="10"/>
      <c r="Z179" s="10"/>
      <c r="AA179" s="10"/>
      <c r="AB179" s="10"/>
      <c r="AC179" s="10"/>
      <c r="AD179" s="10"/>
      <c r="AE179" s="10"/>
      <c r="AF179" s="10"/>
      <c r="AG179" s="10"/>
      <c r="AH179" s="16"/>
      <c r="AI179" s="16"/>
      <c r="AJ179" s="16"/>
      <c r="AK179" s="16"/>
      <c r="AL179" s="16"/>
      <c r="AM179" s="16"/>
      <c r="AN179" s="16"/>
      <c r="AO179" s="16"/>
      <c r="AP179" s="16"/>
    </row>
    <row r="180" spans="1:42" x14ac:dyDescent="0.25">
      <c r="A180" s="2" t="s">
        <v>54</v>
      </c>
      <c r="B180" s="3" t="s">
        <v>13</v>
      </c>
      <c r="C180" s="3">
        <v>2014</v>
      </c>
      <c r="D180" s="3"/>
      <c r="E180" s="3"/>
      <c r="F180" s="3"/>
      <c r="G180" s="4">
        <v>39.705998000000001</v>
      </c>
      <c r="H180" s="4">
        <v>-74.132244999999998</v>
      </c>
      <c r="I180" s="14" t="s">
        <v>15</v>
      </c>
      <c r="J180" s="18" t="s">
        <v>17</v>
      </c>
      <c r="K180" s="6"/>
      <c r="L180" s="12"/>
      <c r="M180" s="6">
        <v>1515000</v>
      </c>
      <c r="N180" s="12">
        <f t="shared" si="35"/>
        <v>1158300.825</v>
      </c>
      <c r="O180" s="12"/>
      <c r="P180" s="12">
        <f>N180/3170</f>
        <v>365.39458201892745</v>
      </c>
      <c r="Q180" s="178">
        <f>P180/10</f>
        <v>36.539458201892742</v>
      </c>
      <c r="R180" s="13">
        <v>14340046</v>
      </c>
      <c r="S180" s="9">
        <v>0.99399999999999999</v>
      </c>
      <c r="T180" s="8">
        <f>+R180/S180</f>
        <v>14426605.633802816</v>
      </c>
      <c r="U180" s="133">
        <f t="shared" si="41"/>
        <v>12.454973114434946</v>
      </c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s="112" customFormat="1" ht="14.5" x14ac:dyDescent="0.35">
      <c r="A181" s="103" t="s">
        <v>102</v>
      </c>
      <c r="B181" s="104"/>
      <c r="C181" s="104">
        <f>MAX(C165:C180)-MIN(C165:C180)</f>
        <v>56</v>
      </c>
      <c r="D181" s="104">
        <f>COUNT(C164:C180,C158:C159)</f>
        <v>19</v>
      </c>
      <c r="E181" s="104">
        <f>MIN(C165:C179,C158:C159)</f>
        <v>1958</v>
      </c>
      <c r="F181" s="104">
        <f>MAX(C165:C179,C158:C159)</f>
        <v>2018</v>
      </c>
      <c r="G181" s="105">
        <f>AVERAGE(G165:G179)</f>
        <v>39.706624933333345</v>
      </c>
      <c r="H181" s="105">
        <f>AVERAGE(H165:H179)</f>
        <v>-74.132023399999994</v>
      </c>
      <c r="I181" s="106" t="str">
        <f>INDEX(I170:I179,MODE(MATCH(I170:I179,I170:I179,0)))</f>
        <v>State</v>
      </c>
      <c r="J181" s="117"/>
      <c r="K181" s="107">
        <f>AVERAGE(K165:K179,K158:K159)</f>
        <v>5162.2222222222226</v>
      </c>
      <c r="L181" s="107">
        <f>AVERAGE(L165:L179,L158:L159)</f>
        <v>1573.4453333333336</v>
      </c>
      <c r="M181" s="107">
        <f>AVERAGE(M165:M179,M158:M159)</f>
        <v>1146434.4117647058</v>
      </c>
      <c r="N181" s="107">
        <f>AVERAGE(N165:N179,(N158/15670)*3170,(N159/15670)*3170)</f>
        <v>429037.07549100847</v>
      </c>
      <c r="O181" s="107"/>
      <c r="P181" s="107">
        <f>AVERAGE(P164:P180,P158:P159)</f>
        <v>217.12051029128469</v>
      </c>
      <c r="Q181" s="107">
        <f>AVERAGE(Q164:Q180,Q158:Q159)</f>
        <v>21.712051029128471</v>
      </c>
      <c r="R181" s="118">
        <f>MEDIAN(R165:R179)</f>
        <v>628385.5</v>
      </c>
      <c r="S181" s="118">
        <f>MEDIAN(S165:S179)</f>
        <v>0.14000000000000001</v>
      </c>
      <c r="T181" s="107">
        <f>AVERAGE(T165:T179,T158:T159)</f>
        <v>30176786.862992562</v>
      </c>
      <c r="U181" s="107">
        <f>AVERAGE(U164:U180,U158:U159)</f>
        <v>15.972441061064293</v>
      </c>
      <c r="Y181" s="113"/>
      <c r="Z181" s="113"/>
      <c r="AA181" s="113"/>
      <c r="AB181" s="113"/>
      <c r="AC181" s="113"/>
      <c r="AD181" s="113"/>
      <c r="AE181" s="113"/>
      <c r="AF181" s="113"/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</row>
    <row r="182" spans="1:42" x14ac:dyDescent="0.25">
      <c r="A182" s="2" t="s">
        <v>61</v>
      </c>
      <c r="B182" s="3" t="s">
        <v>13</v>
      </c>
      <c r="C182" s="3">
        <v>1962</v>
      </c>
      <c r="D182" s="3"/>
      <c r="E182" s="3"/>
      <c r="F182" s="3"/>
      <c r="G182" s="4">
        <v>39.660553</v>
      </c>
      <c r="H182" s="4">
        <v>-74.164073000000002</v>
      </c>
      <c r="I182" s="14" t="s">
        <v>15</v>
      </c>
      <c r="J182" s="14" t="s">
        <v>17</v>
      </c>
      <c r="K182" s="6">
        <v>7500</v>
      </c>
      <c r="L182" s="12">
        <f>K182*0.3048</f>
        <v>2286</v>
      </c>
      <c r="M182" s="7">
        <v>500000</v>
      </c>
      <c r="N182" s="12">
        <f t="shared" ref="N182:N187" si="42">M182*0.764555</f>
        <v>382277.5</v>
      </c>
      <c r="O182" s="12"/>
      <c r="P182" s="12">
        <f>N182/L182</f>
        <v>167.22550306211724</v>
      </c>
      <c r="Q182" s="12">
        <f>P182/10</f>
        <v>16.722550306211723</v>
      </c>
      <c r="R182" s="13"/>
      <c r="S182" s="9">
        <v>0.127</v>
      </c>
      <c r="T182" s="8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x14ac:dyDescent="0.25">
      <c r="A183" s="2" t="s">
        <v>61</v>
      </c>
      <c r="B183" s="3" t="s">
        <v>13</v>
      </c>
      <c r="C183" s="3">
        <v>1963</v>
      </c>
      <c r="D183" s="3"/>
      <c r="E183" s="3"/>
      <c r="F183" s="3"/>
      <c r="G183" s="4">
        <v>39.660553</v>
      </c>
      <c r="H183" s="4">
        <v>-74.164073000000002</v>
      </c>
      <c r="I183" s="14" t="s">
        <v>1</v>
      </c>
      <c r="J183" s="5" t="s">
        <v>14</v>
      </c>
      <c r="K183" s="6"/>
      <c r="L183" s="12"/>
      <c r="M183" s="7">
        <v>200000</v>
      </c>
      <c r="N183" s="12">
        <f t="shared" si="42"/>
        <v>152911</v>
      </c>
      <c r="O183" s="12"/>
      <c r="P183" s="12"/>
      <c r="Q183" s="12"/>
      <c r="R183" s="13"/>
      <c r="S183" s="9">
        <v>0.129</v>
      </c>
      <c r="T183" s="8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x14ac:dyDescent="0.25">
      <c r="A184" s="2" t="s">
        <v>61</v>
      </c>
      <c r="B184" s="3" t="s">
        <v>13</v>
      </c>
      <c r="C184" s="3">
        <v>1963</v>
      </c>
      <c r="D184" s="3"/>
      <c r="E184" s="3"/>
      <c r="F184" s="3"/>
      <c r="G184" s="4">
        <v>39.660553</v>
      </c>
      <c r="H184" s="4">
        <v>-74.164073000000002</v>
      </c>
      <c r="I184" s="14" t="s">
        <v>1</v>
      </c>
      <c r="J184" s="18" t="s">
        <v>17</v>
      </c>
      <c r="K184" s="6"/>
      <c r="L184" s="12"/>
      <c r="M184" s="7">
        <v>542276</v>
      </c>
      <c r="N184" s="12">
        <f t="shared" si="42"/>
        <v>414599.82717999996</v>
      </c>
      <c r="O184" s="12"/>
      <c r="P184" s="12"/>
      <c r="Q184" s="12"/>
      <c r="R184" s="13"/>
      <c r="S184" s="9">
        <v>0.129</v>
      </c>
      <c r="T184" s="8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x14ac:dyDescent="0.25">
      <c r="A185" s="2" t="s">
        <v>61</v>
      </c>
      <c r="B185" s="34" t="s">
        <v>13</v>
      </c>
      <c r="C185" s="58">
        <v>2011</v>
      </c>
      <c r="D185" s="58"/>
      <c r="E185" s="58"/>
      <c r="F185" s="58"/>
      <c r="G185" s="56">
        <v>39.625788</v>
      </c>
      <c r="H185" s="56">
        <v>-74.194107000000002</v>
      </c>
      <c r="I185" s="18" t="s">
        <v>15</v>
      </c>
      <c r="J185" s="14" t="s">
        <v>17</v>
      </c>
      <c r="K185" s="7">
        <v>3500</v>
      </c>
      <c r="L185" s="12">
        <f>K185*0.3048</f>
        <v>1066.8</v>
      </c>
      <c r="M185" s="7">
        <v>300000</v>
      </c>
      <c r="N185" s="12">
        <f t="shared" si="42"/>
        <v>229366.5</v>
      </c>
      <c r="O185" s="12"/>
      <c r="P185" s="12">
        <f t="shared" ref="P185:P186" si="43">N185/L185</f>
        <v>215.00421822272216</v>
      </c>
      <c r="Q185" s="12">
        <f t="shared" ref="Q185:Q186" si="44">P185/10</f>
        <v>21.500421822272216</v>
      </c>
      <c r="R185" s="13">
        <v>6048000</v>
      </c>
      <c r="S185" s="20">
        <v>0.96399999999999997</v>
      </c>
      <c r="T185" s="8">
        <f>+R185/S185</f>
        <v>6273858.9211618258</v>
      </c>
      <c r="U185" s="133">
        <f t="shared" ref="U185:U187" si="45">T185/N185</f>
        <v>27.352987123934078</v>
      </c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x14ac:dyDescent="0.25">
      <c r="A186" s="2" t="s">
        <v>61</v>
      </c>
      <c r="B186" s="34" t="s">
        <v>13</v>
      </c>
      <c r="C186" s="58">
        <v>2007</v>
      </c>
      <c r="D186" s="58"/>
      <c r="E186" s="58"/>
      <c r="F186" s="58"/>
      <c r="G186" s="56">
        <v>39.625788</v>
      </c>
      <c r="H186" s="56">
        <v>-74.194107000000002</v>
      </c>
      <c r="I186" s="18" t="s">
        <v>15</v>
      </c>
      <c r="J186" s="18" t="s">
        <v>16</v>
      </c>
      <c r="K186" s="32">
        <v>8100</v>
      </c>
      <c r="L186" s="12">
        <f>K186*0.3048</f>
        <v>2468.88</v>
      </c>
      <c r="M186" s="32">
        <v>880000</v>
      </c>
      <c r="N186" s="12">
        <f t="shared" si="42"/>
        <v>672808.4</v>
      </c>
      <c r="O186" s="12"/>
      <c r="P186" s="12">
        <f t="shared" si="43"/>
        <v>272.51563461974661</v>
      </c>
      <c r="Q186" s="12">
        <f t="shared" si="44"/>
        <v>27.251563461974662</v>
      </c>
      <c r="R186" s="47">
        <v>8604738</v>
      </c>
      <c r="S186" s="20">
        <v>0.871</v>
      </c>
      <c r="T186" s="8">
        <f>+R186/S186</f>
        <v>9879148.105625717</v>
      </c>
      <c r="U186" s="133">
        <f t="shared" si="45"/>
        <v>14.683449412382064</v>
      </c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x14ac:dyDescent="0.25">
      <c r="A187" s="2" t="s">
        <v>61</v>
      </c>
      <c r="B187" s="34" t="s">
        <v>13</v>
      </c>
      <c r="C187" s="58">
        <v>2014</v>
      </c>
      <c r="D187" s="58"/>
      <c r="E187" s="58"/>
      <c r="F187" s="58"/>
      <c r="G187" s="56">
        <v>39.625788</v>
      </c>
      <c r="H187" s="56">
        <v>-74.194107000000002</v>
      </c>
      <c r="I187" s="18" t="s">
        <v>15</v>
      </c>
      <c r="J187" s="14" t="s">
        <v>17</v>
      </c>
      <c r="K187" s="6"/>
      <c r="L187" s="12"/>
      <c r="M187" s="61">
        <v>415000</v>
      </c>
      <c r="N187" s="12">
        <f t="shared" si="42"/>
        <v>317290.32500000001</v>
      </c>
      <c r="O187" s="12"/>
      <c r="P187" s="12"/>
      <c r="Q187" s="12"/>
      <c r="R187" s="62">
        <v>5350858</v>
      </c>
      <c r="S187" s="9">
        <v>0.99399999999999999</v>
      </c>
      <c r="T187" s="8">
        <f>+R187/S187</f>
        <v>5383156.9416498998</v>
      </c>
      <c r="U187" s="133">
        <f t="shared" si="45"/>
        <v>16.966029271929106</v>
      </c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1:42" s="112" customFormat="1" ht="14.5" x14ac:dyDescent="0.35">
      <c r="A188" s="103" t="s">
        <v>104</v>
      </c>
      <c r="B188" s="104"/>
      <c r="C188" s="116">
        <f>MAX(C182:C187)-MIN(C182:C187)</f>
        <v>52</v>
      </c>
      <c r="D188" s="116">
        <f>COUNT(C182:C187,C158:C159)</f>
        <v>8</v>
      </c>
      <c r="E188" s="116">
        <f>MIN(C182:C187,C158:C159)</f>
        <v>1962</v>
      </c>
      <c r="F188" s="116">
        <f>MAX(C182:C187,C158:C159)</f>
        <v>2018</v>
      </c>
      <c r="G188" s="105">
        <f>AVERAGE(G182:G187)</f>
        <v>39.643170500000004</v>
      </c>
      <c r="H188" s="105">
        <f>AVERAGE(H182:H187)</f>
        <v>-74.179090000000016</v>
      </c>
      <c r="I188" s="117" t="str">
        <f>INDEX(I178:I187,MODE(MATCH(I178:I187,I178:I187,0)))</f>
        <v>Federal</v>
      </c>
      <c r="J188" s="106"/>
      <c r="K188" s="107">
        <f>AVERAGE(K182:K187,K158:K159)</f>
        <v>6366.666666666667</v>
      </c>
      <c r="L188" s="107">
        <f>AVERAGE(L182:L187,L158:L159)</f>
        <v>1940.5600000000002</v>
      </c>
      <c r="M188" s="107">
        <f>AVERAGE(M182:M187,M158:M159)</f>
        <v>1913774.125</v>
      </c>
      <c r="N188" s="107">
        <f>AVERAGE(N182:N187,(N158/15670)*2270,(N159/15670)*2270)</f>
        <v>443837.32978544239</v>
      </c>
      <c r="O188" s="107"/>
      <c r="P188" s="107">
        <f>AVERAGE(P182:P187,P158:P159)</f>
        <v>252.66229462616289</v>
      </c>
      <c r="Q188" s="107">
        <f>AVERAGE(Q182:Q187,Q158:Q159)</f>
        <v>25.266229462616291</v>
      </c>
      <c r="R188" s="119">
        <f>MEDIAN(R182:R187)</f>
        <v>6048000</v>
      </c>
      <c r="S188" s="119">
        <f>MEDIAN(S182:S187)</f>
        <v>0.5</v>
      </c>
      <c r="T188" s="107">
        <f>AVERAGE(T182:T187,T158:T159)</f>
        <v>44461039.143477321</v>
      </c>
      <c r="U188" s="107">
        <f>AVERAGE(U182:U187,U158:U159)</f>
        <v>20.251408100189757</v>
      </c>
      <c r="Y188" s="113"/>
      <c r="Z188" s="113"/>
      <c r="AA188" s="113"/>
      <c r="AB188" s="113"/>
      <c r="AC188" s="113"/>
      <c r="AD188" s="113"/>
      <c r="AE188" s="113"/>
      <c r="AF188" s="113"/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</row>
    <row r="189" spans="1:42" x14ac:dyDescent="0.25">
      <c r="A189" s="2" t="s">
        <v>60</v>
      </c>
      <c r="B189" s="3" t="s">
        <v>13</v>
      </c>
      <c r="C189" s="3">
        <v>1956</v>
      </c>
      <c r="D189" s="3"/>
      <c r="E189" s="3"/>
      <c r="F189" s="3"/>
      <c r="G189" s="4">
        <v>39.643751000000002</v>
      </c>
      <c r="H189" s="4">
        <v>-74.177437999999995</v>
      </c>
      <c r="I189" s="14" t="s">
        <v>1</v>
      </c>
      <c r="J189" s="5" t="s">
        <v>14</v>
      </c>
      <c r="K189" s="6">
        <v>3500</v>
      </c>
      <c r="L189" s="12">
        <f>K189*0.3048</f>
        <v>1066.8</v>
      </c>
      <c r="M189" s="7">
        <v>182000</v>
      </c>
      <c r="N189" s="12">
        <f>M189*0.764555</f>
        <v>139149.01</v>
      </c>
      <c r="O189" s="12"/>
      <c r="P189" s="12">
        <f>N189/L189</f>
        <v>130.43589238845146</v>
      </c>
      <c r="Q189" s="12">
        <f>P189/10</f>
        <v>13.043589238845147</v>
      </c>
      <c r="R189" s="8">
        <v>121011</v>
      </c>
      <c r="S189" s="9">
        <v>0.114</v>
      </c>
      <c r="T189" s="8">
        <f>+R189/S189</f>
        <v>1061500</v>
      </c>
      <c r="U189" s="133">
        <f>T189/N189</f>
        <v>7.6285127720276265</v>
      </c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x14ac:dyDescent="0.25">
      <c r="A190" s="2" t="s">
        <v>60</v>
      </c>
      <c r="B190" s="3" t="s">
        <v>13</v>
      </c>
      <c r="C190" s="3">
        <v>1962</v>
      </c>
      <c r="D190" s="3"/>
      <c r="E190" s="3"/>
      <c r="F190" s="3"/>
      <c r="G190" s="4">
        <v>39.643751000000002</v>
      </c>
      <c r="H190" s="4">
        <v>-74.177437999999995</v>
      </c>
      <c r="I190" s="14" t="s">
        <v>15</v>
      </c>
      <c r="J190" s="14" t="s">
        <v>17</v>
      </c>
      <c r="K190" s="6">
        <v>7350</v>
      </c>
      <c r="L190" s="12">
        <f>K190*0.3048</f>
        <v>2240.2800000000002</v>
      </c>
      <c r="M190" s="7">
        <v>539000</v>
      </c>
      <c r="N190" s="12">
        <f>M190*0.764555</f>
        <v>412095.14500000002</v>
      </c>
      <c r="O190" s="12"/>
      <c r="P190" s="12">
        <f>N190/L190</f>
        <v>183.94805336832894</v>
      </c>
      <c r="Q190" s="12">
        <f>P190/10</f>
        <v>18.394805336832896</v>
      </c>
      <c r="R190" s="36"/>
      <c r="S190" s="9">
        <v>0.127</v>
      </c>
      <c r="T190" s="8"/>
      <c r="Y190" s="27"/>
      <c r="Z190" s="27"/>
      <c r="AA190" s="27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x14ac:dyDescent="0.25">
      <c r="A191" s="2" t="s">
        <v>60</v>
      </c>
      <c r="B191" s="3" t="s">
        <v>13</v>
      </c>
      <c r="C191" s="3">
        <v>1963</v>
      </c>
      <c r="D191" s="3"/>
      <c r="E191" s="3"/>
      <c r="F191" s="3"/>
      <c r="G191" s="4">
        <v>39.643751000000002</v>
      </c>
      <c r="H191" s="4">
        <v>-74.177437999999995</v>
      </c>
      <c r="I191" s="14" t="s">
        <v>1</v>
      </c>
      <c r="J191" s="18" t="s">
        <v>17</v>
      </c>
      <c r="K191" s="6"/>
      <c r="L191" s="12"/>
      <c r="M191" s="7">
        <v>363482</v>
      </c>
      <c r="N191" s="12">
        <f>M191*0.764555</f>
        <v>277901.98051000002</v>
      </c>
      <c r="O191" s="12"/>
      <c r="P191" s="12"/>
      <c r="Q191" s="12"/>
      <c r="R191" s="8">
        <v>161659</v>
      </c>
      <c r="S191" s="9">
        <v>0.129</v>
      </c>
      <c r="T191" s="8">
        <f>+R191/S191</f>
        <v>1253170.542635659</v>
      </c>
      <c r="U191" s="133">
        <f>T191/N191</f>
        <v>4.5093976672489564</v>
      </c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s="112" customFormat="1" ht="14.5" x14ac:dyDescent="0.35">
      <c r="A192" s="103" t="s">
        <v>105</v>
      </c>
      <c r="B192" s="104"/>
      <c r="C192" s="124">
        <f>MAX(C189:C191)-MIN(C189:C191)</f>
        <v>7</v>
      </c>
      <c r="D192" s="124">
        <f>COUNT(C189:C191,C158:C159)</f>
        <v>5</v>
      </c>
      <c r="E192" s="124">
        <f>MIN(C189:C191,C158:C159)</f>
        <v>1956</v>
      </c>
      <c r="F192" s="124">
        <f>MAX(C189:C191,C158:C159)</f>
        <v>2018</v>
      </c>
      <c r="G192" s="105">
        <f>AVERAGE(G189:G191)</f>
        <v>39.643751000000002</v>
      </c>
      <c r="H192" s="105">
        <f>AVERAGE(H189:H191)</f>
        <v>-74.177437999999995</v>
      </c>
      <c r="I192" s="106" t="str">
        <f>INDEX(I182:I191,MODE(MATCH(I182:I191,I182:I191,0)))</f>
        <v>Federal</v>
      </c>
      <c r="J192" s="117"/>
      <c r="K192" s="107">
        <f>AVERAGE(K189:K191,K158:K159)</f>
        <v>5425</v>
      </c>
      <c r="L192" s="107">
        <f>AVERAGE(L189:L191,L158:L159)</f>
        <v>1653.54</v>
      </c>
      <c r="M192" s="107">
        <f>AVERAGE(M189:M191,M158:M159)</f>
        <v>2711479.8</v>
      </c>
      <c r="N192" s="107">
        <f>AVERAGE(N189:N191,(N158/15670)*2160,(N159/15670)*2160)</f>
        <v>428729.78974373068</v>
      </c>
      <c r="O192" s="107"/>
      <c r="P192" s="107">
        <f>AVERAGE(P189:P191,P158:P159)</f>
        <v>230.73751574575221</v>
      </c>
      <c r="Q192" s="107">
        <f>AVERAGE(Q189:Q191,Q158:Q159)</f>
        <v>23.073751574575219</v>
      </c>
      <c r="R192" s="110">
        <f>MEDIAN(R189:R191)</f>
        <v>141335</v>
      </c>
      <c r="S192" s="110">
        <f>MEDIAN(S189:S191)</f>
        <v>0.127</v>
      </c>
      <c r="T192" s="107">
        <f>AVERAGE(T189:T191,T158:T159)</f>
        <v>50770925.572896205</v>
      </c>
      <c r="U192" s="107">
        <f>AVERAGE(U189:U191,U158:U159)</f>
        <v>13.598121282995031</v>
      </c>
      <c r="Y192" s="113"/>
      <c r="Z192" s="113"/>
      <c r="AA192" s="113"/>
      <c r="AB192" s="113"/>
      <c r="AC192" s="113"/>
      <c r="AD192" s="113"/>
      <c r="AE192" s="113"/>
      <c r="AF192" s="113"/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</row>
    <row r="193" spans="1:42" x14ac:dyDescent="0.25">
      <c r="A193" s="29" t="s">
        <v>50</v>
      </c>
      <c r="B193" s="34" t="s">
        <v>13</v>
      </c>
      <c r="C193" s="34">
        <v>1979</v>
      </c>
      <c r="D193" s="34"/>
      <c r="E193" s="34"/>
      <c r="F193" s="34"/>
      <c r="G193" s="56">
        <v>39.625788</v>
      </c>
      <c r="H193" s="56">
        <v>-74.194107000000002</v>
      </c>
      <c r="I193" s="23" t="s">
        <v>15</v>
      </c>
      <c r="J193" s="18" t="s">
        <v>17</v>
      </c>
      <c r="K193" s="25">
        <v>14784</v>
      </c>
      <c r="L193" s="12">
        <f>K193*0.3048</f>
        <v>4506.1632</v>
      </c>
      <c r="M193" s="25">
        <v>1000000</v>
      </c>
      <c r="N193" s="12">
        <f t="shared" ref="N193:N208" si="46">M193*0.764555</f>
        <v>764555</v>
      </c>
      <c r="O193" s="12"/>
      <c r="P193" s="12">
        <f t="shared" ref="P193" si="47">N193/L193</f>
        <v>169.66873281464817</v>
      </c>
      <c r="Q193" s="12">
        <f t="shared" ref="Q193" si="48">P193/10</f>
        <v>16.966873281464817</v>
      </c>
      <c r="R193" s="26">
        <v>4600000</v>
      </c>
      <c r="S193" s="9">
        <v>0.30499999999999999</v>
      </c>
      <c r="T193" s="8">
        <f>+R193/S193</f>
        <v>15081967.213114755</v>
      </c>
      <c r="U193" s="133">
        <f>T193/N193</f>
        <v>19.72646469268366</v>
      </c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x14ac:dyDescent="0.25">
      <c r="A194" s="29" t="s">
        <v>56</v>
      </c>
      <c r="B194" s="34" t="s">
        <v>13</v>
      </c>
      <c r="C194" s="34">
        <v>1958</v>
      </c>
      <c r="D194" s="34"/>
      <c r="E194" s="34"/>
      <c r="F194" s="34"/>
      <c r="G194" s="56">
        <v>39.624254999999998</v>
      </c>
      <c r="H194" s="56">
        <v>-74.192042999999998</v>
      </c>
      <c r="I194" s="18" t="s">
        <v>14</v>
      </c>
      <c r="J194" s="18" t="s">
        <v>14</v>
      </c>
      <c r="K194" s="24"/>
      <c r="L194" s="12"/>
      <c r="M194" s="25">
        <v>75000</v>
      </c>
      <c r="N194" s="12">
        <f t="shared" si="46"/>
        <v>57341.625</v>
      </c>
      <c r="O194" s="12"/>
      <c r="P194" s="12"/>
      <c r="Q194" s="12"/>
      <c r="R194" s="36"/>
      <c r="S194" s="9">
        <v>0.121</v>
      </c>
      <c r="T194" s="8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x14ac:dyDescent="0.25">
      <c r="A195" s="29" t="s">
        <v>56</v>
      </c>
      <c r="B195" s="34" t="s">
        <v>13</v>
      </c>
      <c r="C195" s="58">
        <v>1963</v>
      </c>
      <c r="D195" s="58"/>
      <c r="E195" s="58"/>
      <c r="F195" s="58"/>
      <c r="G195" s="56">
        <v>39.624254999999998</v>
      </c>
      <c r="H195" s="56">
        <v>-74.192042999999998</v>
      </c>
      <c r="I195" s="18" t="s">
        <v>15</v>
      </c>
      <c r="J195" s="18" t="s">
        <v>19</v>
      </c>
      <c r="K195" s="24"/>
      <c r="L195" s="12"/>
      <c r="M195" s="32">
        <v>75000</v>
      </c>
      <c r="N195" s="12">
        <f t="shared" si="46"/>
        <v>57341.625</v>
      </c>
      <c r="O195" s="12"/>
      <c r="P195" s="12"/>
      <c r="Q195" s="12"/>
      <c r="R195" s="36"/>
      <c r="S195" s="9">
        <v>0.129</v>
      </c>
      <c r="T195" s="8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x14ac:dyDescent="0.25">
      <c r="A196" s="29" t="s">
        <v>56</v>
      </c>
      <c r="B196" s="34" t="s">
        <v>13</v>
      </c>
      <c r="C196" s="34">
        <v>1962</v>
      </c>
      <c r="D196" s="34"/>
      <c r="E196" s="34"/>
      <c r="F196" s="34"/>
      <c r="G196" s="56">
        <v>39.624254999999998</v>
      </c>
      <c r="H196" s="56">
        <v>-74.192042999999998</v>
      </c>
      <c r="I196" s="14" t="s">
        <v>1</v>
      </c>
      <c r="J196" s="18" t="s">
        <v>17</v>
      </c>
      <c r="K196" s="7"/>
      <c r="L196" s="12"/>
      <c r="M196" s="25">
        <v>92371</v>
      </c>
      <c r="N196" s="12">
        <f t="shared" si="46"/>
        <v>70622.709904999996</v>
      </c>
      <c r="O196" s="12"/>
      <c r="P196" s="12"/>
      <c r="Q196" s="12"/>
      <c r="R196" s="36"/>
      <c r="S196" s="9">
        <v>0.127</v>
      </c>
      <c r="T196" s="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x14ac:dyDescent="0.25">
      <c r="A197" s="29" t="s">
        <v>56</v>
      </c>
      <c r="B197" s="34" t="s">
        <v>13</v>
      </c>
      <c r="C197" s="34">
        <v>1963</v>
      </c>
      <c r="D197" s="34"/>
      <c r="E197" s="34"/>
      <c r="F197" s="34"/>
      <c r="G197" s="56">
        <v>39.624254999999998</v>
      </c>
      <c r="H197" s="56">
        <v>-74.192042999999998</v>
      </c>
      <c r="I197" s="14" t="s">
        <v>1</v>
      </c>
      <c r="J197" s="18" t="s">
        <v>17</v>
      </c>
      <c r="K197" s="24"/>
      <c r="L197" s="12"/>
      <c r="M197" s="25">
        <v>150470</v>
      </c>
      <c r="N197" s="12">
        <f t="shared" si="46"/>
        <v>115042.59084999999</v>
      </c>
      <c r="O197" s="12"/>
      <c r="P197" s="12"/>
      <c r="Q197" s="12"/>
      <c r="R197" s="36"/>
      <c r="S197" s="9">
        <v>0.129</v>
      </c>
      <c r="T197" s="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x14ac:dyDescent="0.25">
      <c r="A198" s="29" t="s">
        <v>56</v>
      </c>
      <c r="B198" s="34" t="s">
        <v>13</v>
      </c>
      <c r="C198" s="34">
        <v>1963</v>
      </c>
      <c r="D198" s="34"/>
      <c r="E198" s="34"/>
      <c r="F198" s="34"/>
      <c r="G198" s="56">
        <v>39.624254999999998</v>
      </c>
      <c r="H198" s="56">
        <v>-74.192042999999998</v>
      </c>
      <c r="I198" s="14" t="s">
        <v>1</v>
      </c>
      <c r="J198" s="18" t="s">
        <v>17</v>
      </c>
      <c r="K198" s="24"/>
      <c r="L198" s="12"/>
      <c r="M198" s="25">
        <v>181376</v>
      </c>
      <c r="N198" s="12">
        <f t="shared" si="46"/>
        <v>138671.92767999999</v>
      </c>
      <c r="O198" s="12"/>
      <c r="P198" s="12"/>
      <c r="Q198" s="12"/>
      <c r="R198" s="36"/>
      <c r="S198" s="9">
        <v>0.129</v>
      </c>
      <c r="T198" s="8"/>
      <c r="Y198" s="10"/>
      <c r="Z198" s="10"/>
      <c r="AA198" s="10"/>
      <c r="AB198" s="10"/>
      <c r="AC198" s="10"/>
      <c r="AD198" s="10"/>
      <c r="AE198" s="10"/>
      <c r="AF198" s="10"/>
      <c r="AG198" s="10"/>
      <c r="AH198" s="27"/>
      <c r="AI198" s="27"/>
      <c r="AJ198" s="27"/>
      <c r="AK198" s="27"/>
      <c r="AL198" s="27"/>
      <c r="AM198" s="27"/>
      <c r="AN198" s="27"/>
      <c r="AO198" s="27"/>
      <c r="AP198" s="27"/>
    </row>
    <row r="199" spans="1:42" x14ac:dyDescent="0.25">
      <c r="A199" s="29" t="s">
        <v>56</v>
      </c>
      <c r="B199" s="34" t="s">
        <v>13</v>
      </c>
      <c r="C199" s="34">
        <v>1962</v>
      </c>
      <c r="D199" s="34"/>
      <c r="E199" s="34"/>
      <c r="F199" s="34"/>
      <c r="G199" s="56">
        <v>39.624254999999998</v>
      </c>
      <c r="H199" s="56">
        <v>-74.192042999999998</v>
      </c>
      <c r="I199" s="14" t="s">
        <v>1</v>
      </c>
      <c r="J199" s="18" t="s">
        <v>17</v>
      </c>
      <c r="K199" s="7"/>
      <c r="L199" s="12"/>
      <c r="M199" s="25">
        <v>224382</v>
      </c>
      <c r="N199" s="12">
        <f t="shared" si="46"/>
        <v>171552.38000999999</v>
      </c>
      <c r="O199" s="12"/>
      <c r="P199" s="12"/>
      <c r="Q199" s="12"/>
      <c r="R199" s="36"/>
      <c r="S199" s="9">
        <v>0.127</v>
      </c>
      <c r="T199" s="8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x14ac:dyDescent="0.25">
      <c r="A200" s="29" t="s">
        <v>56</v>
      </c>
      <c r="B200" s="34" t="s">
        <v>13</v>
      </c>
      <c r="C200" s="34">
        <v>1963</v>
      </c>
      <c r="D200" s="34"/>
      <c r="E200" s="34"/>
      <c r="F200" s="34"/>
      <c r="G200" s="56">
        <v>39.624254999999998</v>
      </c>
      <c r="H200" s="56">
        <v>-74.192042999999998</v>
      </c>
      <c r="I200" s="14" t="s">
        <v>1</v>
      </c>
      <c r="J200" s="18" t="s">
        <v>17</v>
      </c>
      <c r="K200" s="24"/>
      <c r="L200" s="12"/>
      <c r="M200" s="25">
        <v>300000</v>
      </c>
      <c r="N200" s="12">
        <f t="shared" si="46"/>
        <v>229366.5</v>
      </c>
      <c r="O200" s="12"/>
      <c r="P200" s="12"/>
      <c r="Q200" s="12"/>
      <c r="R200" s="36"/>
      <c r="S200" s="9">
        <v>0.129</v>
      </c>
      <c r="T200" s="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x14ac:dyDescent="0.25">
      <c r="A201" s="29" t="s">
        <v>56</v>
      </c>
      <c r="B201" s="34" t="s">
        <v>13</v>
      </c>
      <c r="C201" s="34">
        <v>1963</v>
      </c>
      <c r="D201" s="34"/>
      <c r="E201" s="34"/>
      <c r="F201" s="34"/>
      <c r="G201" s="56">
        <v>39.624254999999998</v>
      </c>
      <c r="H201" s="56">
        <v>-74.192042999999998</v>
      </c>
      <c r="I201" s="14" t="s">
        <v>1</v>
      </c>
      <c r="J201" s="18" t="s">
        <v>17</v>
      </c>
      <c r="K201" s="24"/>
      <c r="L201" s="12"/>
      <c r="M201" s="25">
        <v>397818</v>
      </c>
      <c r="N201" s="12">
        <f t="shared" si="46"/>
        <v>304153.74099000002</v>
      </c>
      <c r="O201" s="12"/>
      <c r="P201" s="12"/>
      <c r="Q201" s="12"/>
      <c r="R201" s="36"/>
      <c r="S201" s="9">
        <v>0.129</v>
      </c>
      <c r="T201" s="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x14ac:dyDescent="0.25">
      <c r="A202" s="29" t="s">
        <v>56</v>
      </c>
      <c r="B202" s="34" t="s">
        <v>13</v>
      </c>
      <c r="C202" s="34">
        <v>1963</v>
      </c>
      <c r="D202" s="34"/>
      <c r="E202" s="34"/>
      <c r="F202" s="34"/>
      <c r="G202" s="56">
        <v>39.624254999999998</v>
      </c>
      <c r="H202" s="56">
        <v>-74.192042999999998</v>
      </c>
      <c r="I202" s="23" t="s">
        <v>15</v>
      </c>
      <c r="J202" s="18" t="s">
        <v>17</v>
      </c>
      <c r="K202" s="24"/>
      <c r="L202" s="12"/>
      <c r="M202" s="25">
        <v>729664</v>
      </c>
      <c r="N202" s="12">
        <f t="shared" si="46"/>
        <v>557868.25951999996</v>
      </c>
      <c r="O202" s="12"/>
      <c r="P202" s="12"/>
      <c r="Q202" s="12"/>
      <c r="R202" s="26">
        <v>1008050</v>
      </c>
      <c r="S202" s="9">
        <v>0.129</v>
      </c>
      <c r="T202" s="8">
        <f t="shared" ref="T202:T208" si="49">+R202/S202</f>
        <v>7814341.0852713175</v>
      </c>
      <c r="U202" s="133">
        <f>T202/N202</f>
        <v>14.007502581335098</v>
      </c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x14ac:dyDescent="0.25">
      <c r="A203" s="2" t="s">
        <v>53</v>
      </c>
      <c r="B203" s="3" t="s">
        <v>13</v>
      </c>
      <c r="C203" s="3">
        <v>1962</v>
      </c>
      <c r="D203" s="3"/>
      <c r="E203" s="3"/>
      <c r="F203" s="3"/>
      <c r="G203" s="4">
        <v>39.620367000000002</v>
      </c>
      <c r="H203" s="4">
        <v>-74.194772</v>
      </c>
      <c r="I203" s="5" t="s">
        <v>15</v>
      </c>
      <c r="J203" s="18" t="s">
        <v>17</v>
      </c>
      <c r="K203" s="6">
        <v>27135</v>
      </c>
      <c r="L203" s="12">
        <f>K203*0.3048</f>
        <v>8270.7479999999996</v>
      </c>
      <c r="M203" s="7">
        <v>204000</v>
      </c>
      <c r="N203" s="12">
        <f t="shared" si="46"/>
        <v>155969.22</v>
      </c>
      <c r="O203" s="12"/>
      <c r="P203" s="12">
        <f t="shared" ref="P203:P206" si="50">N203/L203</f>
        <v>18.857934010321678</v>
      </c>
      <c r="Q203" s="12">
        <f t="shared" ref="Q203:Q206" si="51">P203/10</f>
        <v>1.8857934010321677</v>
      </c>
      <c r="R203" s="13"/>
      <c r="S203" s="9">
        <v>0.127</v>
      </c>
      <c r="T203" s="8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x14ac:dyDescent="0.25">
      <c r="A204" s="2" t="s">
        <v>53</v>
      </c>
      <c r="B204" s="3" t="s">
        <v>13</v>
      </c>
      <c r="C204" s="3">
        <v>1956</v>
      </c>
      <c r="D204" s="3"/>
      <c r="E204" s="3"/>
      <c r="F204" s="3"/>
      <c r="G204" s="4">
        <v>39.620367000000002</v>
      </c>
      <c r="H204" s="4">
        <v>-74.194772</v>
      </c>
      <c r="I204" s="14" t="s">
        <v>1</v>
      </c>
      <c r="J204" s="5" t="s">
        <v>14</v>
      </c>
      <c r="K204" s="6">
        <v>6900</v>
      </c>
      <c r="L204" s="12">
        <f>K204*0.3048</f>
        <v>2103.12</v>
      </c>
      <c r="M204" s="7">
        <v>115000</v>
      </c>
      <c r="N204" s="12">
        <f t="shared" si="46"/>
        <v>87923.824999999997</v>
      </c>
      <c r="O204" s="12"/>
      <c r="P204" s="12">
        <f t="shared" si="50"/>
        <v>41.80637576552931</v>
      </c>
      <c r="Q204" s="12">
        <f t="shared" si="51"/>
        <v>4.1806375765529307</v>
      </c>
      <c r="R204" s="8">
        <v>76463</v>
      </c>
      <c r="S204" s="9">
        <v>0.114</v>
      </c>
      <c r="T204" s="8">
        <f t="shared" si="49"/>
        <v>670728.07017543854</v>
      </c>
      <c r="U204" s="133">
        <f>T204/N204</f>
        <v>7.6285133202000548</v>
      </c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x14ac:dyDescent="0.25">
      <c r="A205" s="2" t="s">
        <v>53</v>
      </c>
      <c r="B205" s="3" t="s">
        <v>13</v>
      </c>
      <c r="C205" s="3">
        <v>1961</v>
      </c>
      <c r="D205" s="3"/>
      <c r="E205" s="3"/>
      <c r="F205" s="3"/>
      <c r="G205" s="4">
        <v>39.620367000000002</v>
      </c>
      <c r="H205" s="4">
        <v>-74.194772</v>
      </c>
      <c r="I205" s="5" t="s">
        <v>14</v>
      </c>
      <c r="J205" s="5" t="s">
        <v>14</v>
      </c>
      <c r="K205" s="6">
        <v>1275</v>
      </c>
      <c r="L205" s="12">
        <f>K205*0.3048</f>
        <v>388.62</v>
      </c>
      <c r="M205" s="7">
        <v>72498</v>
      </c>
      <c r="N205" s="12">
        <f t="shared" si="46"/>
        <v>55428.70839</v>
      </c>
      <c r="O205" s="12"/>
      <c r="P205" s="12">
        <f t="shared" si="50"/>
        <v>142.62958259996913</v>
      </c>
      <c r="Q205" s="12">
        <f t="shared" si="51"/>
        <v>14.262958259996912</v>
      </c>
      <c r="R205" s="13"/>
      <c r="S205" s="9">
        <v>0.126</v>
      </c>
      <c r="T205" s="8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x14ac:dyDescent="0.25">
      <c r="A206" s="2" t="s">
        <v>53</v>
      </c>
      <c r="B206" s="3" t="s">
        <v>13</v>
      </c>
      <c r="C206" s="3">
        <v>1962</v>
      </c>
      <c r="D206" s="3"/>
      <c r="E206" s="3"/>
      <c r="F206" s="3"/>
      <c r="G206" s="4">
        <v>39.620367000000002</v>
      </c>
      <c r="H206" s="4">
        <v>-74.194772</v>
      </c>
      <c r="I206" s="14" t="s">
        <v>1</v>
      </c>
      <c r="J206" s="18" t="s">
        <v>17</v>
      </c>
      <c r="K206" s="6">
        <v>3250</v>
      </c>
      <c r="L206" s="12">
        <f>K206*0.3048</f>
        <v>990.6</v>
      </c>
      <c r="M206" s="7">
        <v>216619</v>
      </c>
      <c r="N206" s="12">
        <f t="shared" si="46"/>
        <v>165617.13954499998</v>
      </c>
      <c r="O206" s="12"/>
      <c r="P206" s="12">
        <f t="shared" si="50"/>
        <v>167.18871345144356</v>
      </c>
      <c r="Q206" s="12">
        <f t="shared" si="51"/>
        <v>16.718871345144358</v>
      </c>
      <c r="R206" s="13"/>
      <c r="S206" s="9">
        <v>0.127</v>
      </c>
      <c r="T206" s="8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x14ac:dyDescent="0.25">
      <c r="A207" s="2" t="s">
        <v>53</v>
      </c>
      <c r="B207" s="3" t="s">
        <v>13</v>
      </c>
      <c r="C207" s="3">
        <v>2012</v>
      </c>
      <c r="D207" s="3"/>
      <c r="E207" s="3"/>
      <c r="F207" s="3"/>
      <c r="G207" s="4">
        <v>39.620367000000002</v>
      </c>
      <c r="H207" s="4">
        <v>-74.194772</v>
      </c>
      <c r="I207" s="14" t="s">
        <v>15</v>
      </c>
      <c r="J207" s="18" t="s">
        <v>16</v>
      </c>
      <c r="K207" s="6">
        <v>5400</v>
      </c>
      <c r="L207" s="12">
        <f>K207*0.3048</f>
        <v>1645.92</v>
      </c>
      <c r="M207" s="7">
        <v>1250000</v>
      </c>
      <c r="N207" s="12">
        <f t="shared" si="46"/>
        <v>955693.75</v>
      </c>
      <c r="O207" s="12"/>
      <c r="P207" s="12">
        <f>N207/L207</f>
        <v>580.64410785457369</v>
      </c>
      <c r="Q207" s="12">
        <f>P207/10</f>
        <v>58.064410785457369</v>
      </c>
      <c r="R207" s="26">
        <v>16700000</v>
      </c>
      <c r="S207" s="20">
        <v>0.96399999999999997</v>
      </c>
      <c r="T207" s="8">
        <f t="shared" si="49"/>
        <v>17323651.452282157</v>
      </c>
      <c r="U207" s="133">
        <f t="shared" ref="U207:U208" si="52">T207/N207</f>
        <v>18.126781149591235</v>
      </c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x14ac:dyDescent="0.25">
      <c r="A208" s="2" t="s">
        <v>53</v>
      </c>
      <c r="B208" s="3" t="s">
        <v>13</v>
      </c>
      <c r="C208" s="3">
        <v>2014</v>
      </c>
      <c r="D208" s="3"/>
      <c r="E208" s="3"/>
      <c r="F208" s="3"/>
      <c r="G208" s="4">
        <v>39.620367000000002</v>
      </c>
      <c r="H208" s="4">
        <v>-74.194772</v>
      </c>
      <c r="I208" s="14" t="s">
        <v>15</v>
      </c>
      <c r="J208" s="18" t="s">
        <v>17</v>
      </c>
      <c r="K208" s="6"/>
      <c r="L208" s="12">
        <f>N208/P208</f>
        <v>2384.4137399456295</v>
      </c>
      <c r="M208" s="6">
        <v>1060000</v>
      </c>
      <c r="N208" s="12">
        <f t="shared" si="46"/>
        <v>810428.29999999993</v>
      </c>
      <c r="O208" s="12"/>
      <c r="P208" s="12">
        <f>339.88577</f>
        <v>339.88576999999998</v>
      </c>
      <c r="Q208" s="184">
        <f>P208/10</f>
        <v>33.988576999999999</v>
      </c>
      <c r="R208" s="37">
        <v>10894006</v>
      </c>
      <c r="S208" s="9">
        <v>0.99399999999999999</v>
      </c>
      <c r="T208" s="8">
        <f t="shared" si="49"/>
        <v>10959764.587525152</v>
      </c>
      <c r="U208" s="133">
        <f t="shared" si="52"/>
        <v>13.523422846321077</v>
      </c>
      <c r="Y208" s="10"/>
      <c r="Z208" s="10"/>
      <c r="AA208" s="10"/>
      <c r="AB208" s="10"/>
      <c r="AC208" s="10"/>
      <c r="AD208" s="10"/>
      <c r="AE208" s="10"/>
      <c r="AF208" s="10"/>
      <c r="AG208" s="10"/>
      <c r="AH208" s="57"/>
      <c r="AI208" s="57"/>
      <c r="AJ208" s="57"/>
      <c r="AK208" s="57"/>
      <c r="AL208" s="57"/>
      <c r="AM208" s="57"/>
      <c r="AN208" s="57"/>
      <c r="AO208" s="57"/>
      <c r="AP208" s="57"/>
    </row>
    <row r="209" spans="1:42" s="112" customFormat="1" ht="14.5" x14ac:dyDescent="0.35">
      <c r="A209" s="103" t="s">
        <v>124</v>
      </c>
      <c r="B209" s="104"/>
      <c r="C209" s="104">
        <f>MAX(C193:C208)-MIN(C193:C208)</f>
        <v>58</v>
      </c>
      <c r="D209" s="104">
        <f>COUNT(C193:C208,C158:C159)</f>
        <v>18</v>
      </c>
      <c r="E209" s="104">
        <f>MIN(C194:C208,C158:C159)</f>
        <v>1956</v>
      </c>
      <c r="F209" s="104">
        <f>MAX(C194:C208,C158:C159)</f>
        <v>2018</v>
      </c>
      <c r="G209" s="105">
        <f>AVERAGE(G194:G208)</f>
        <v>39.622699799999992</v>
      </c>
      <c r="H209" s="105">
        <f>AVERAGE(H194:H208)</f>
        <v>-74.193134600000022</v>
      </c>
      <c r="I209" s="105" t="str">
        <f>INDEX(I199:I208,MODE(MATCH(I199:I208,I199:I208,0)))</f>
        <v>State</v>
      </c>
      <c r="J209" s="105"/>
      <c r="K209" s="107">
        <f>AVERAGE(K194:K208,K158:K159)</f>
        <v>8792</v>
      </c>
      <c r="L209" s="107">
        <f>AVERAGE(L194:L208,L158:L159)</f>
        <v>2630.5702899909379</v>
      </c>
      <c r="M209" s="107">
        <f>AVERAGE(M194:M208,M158:M159)</f>
        <v>1036300.8823529412</v>
      </c>
      <c r="N209" s="107">
        <f>AVERAGE(N194:N208,(N158/15670)*6560,(N159/15670)*6560)</f>
        <v>466189.17828788579</v>
      </c>
      <c r="O209" s="107"/>
      <c r="P209" s="107">
        <f>AVERAGE(P193:P208,P158:P159)</f>
        <v>229.91637041363487</v>
      </c>
      <c r="Q209" s="107">
        <f>AVERAGE(Q193:Q208,Q158:Q159)</f>
        <v>22.991637041363489</v>
      </c>
      <c r="R209" s="120">
        <f>MEDIAN(R193:R208)</f>
        <v>4600000</v>
      </c>
      <c r="S209" s="120">
        <f>MEDIAN(S193:S208)</f>
        <v>0.129</v>
      </c>
      <c r="T209" s="107">
        <f>AVERAGE(T194:T208,T158:T159)</f>
        <v>39589586.157367207</v>
      </c>
      <c r="U209" s="107">
        <f>AVERAGE(U193:U208,U158:U159)</f>
        <v>16.46675132611924</v>
      </c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</row>
    <row r="210" spans="1:42" x14ac:dyDescent="0.25">
      <c r="A210" s="2" t="s">
        <v>52</v>
      </c>
      <c r="B210" s="3" t="s">
        <v>13</v>
      </c>
      <c r="C210" s="11">
        <v>2010</v>
      </c>
      <c r="D210" s="11"/>
      <c r="E210" s="11"/>
      <c r="F210" s="11"/>
      <c r="G210" s="4">
        <v>39.557397999999999</v>
      </c>
      <c r="H210" s="4">
        <v>-74.239254000000003</v>
      </c>
      <c r="I210" s="14" t="s">
        <v>1</v>
      </c>
      <c r="J210" s="5" t="s">
        <v>14</v>
      </c>
      <c r="K210" s="12">
        <v>390</v>
      </c>
      <c r="L210" s="12">
        <f>K210*0.3048</f>
        <v>118.872</v>
      </c>
      <c r="M210" s="12">
        <v>2000</v>
      </c>
      <c r="N210" s="12">
        <f>M210*0.764555</f>
        <v>1529.11</v>
      </c>
      <c r="O210" s="12"/>
      <c r="P210" s="12">
        <f>N210/L210</f>
        <v>12.863500235547479</v>
      </c>
      <c r="Q210" s="12">
        <f>P210/10</f>
        <v>1.2863500235547478</v>
      </c>
      <c r="R210" s="19">
        <v>471999.5</v>
      </c>
      <c r="S210" s="9">
        <v>0.91600000000000004</v>
      </c>
      <c r="T210" s="8">
        <f>+R210/S210</f>
        <v>515283.29694323143</v>
      </c>
      <c r="U210" s="133">
        <f>T210/N210</f>
        <v>336.9824910851616</v>
      </c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x14ac:dyDescent="0.25">
      <c r="A211" s="2" t="s">
        <v>52</v>
      </c>
      <c r="B211" s="3" t="s">
        <v>13</v>
      </c>
      <c r="C211" s="3">
        <v>1963</v>
      </c>
      <c r="D211" s="3"/>
      <c r="E211" s="3"/>
      <c r="F211" s="3"/>
      <c r="G211" s="4">
        <v>39.557397999999999</v>
      </c>
      <c r="H211" s="4">
        <v>-74.239254000000003</v>
      </c>
      <c r="I211" s="14" t="s">
        <v>1</v>
      </c>
      <c r="J211" s="23" t="s">
        <v>17</v>
      </c>
      <c r="K211" s="6">
        <v>9939</v>
      </c>
      <c r="L211" s="12">
        <f>K211*0.3048</f>
        <v>3029.4072000000001</v>
      </c>
      <c r="M211" s="7">
        <v>260000</v>
      </c>
      <c r="N211" s="12">
        <f>M211*0.764555</f>
        <v>198784.3</v>
      </c>
      <c r="O211" s="12"/>
      <c r="P211" s="12">
        <f t="shared" ref="P211:P212" si="53">N211/L211</f>
        <v>65.618217319876962</v>
      </c>
      <c r="Q211" s="12">
        <f t="shared" ref="Q211:Q212" si="54">P211/10</f>
        <v>6.5618217319876964</v>
      </c>
      <c r="R211" s="13"/>
      <c r="S211" s="9">
        <v>0.129</v>
      </c>
      <c r="T211" s="8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x14ac:dyDescent="0.25">
      <c r="A212" s="2" t="s">
        <v>52</v>
      </c>
      <c r="B212" s="3" t="s">
        <v>13</v>
      </c>
      <c r="C212" s="3">
        <v>1962</v>
      </c>
      <c r="D212" s="3"/>
      <c r="E212" s="3"/>
      <c r="F212" s="3"/>
      <c r="G212" s="4">
        <v>39.557397999999999</v>
      </c>
      <c r="H212" s="4">
        <v>-74.239254000000003</v>
      </c>
      <c r="I212" s="5" t="s">
        <v>15</v>
      </c>
      <c r="J212" s="18" t="s">
        <v>17</v>
      </c>
      <c r="K212" s="6">
        <v>9670</v>
      </c>
      <c r="L212" s="12">
        <f>K212*0.3048</f>
        <v>2947.4160000000002</v>
      </c>
      <c r="M212" s="7">
        <v>405000</v>
      </c>
      <c r="N212" s="12">
        <f>M212*0.764555</f>
        <v>309644.77499999997</v>
      </c>
      <c r="O212" s="12"/>
      <c r="P212" s="12">
        <f t="shared" si="53"/>
        <v>105.05635275101986</v>
      </c>
      <c r="Q212" s="12">
        <f t="shared" si="54"/>
        <v>10.505635275101985</v>
      </c>
      <c r="R212" s="13"/>
      <c r="S212" s="9">
        <v>0.127</v>
      </c>
      <c r="T212" s="8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x14ac:dyDescent="0.25">
      <c r="A213" s="2" t="s">
        <v>52</v>
      </c>
      <c r="B213" s="3" t="s">
        <v>13</v>
      </c>
      <c r="C213" s="3">
        <v>1963</v>
      </c>
      <c r="D213" s="3"/>
      <c r="E213" s="3"/>
      <c r="F213" s="3"/>
      <c r="G213" s="4">
        <v>39.557397999999999</v>
      </c>
      <c r="H213" s="4">
        <v>-74.239254000000003</v>
      </c>
      <c r="I213" s="5" t="s">
        <v>14</v>
      </c>
      <c r="J213" s="5" t="s">
        <v>14</v>
      </c>
      <c r="K213" s="6"/>
      <c r="L213" s="12"/>
      <c r="M213" s="7">
        <v>70000</v>
      </c>
      <c r="N213" s="12">
        <f>M213*0.764555</f>
        <v>53518.85</v>
      </c>
      <c r="O213" s="12"/>
      <c r="P213" s="12"/>
      <c r="Q213" s="12"/>
      <c r="R213" s="13"/>
      <c r="S213" s="9">
        <v>0.129</v>
      </c>
      <c r="T213" s="8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s="112" customFormat="1" ht="14.5" x14ac:dyDescent="0.35">
      <c r="A214" s="103" t="s">
        <v>103</v>
      </c>
      <c r="B214" s="104"/>
      <c r="C214" s="104">
        <f>MAX(C210:C213)-MIN(C210:C213)</f>
        <v>48</v>
      </c>
      <c r="D214" s="104">
        <f>COUNT(C210:C213,C158:C159)</f>
        <v>6</v>
      </c>
      <c r="E214" s="104">
        <f>MIN(C210:C213,C158:C159)</f>
        <v>1962</v>
      </c>
      <c r="F214" s="104">
        <f>MAX(C210:C213,C158:C159)</f>
        <v>2018</v>
      </c>
      <c r="G214" s="105">
        <f>AVERAGE(G210:G213)</f>
        <v>39.557397999999999</v>
      </c>
      <c r="H214" s="105">
        <f>AVERAGE(H210:H213)</f>
        <v>-74.239254000000003</v>
      </c>
      <c r="I214" s="117" t="str">
        <f>INDEX(I205:I213,MODE(MATCH(I205:I213,I205:I213,0)))</f>
        <v>State</v>
      </c>
      <c r="J214" s="117"/>
      <c r="K214" s="107">
        <f>AVERAGE(K210:K213,K158:K159)</f>
        <v>6666.333333333333</v>
      </c>
      <c r="L214" s="107">
        <f>AVERAGE(L210:L213,L158:L159)</f>
        <v>2031.8984</v>
      </c>
      <c r="M214" s="107">
        <f>AVERAGE(M210:M213,M158:M159)</f>
        <v>2201652.8333333335</v>
      </c>
      <c r="N214" s="107">
        <f>AVERAGE(N210:N213,(N158/15670)*3060,(N159/15670)*3060)</f>
        <v>404281.55895204312</v>
      </c>
      <c r="O214" s="107"/>
      <c r="P214" s="107">
        <f>AVERAGE(P210:P213,P158:P159)</f>
        <v>158.42083750653455</v>
      </c>
      <c r="Q214" s="107">
        <f>AVERAGE(Q210:Q213,Q158:Q159)</f>
        <v>15.842083750653455</v>
      </c>
      <c r="R214" s="118">
        <f>MEDIAN(R210:R213)</f>
        <v>471999.5</v>
      </c>
      <c r="S214" s="118">
        <f>MEDIAN(S210:S213)</f>
        <v>0.129</v>
      </c>
      <c r="T214" s="107">
        <f>AVERAGE(T210:T213,T158:T159)</f>
        <v>67094771.681964129</v>
      </c>
      <c r="U214" s="107">
        <f>AVERAGE(U158:U159)</f>
        <v>21.127287346351771</v>
      </c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</row>
    <row r="215" spans="1:42" s="112" customFormat="1" ht="14.5" x14ac:dyDescent="0.35">
      <c r="A215" s="103" t="s">
        <v>152</v>
      </c>
      <c r="B215" s="104" t="s">
        <v>13</v>
      </c>
      <c r="C215" s="104">
        <v>1962</v>
      </c>
      <c r="D215" s="104">
        <f>COUNT(C215,C158:C159)</f>
        <v>3</v>
      </c>
      <c r="E215" s="104">
        <f>MIN(C215,C158:C159)</f>
        <v>1962</v>
      </c>
      <c r="F215" s="104">
        <f>MAX(C215,C158:C159)</f>
        <v>2018</v>
      </c>
      <c r="G215" s="105">
        <v>39.538452999999997</v>
      </c>
      <c r="H215" s="105">
        <v>-74.257492999999997</v>
      </c>
      <c r="I215" s="106" t="s">
        <v>15</v>
      </c>
      <c r="J215" s="106" t="s">
        <v>17</v>
      </c>
      <c r="K215" s="109">
        <f>AVERAGE(308000,K158:K159)</f>
        <v>308000</v>
      </c>
      <c r="L215" s="109">
        <f>AVERAGE(308000,L158:L159)</f>
        <v>308000</v>
      </c>
      <c r="M215" s="109">
        <f>AVERAGE(308000,M158:M159)</f>
        <v>4260305.666666667</v>
      </c>
      <c r="N215" s="108">
        <f>AVERAGE(M215*0.764555,(N158/15670)*2090,(N159/15670)*2090)</f>
        <v>1509713.7279937172</v>
      </c>
      <c r="O215" s="108"/>
      <c r="P215" s="107">
        <f>AVERAGE(P158:P159)</f>
        <v>304.28305861311424</v>
      </c>
      <c r="Q215" s="107">
        <f>AVERAGE(Q158:Q159)</f>
        <v>30.428305861311422</v>
      </c>
      <c r="R215" s="118"/>
      <c r="S215" s="111">
        <v>0.127</v>
      </c>
      <c r="T215" s="110">
        <f>AVERAGE(T158:T159)</f>
        <v>100384515.87447459</v>
      </c>
      <c r="U215" s="107">
        <f>AVERAGE(U158:U159)</f>
        <v>21.127287346351771</v>
      </c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</row>
    <row r="216" spans="1:42" s="101" customFormat="1" ht="14.5" x14ac:dyDescent="0.35">
      <c r="A216" s="101" t="s">
        <v>71</v>
      </c>
      <c r="B216" s="101" t="s">
        <v>13</v>
      </c>
      <c r="C216" s="101">
        <v>2014</v>
      </c>
      <c r="G216" s="101">
        <v>39.556105000000002</v>
      </c>
      <c r="H216" s="101">
        <v>-75.518576999999993</v>
      </c>
      <c r="I216" s="101" t="s">
        <v>15</v>
      </c>
      <c r="J216" s="101" t="s">
        <v>17</v>
      </c>
      <c r="K216" s="101">
        <v>9500</v>
      </c>
      <c r="L216" s="101">
        <f>K216*0.3048</f>
        <v>2895.6000000000004</v>
      </c>
      <c r="M216" s="101">
        <v>354000</v>
      </c>
      <c r="N216" s="101">
        <f>M216*0.764555</f>
        <v>270652.46999999997</v>
      </c>
      <c r="R216" s="101">
        <v>12600000</v>
      </c>
      <c r="S216" s="101">
        <v>0.99399999999999999</v>
      </c>
      <c r="T216" s="101">
        <f>+R216/S216</f>
        <v>12676056.338028168</v>
      </c>
    </row>
    <row r="217" spans="1:42" s="152" customFormat="1" ht="14.5" x14ac:dyDescent="0.35">
      <c r="A217" s="152" t="s">
        <v>151</v>
      </c>
      <c r="D217" s="152">
        <f>COUNT(C216)</f>
        <v>1</v>
      </c>
    </row>
    <row r="218" spans="1:42" s="133" customFormat="1" x14ac:dyDescent="0.25">
      <c r="A218" s="38" t="s">
        <v>34</v>
      </c>
      <c r="B218" s="39" t="s">
        <v>13</v>
      </c>
      <c r="C218" s="39">
        <v>1962</v>
      </c>
      <c r="D218" s="39"/>
      <c r="E218" s="39"/>
      <c r="F218" s="39"/>
      <c r="G218" s="40">
        <v>39.405825999999998</v>
      </c>
      <c r="H218" s="40">
        <v>-74.362420999999998</v>
      </c>
      <c r="I218" s="41" t="s">
        <v>15</v>
      </c>
      <c r="J218" s="41" t="s">
        <v>35</v>
      </c>
      <c r="K218" s="42">
        <v>18000</v>
      </c>
      <c r="L218" s="12">
        <f>K218*0.3048</f>
        <v>5486.4000000000005</v>
      </c>
      <c r="M218" s="42">
        <v>392500</v>
      </c>
      <c r="N218" s="12">
        <f t="shared" ref="N218:N227" si="55">M218*0.764555</f>
        <v>300087.83749999997</v>
      </c>
      <c r="O218" s="12"/>
      <c r="P218" s="12">
        <f t="shared" ref="P218" si="56">N218/L218</f>
        <v>54.696674959900832</v>
      </c>
      <c r="Q218" s="12">
        <f t="shared" ref="Q218:Q222" si="57">P218/10</f>
        <v>5.4696674959900831</v>
      </c>
      <c r="R218" s="43">
        <v>503700</v>
      </c>
      <c r="S218" s="44">
        <v>0.127</v>
      </c>
      <c r="T218" s="45">
        <f>+R218/S218</f>
        <v>3966141.7322834646</v>
      </c>
      <c r="U218" s="133">
        <f t="shared" ref="U218:U220" si="58">T218/N218</f>
        <v>13.216602729803952</v>
      </c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s="133" customFormat="1" x14ac:dyDescent="0.25">
      <c r="A219" s="2" t="s">
        <v>34</v>
      </c>
      <c r="B219" s="3" t="s">
        <v>13</v>
      </c>
      <c r="C219" s="11">
        <v>1997</v>
      </c>
      <c r="D219" s="11"/>
      <c r="E219" s="11"/>
      <c r="F219" s="11"/>
      <c r="G219" s="4">
        <v>39.405825999999998</v>
      </c>
      <c r="H219" s="4">
        <v>-74.362420999999998</v>
      </c>
      <c r="I219" s="14" t="s">
        <v>1</v>
      </c>
      <c r="J219" s="18" t="s">
        <v>16</v>
      </c>
      <c r="K219" s="6"/>
      <c r="L219" s="12"/>
      <c r="M219" s="12">
        <v>1200000</v>
      </c>
      <c r="N219" s="12">
        <f t="shared" si="55"/>
        <v>917466</v>
      </c>
      <c r="O219" s="12"/>
      <c r="P219" s="12"/>
      <c r="Q219" s="12"/>
      <c r="R219" s="8">
        <v>6000000</v>
      </c>
      <c r="S219" s="9">
        <v>0.67600000000000005</v>
      </c>
      <c r="T219" s="8">
        <f>+R219/S219</f>
        <v>8875739.6449704133</v>
      </c>
      <c r="U219" s="133">
        <f t="shared" si="58"/>
        <v>9.6741891742804782</v>
      </c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x14ac:dyDescent="0.25">
      <c r="A220" s="2" t="s">
        <v>34</v>
      </c>
      <c r="B220" s="3" t="s">
        <v>13</v>
      </c>
      <c r="C220" s="11">
        <v>1999</v>
      </c>
      <c r="D220" s="11"/>
      <c r="E220" s="11"/>
      <c r="F220" s="11"/>
      <c r="G220" s="4">
        <v>39.405825999999998</v>
      </c>
      <c r="H220" s="4">
        <v>-74.362420999999998</v>
      </c>
      <c r="I220" s="18" t="s">
        <v>15</v>
      </c>
      <c r="J220" s="18" t="s">
        <v>16</v>
      </c>
      <c r="K220" s="32">
        <v>9504</v>
      </c>
      <c r="L220" s="12">
        <f>K220*0.3048</f>
        <v>2896.8192000000004</v>
      </c>
      <c r="M220" s="32">
        <v>999827</v>
      </c>
      <c r="N220" s="12">
        <f t="shared" si="55"/>
        <v>764422.73198499996</v>
      </c>
      <c r="O220" s="12"/>
      <c r="P220" s="12">
        <f t="shared" ref="P220:P222" si="59">N220/L220</f>
        <v>263.88348019268852</v>
      </c>
      <c r="Q220" s="12">
        <f t="shared" si="57"/>
        <v>26.388348019268854</v>
      </c>
      <c r="R220" s="47">
        <v>4970000</v>
      </c>
      <c r="S220" s="9">
        <v>0.69899999999999995</v>
      </c>
      <c r="T220" s="26">
        <f>+R220/S220</f>
        <v>7110157.3676680978</v>
      </c>
      <c r="U220" s="133">
        <f t="shared" si="58"/>
        <v>9.3013421372294012</v>
      </c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x14ac:dyDescent="0.25">
      <c r="A221" s="2" t="s">
        <v>34</v>
      </c>
      <c r="B221" s="3" t="s">
        <v>13</v>
      </c>
      <c r="C221" s="11">
        <v>2001</v>
      </c>
      <c r="D221" s="11"/>
      <c r="E221" s="11"/>
      <c r="F221" s="11"/>
      <c r="G221" s="4">
        <v>39.405825999999998</v>
      </c>
      <c r="H221" s="4">
        <v>-74.362420999999998</v>
      </c>
      <c r="I221" s="14" t="s">
        <v>15</v>
      </c>
      <c r="J221" s="18" t="s">
        <v>17</v>
      </c>
      <c r="K221" s="6">
        <v>2700</v>
      </c>
      <c r="L221" s="12">
        <f>K221*0.3048</f>
        <v>822.96</v>
      </c>
      <c r="M221" s="12">
        <v>615000</v>
      </c>
      <c r="N221" s="12">
        <f t="shared" si="55"/>
        <v>470201.32500000001</v>
      </c>
      <c r="O221" s="12"/>
      <c r="P221" s="12">
        <f t="shared" si="59"/>
        <v>571.3538021289005</v>
      </c>
      <c r="Q221" s="12">
        <f t="shared" si="57"/>
        <v>57.135380212890048</v>
      </c>
      <c r="R221" s="13"/>
      <c r="S221" s="9">
        <v>0.746</v>
      </c>
      <c r="T221" s="8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1:42" x14ac:dyDescent="0.25">
      <c r="A222" s="2" t="s">
        <v>34</v>
      </c>
      <c r="B222" s="3" t="s">
        <v>13</v>
      </c>
      <c r="C222" s="11">
        <v>2006</v>
      </c>
      <c r="D222" s="11"/>
      <c r="E222" s="11"/>
      <c r="F222" s="11"/>
      <c r="G222" s="4">
        <v>39.405825999999998</v>
      </c>
      <c r="H222" s="4">
        <v>-74.362420999999998</v>
      </c>
      <c r="I222" s="18" t="s">
        <v>15</v>
      </c>
      <c r="J222" s="18" t="s">
        <v>16</v>
      </c>
      <c r="K222" s="32">
        <v>9504</v>
      </c>
      <c r="L222" s="12">
        <f>K222*0.3048</f>
        <v>2896.8192000000004</v>
      </c>
      <c r="M222" s="32">
        <v>672000</v>
      </c>
      <c r="N222" s="12">
        <f t="shared" si="55"/>
        <v>513780.95999999996</v>
      </c>
      <c r="O222" s="12"/>
      <c r="P222" s="12">
        <f t="shared" si="59"/>
        <v>177.36038203557885</v>
      </c>
      <c r="Q222" s="12">
        <f t="shared" si="57"/>
        <v>17.736038203557886</v>
      </c>
      <c r="R222" s="47">
        <v>3563995</v>
      </c>
      <c r="S222" s="9">
        <v>0.84699999999999998</v>
      </c>
      <c r="T222" s="8">
        <f t="shared" ref="T222:T227" si="60">+R222/S222</f>
        <v>4207786.3046044866</v>
      </c>
      <c r="U222" s="133">
        <f t="shared" ref="U222:U227" si="61">T222/N222</f>
        <v>8.1898447630377103</v>
      </c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x14ac:dyDescent="0.25">
      <c r="A223" s="2" t="s">
        <v>34</v>
      </c>
      <c r="B223" s="3" t="s">
        <v>13</v>
      </c>
      <c r="C223" s="11">
        <v>2011</v>
      </c>
      <c r="D223" s="11"/>
      <c r="E223" s="11"/>
      <c r="F223" s="11"/>
      <c r="G223" s="4">
        <v>39.405825999999998</v>
      </c>
      <c r="H223" s="4">
        <v>-74.362420999999998</v>
      </c>
      <c r="I223" s="18" t="s">
        <v>15</v>
      </c>
      <c r="J223" s="18" t="s">
        <v>17</v>
      </c>
      <c r="K223" s="32">
        <v>9504</v>
      </c>
      <c r="L223" s="12">
        <f>K223*0.3048</f>
        <v>2896.8192000000004</v>
      </c>
      <c r="M223" s="32">
        <v>175000</v>
      </c>
      <c r="N223" s="12">
        <f t="shared" si="55"/>
        <v>133797.125</v>
      </c>
      <c r="O223" s="12"/>
      <c r="P223" s="12">
        <f>N223/L223</f>
        <v>46.187599488431992</v>
      </c>
      <c r="Q223" s="12">
        <f>P223/10</f>
        <v>4.6187599488431994</v>
      </c>
      <c r="R223" s="47">
        <v>4854435</v>
      </c>
      <c r="S223" s="20">
        <v>0.96399999999999997</v>
      </c>
      <c r="T223" s="8">
        <f t="shared" si="60"/>
        <v>5035720.9543568464</v>
      </c>
      <c r="U223" s="133">
        <f t="shared" si="61"/>
        <v>37.636989242906722</v>
      </c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x14ac:dyDescent="0.25">
      <c r="A224" s="2" t="s">
        <v>34</v>
      </c>
      <c r="B224" s="3" t="s">
        <v>13</v>
      </c>
      <c r="C224" s="3">
        <v>2013</v>
      </c>
      <c r="D224" s="3"/>
      <c r="E224" s="3"/>
      <c r="F224" s="3"/>
      <c r="G224" s="4">
        <v>39.405825999999998</v>
      </c>
      <c r="H224" s="4">
        <v>-74.362420999999998</v>
      </c>
      <c r="I224" s="18" t="s">
        <v>15</v>
      </c>
      <c r="J224" s="18" t="s">
        <v>17</v>
      </c>
      <c r="K224" s="6">
        <v>9504</v>
      </c>
      <c r="L224" s="12">
        <f>K224*0.3048</f>
        <v>2896.8192000000004</v>
      </c>
      <c r="M224" s="6">
        <v>667000</v>
      </c>
      <c r="N224" s="12">
        <f t="shared" si="55"/>
        <v>509958.185</v>
      </c>
      <c r="O224" s="12"/>
      <c r="P224" s="195">
        <f>AVERAGE(N224:N226)/AVERAGE(L224:L226)</f>
        <v>242.55087959925143</v>
      </c>
      <c r="Q224" s="197">
        <f>P224/10</f>
        <v>24.255087959925142</v>
      </c>
      <c r="R224" s="26">
        <v>13693204</v>
      </c>
      <c r="S224" s="20">
        <v>0.97799999999999998</v>
      </c>
      <c r="T224" s="8">
        <f t="shared" si="60"/>
        <v>14001231.083844582</v>
      </c>
      <c r="U224" s="133">
        <f t="shared" si="61"/>
        <v>27.455645375796021</v>
      </c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x14ac:dyDescent="0.25">
      <c r="A225" s="2" t="s">
        <v>34</v>
      </c>
      <c r="B225" s="3" t="s">
        <v>13</v>
      </c>
      <c r="C225" s="3">
        <v>2013</v>
      </c>
      <c r="D225" s="3"/>
      <c r="E225" s="3"/>
      <c r="F225" s="3"/>
      <c r="G225" s="4">
        <v>39.405825999999998</v>
      </c>
      <c r="H225" s="4">
        <v>-74.362420999999998</v>
      </c>
      <c r="I225" s="18" t="s">
        <v>15</v>
      </c>
      <c r="J225" s="18" t="s">
        <v>17</v>
      </c>
      <c r="K225" s="7"/>
      <c r="L225" s="12"/>
      <c r="M225" s="7">
        <v>90000</v>
      </c>
      <c r="N225" s="12">
        <f t="shared" si="55"/>
        <v>68809.95</v>
      </c>
      <c r="O225" s="12"/>
      <c r="P225" s="195"/>
      <c r="Q225" s="197"/>
      <c r="R225" s="13">
        <v>1377551</v>
      </c>
      <c r="S225" s="20">
        <v>0.97799999999999998</v>
      </c>
      <c r="T225" s="8">
        <f t="shared" si="60"/>
        <v>1408538.8548057261</v>
      </c>
      <c r="U225" s="133">
        <f t="shared" si="61"/>
        <v>20.469988058496281</v>
      </c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x14ac:dyDescent="0.25">
      <c r="A226" s="2" t="s">
        <v>34</v>
      </c>
      <c r="B226" s="3" t="s">
        <v>13</v>
      </c>
      <c r="C226" s="165">
        <v>2014</v>
      </c>
      <c r="D226" s="133"/>
      <c r="E226" s="133"/>
      <c r="F226" s="133"/>
      <c r="G226" s="133"/>
      <c r="H226" s="133"/>
      <c r="I226" s="133"/>
      <c r="J226" s="133"/>
      <c r="K226" s="133">
        <v>9504</v>
      </c>
      <c r="L226" s="12">
        <f>K226*0.3048</f>
        <v>2896.8192000000004</v>
      </c>
      <c r="M226" s="133">
        <v>2000000</v>
      </c>
      <c r="N226" s="12">
        <f t="shared" si="55"/>
        <v>1529110</v>
      </c>
      <c r="O226" s="12"/>
      <c r="P226" s="195"/>
      <c r="Q226" s="197"/>
      <c r="R226" s="133">
        <v>41862230</v>
      </c>
      <c r="S226" s="9">
        <v>0.99399999999999999</v>
      </c>
      <c r="T226" s="8">
        <f t="shared" si="60"/>
        <v>42114919.517102614</v>
      </c>
      <c r="U226" s="133">
        <f t="shared" si="61"/>
        <v>27.54211241644003</v>
      </c>
      <c r="Y226" s="133"/>
      <c r="Z226" s="133"/>
      <c r="AA226" s="133"/>
      <c r="AB226" s="133"/>
      <c r="AC226" s="133"/>
      <c r="AD226" s="133"/>
      <c r="AE226" s="133"/>
      <c r="AF226" s="133"/>
      <c r="AG226" s="133"/>
      <c r="AH226" s="133"/>
      <c r="AI226" s="133"/>
      <c r="AJ226" s="133"/>
      <c r="AK226" s="133"/>
      <c r="AL226" s="133"/>
      <c r="AM226" s="133"/>
      <c r="AN226" s="133"/>
      <c r="AO226" s="133"/>
      <c r="AP226" s="133"/>
    </row>
    <row r="227" spans="1:42" x14ac:dyDescent="0.25">
      <c r="A227" s="2" t="s">
        <v>34</v>
      </c>
      <c r="B227" s="3" t="s">
        <v>13</v>
      </c>
      <c r="C227" s="165">
        <v>2018</v>
      </c>
      <c r="D227" s="133"/>
      <c r="E227" s="133"/>
      <c r="F227" s="133"/>
      <c r="G227" s="133"/>
      <c r="H227" s="133"/>
      <c r="I227" s="133"/>
      <c r="J227" s="133"/>
      <c r="K227" s="133"/>
      <c r="L227" s="133"/>
      <c r="M227" s="133">
        <v>754090</v>
      </c>
      <c r="N227" s="12">
        <f t="shared" si="55"/>
        <v>576543.27995</v>
      </c>
      <c r="O227" s="12"/>
      <c r="P227" s="133">
        <f>N227/L226</f>
        <v>199.02632513275248</v>
      </c>
      <c r="Q227" s="126">
        <f>P227/10</f>
        <v>19.902632513275247</v>
      </c>
      <c r="R227" s="133">
        <v>9697181</v>
      </c>
      <c r="S227" s="9">
        <v>1.0468</v>
      </c>
      <c r="T227" s="8">
        <f t="shared" si="60"/>
        <v>9263642.529614063</v>
      </c>
      <c r="U227" s="133">
        <f t="shared" si="61"/>
        <v>16.067557895076742</v>
      </c>
      <c r="Y227" s="133"/>
      <c r="Z227" s="133"/>
      <c r="AA227" s="133"/>
      <c r="AB227" s="133"/>
      <c r="AC227" s="133"/>
      <c r="AD227" s="133"/>
      <c r="AE227" s="133"/>
      <c r="AF227" s="133"/>
      <c r="AG227" s="133"/>
      <c r="AH227" s="133"/>
      <c r="AI227" s="133"/>
      <c r="AJ227" s="133"/>
      <c r="AK227" s="133"/>
      <c r="AL227" s="133"/>
      <c r="AM227" s="133"/>
      <c r="AN227" s="133"/>
      <c r="AO227" s="133"/>
      <c r="AP227" s="133"/>
    </row>
    <row r="228" spans="1:42" s="112" customFormat="1" ht="14.5" x14ac:dyDescent="0.35">
      <c r="A228" s="103" t="s">
        <v>106</v>
      </c>
      <c r="B228" s="104"/>
      <c r="C228" s="116">
        <f>MAX(C220:C227)-MIN(C220:C227)</f>
        <v>19</v>
      </c>
      <c r="D228" s="116">
        <f>COUNT(C218:C227)</f>
        <v>10</v>
      </c>
      <c r="E228" s="116">
        <f>MIN(C218:C227)</f>
        <v>1962</v>
      </c>
      <c r="F228" s="116">
        <f>MAX(C218:C227)</f>
        <v>2018</v>
      </c>
      <c r="G228" s="105">
        <f>AVERAGE(G220:G227)</f>
        <v>39.405825999999998</v>
      </c>
      <c r="H228" s="105">
        <f>AVERAGE(H220:H227)</f>
        <v>-74.362420999999998</v>
      </c>
      <c r="I228" s="106" t="e">
        <f>INDEX(I214:I227,MODE(MATCH(I214:I227,I214:I227,0)))</f>
        <v>#N/A</v>
      </c>
      <c r="J228" s="117"/>
      <c r="K228" s="107">
        <f>AVERAGE(K218:K227)</f>
        <v>9745.7142857142862</v>
      </c>
      <c r="L228" s="107">
        <f>AVERAGE(L218:L227)</f>
        <v>2970.4937142857152</v>
      </c>
      <c r="M228" s="107">
        <f>AVERAGE(M218:M227)</f>
        <v>756541.7</v>
      </c>
      <c r="N228" s="107">
        <f>AVERAGE(N218:N227)</f>
        <v>578417.73944350006</v>
      </c>
      <c r="O228" s="107"/>
      <c r="P228" s="107">
        <f>AVERAGE(P218:P227)</f>
        <v>222.15130621964349</v>
      </c>
      <c r="Q228" s="107">
        <f>AVERAGE(Q218:Q227)</f>
        <v>22.215130621964352</v>
      </c>
      <c r="R228" s="110">
        <f>MEDIAN(R218:R227)</f>
        <v>4970000</v>
      </c>
      <c r="S228" s="110">
        <f>MEDIAN(S220:S227)</f>
        <v>0.97099999999999997</v>
      </c>
      <c r="T228" s="107">
        <f>AVERAGE(T218:T227)</f>
        <v>10664875.33213892</v>
      </c>
      <c r="U228" s="107">
        <f>AVERAGE(U218:U227)</f>
        <v>18.839363532563038</v>
      </c>
      <c r="Y228" s="113"/>
      <c r="Z228" s="113"/>
      <c r="AA228" s="113"/>
      <c r="AB228" s="113"/>
      <c r="AC228" s="113"/>
      <c r="AD228" s="113"/>
      <c r="AE228" s="113"/>
      <c r="AF228" s="113"/>
      <c r="AG228" s="113"/>
      <c r="AH228" s="113"/>
      <c r="AI228" s="113"/>
      <c r="AJ228" s="113"/>
      <c r="AK228" s="113"/>
      <c r="AL228" s="113"/>
      <c r="AM228" s="113"/>
      <c r="AN228" s="113"/>
      <c r="AO228" s="113"/>
      <c r="AP228" s="113"/>
    </row>
    <row r="229" spans="1:42" x14ac:dyDescent="0.25">
      <c r="A229" s="2" t="s">
        <v>12</v>
      </c>
      <c r="B229" s="3" t="s">
        <v>13</v>
      </c>
      <c r="C229" s="11">
        <v>1936</v>
      </c>
      <c r="D229" s="11"/>
      <c r="E229" s="11"/>
      <c r="F229" s="11"/>
      <c r="G229" s="4">
        <v>39.357595000000003</v>
      </c>
      <c r="H229" s="4">
        <v>-74.421816000000007</v>
      </c>
      <c r="I229" s="5" t="s">
        <v>15</v>
      </c>
      <c r="J229" s="5" t="s">
        <v>16</v>
      </c>
      <c r="K229" s="12"/>
      <c r="L229" s="12"/>
      <c r="M229" s="12">
        <v>191447</v>
      </c>
      <c r="N229" s="12">
        <f t="shared" ref="N229:N249" si="62">M229*0.764555</f>
        <v>146371.76108500001</v>
      </c>
      <c r="O229" s="12"/>
      <c r="P229" s="12"/>
      <c r="Q229" s="12"/>
      <c r="R229" s="13"/>
      <c r="S229" s="9">
        <v>5.8000000000000003E-2</v>
      </c>
      <c r="T229" s="8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x14ac:dyDescent="0.25">
      <c r="A230" s="2" t="s">
        <v>12</v>
      </c>
      <c r="B230" s="3" t="s">
        <v>13</v>
      </c>
      <c r="C230" s="3">
        <v>1936</v>
      </c>
      <c r="D230" s="3"/>
      <c r="E230" s="3"/>
      <c r="F230" s="3"/>
      <c r="G230" s="4">
        <v>39.357595000000003</v>
      </c>
      <c r="H230" s="4">
        <v>-74.421816000000007</v>
      </c>
      <c r="I230" s="5" t="s">
        <v>14</v>
      </c>
      <c r="J230" s="5" t="s">
        <v>14</v>
      </c>
      <c r="K230" s="6"/>
      <c r="L230" s="12"/>
      <c r="M230" s="7">
        <v>792000</v>
      </c>
      <c r="N230" s="12">
        <f t="shared" si="62"/>
        <v>605527.55999999994</v>
      </c>
      <c r="O230" s="12"/>
      <c r="P230" s="12"/>
      <c r="Q230" s="12"/>
      <c r="R230" s="8">
        <v>157832</v>
      </c>
      <c r="S230" s="9">
        <v>5.8000000000000003E-2</v>
      </c>
      <c r="T230" s="8">
        <f>+R230/S230</f>
        <v>2721241.3793103448</v>
      </c>
      <c r="U230" s="133">
        <f t="shared" ref="U230:U233" si="63">T230/N230</f>
        <v>4.4940008664681503</v>
      </c>
      <c r="Y230" s="27"/>
      <c r="Z230" s="27"/>
      <c r="AA230" s="27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x14ac:dyDescent="0.25">
      <c r="A231" s="2" t="s">
        <v>12</v>
      </c>
      <c r="B231" s="3" t="s">
        <v>13</v>
      </c>
      <c r="C231" s="3">
        <v>1937</v>
      </c>
      <c r="D231" s="3"/>
      <c r="E231" s="3"/>
      <c r="F231" s="3"/>
      <c r="G231" s="4">
        <v>39.357595000000003</v>
      </c>
      <c r="H231" s="4">
        <v>-74.421816000000007</v>
      </c>
      <c r="I231" s="5" t="s">
        <v>14</v>
      </c>
      <c r="J231" s="5" t="s">
        <v>14</v>
      </c>
      <c r="K231" s="6"/>
      <c r="L231" s="12"/>
      <c r="M231" s="7">
        <v>900000</v>
      </c>
      <c r="N231" s="12">
        <f t="shared" si="62"/>
        <v>688099.5</v>
      </c>
      <c r="O231" s="12"/>
      <c r="P231" s="12"/>
      <c r="Q231" s="12"/>
      <c r="R231" s="8">
        <v>204638</v>
      </c>
      <c r="S231" s="9">
        <v>0.06</v>
      </c>
      <c r="T231" s="8">
        <f>+R231/S231</f>
        <v>3410633.3333333335</v>
      </c>
      <c r="U231" s="133">
        <f t="shared" si="63"/>
        <v>4.9565990577428609</v>
      </c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x14ac:dyDescent="0.25">
      <c r="A232" s="2" t="s">
        <v>12</v>
      </c>
      <c r="B232" s="3" t="s">
        <v>13</v>
      </c>
      <c r="C232" s="3">
        <v>1938</v>
      </c>
      <c r="D232" s="3"/>
      <c r="E232" s="3"/>
      <c r="F232" s="3"/>
      <c r="G232" s="4">
        <v>39.357595000000003</v>
      </c>
      <c r="H232" s="4">
        <v>-74.421816000000007</v>
      </c>
      <c r="I232" s="5" t="s">
        <v>14</v>
      </c>
      <c r="J232" s="5" t="s">
        <v>14</v>
      </c>
      <c r="K232" s="6"/>
      <c r="L232" s="12"/>
      <c r="M232" s="7">
        <v>500000</v>
      </c>
      <c r="N232" s="12">
        <f t="shared" si="62"/>
        <v>382277.5</v>
      </c>
      <c r="O232" s="12"/>
      <c r="P232" s="12"/>
      <c r="Q232" s="12"/>
      <c r="R232" s="8">
        <v>114207</v>
      </c>
      <c r="S232" s="9">
        <v>5.8999999999999997E-2</v>
      </c>
      <c r="T232" s="8">
        <f>+R232/S232</f>
        <v>1935711.8644067799</v>
      </c>
      <c r="U232" s="133">
        <f t="shared" si="63"/>
        <v>5.0636301231612633</v>
      </c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x14ac:dyDescent="0.25">
      <c r="A233" s="2" t="s">
        <v>12</v>
      </c>
      <c r="B233" s="3" t="s">
        <v>13</v>
      </c>
      <c r="C233" s="3">
        <v>1942</v>
      </c>
      <c r="D233" s="3"/>
      <c r="E233" s="3"/>
      <c r="F233" s="3"/>
      <c r="G233" s="4">
        <v>39.357595000000003</v>
      </c>
      <c r="H233" s="4">
        <v>-74.421816000000007</v>
      </c>
      <c r="I233" s="14" t="s">
        <v>15</v>
      </c>
      <c r="J233" s="14" t="s">
        <v>16</v>
      </c>
      <c r="K233" s="6"/>
      <c r="L233" s="12"/>
      <c r="M233" s="7">
        <v>1362000</v>
      </c>
      <c r="N233" s="12">
        <f t="shared" si="62"/>
        <v>1041323.91</v>
      </c>
      <c r="O233" s="12"/>
      <c r="P233" s="12"/>
      <c r="Q233" s="12"/>
      <c r="R233" s="8">
        <v>364366</v>
      </c>
      <c r="S233" s="9">
        <v>6.8000000000000005E-2</v>
      </c>
      <c r="T233" s="8">
        <f>+R233/S233</f>
        <v>5358323.5294117639</v>
      </c>
      <c r="U233" s="133">
        <f t="shared" si="63"/>
        <v>5.1456837569510565</v>
      </c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x14ac:dyDescent="0.25">
      <c r="A234" s="2" t="s">
        <v>12</v>
      </c>
      <c r="B234" s="3" t="s">
        <v>13</v>
      </c>
      <c r="C234" s="3">
        <v>1948</v>
      </c>
      <c r="D234" s="3"/>
      <c r="E234" s="3"/>
      <c r="F234" s="3"/>
      <c r="G234" s="4">
        <v>39.357595000000003</v>
      </c>
      <c r="H234" s="4">
        <v>-74.421816000000007</v>
      </c>
      <c r="I234" s="14" t="s">
        <v>1</v>
      </c>
      <c r="J234" s="5" t="s">
        <v>14</v>
      </c>
      <c r="K234" s="6">
        <v>2700</v>
      </c>
      <c r="L234" s="12">
        <f>K234*0.3048</f>
        <v>822.96</v>
      </c>
      <c r="M234" s="7">
        <v>483000</v>
      </c>
      <c r="N234" s="12">
        <f t="shared" si="62"/>
        <v>369280.065</v>
      </c>
      <c r="O234" s="12"/>
      <c r="P234" s="133">
        <f>N234/L234</f>
        <v>448.72176655001459</v>
      </c>
      <c r="Q234" s="126">
        <f>P234/10</f>
        <v>44.872176655001461</v>
      </c>
      <c r="R234" s="13"/>
      <c r="S234" s="9">
        <v>0.10100000000000001</v>
      </c>
      <c r="T234" s="8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x14ac:dyDescent="0.25">
      <c r="A235" s="2" t="s">
        <v>12</v>
      </c>
      <c r="B235" s="3" t="s">
        <v>13</v>
      </c>
      <c r="C235" s="3">
        <v>1948</v>
      </c>
      <c r="D235" s="3"/>
      <c r="E235" s="3"/>
      <c r="F235" s="3"/>
      <c r="G235" s="4">
        <v>39.357595000000003</v>
      </c>
      <c r="H235" s="4">
        <v>-74.421816000000007</v>
      </c>
      <c r="I235" s="14" t="s">
        <v>15</v>
      </c>
      <c r="J235" s="14" t="s">
        <v>16</v>
      </c>
      <c r="K235" s="7">
        <v>5808</v>
      </c>
      <c r="L235" s="12">
        <f>K235*0.3048</f>
        <v>1770.2784000000001</v>
      </c>
      <c r="M235" s="7">
        <v>1073684</v>
      </c>
      <c r="N235" s="12">
        <f t="shared" si="62"/>
        <v>820890.47062000004</v>
      </c>
      <c r="O235" s="12"/>
      <c r="P235" s="133">
        <f>N235/L235</f>
        <v>463.70699129583232</v>
      </c>
      <c r="Q235" s="126">
        <f>P235/10</f>
        <v>46.37069912958323</v>
      </c>
      <c r="R235" s="8">
        <v>479752</v>
      </c>
      <c r="S235" s="9">
        <v>0.10100000000000001</v>
      </c>
      <c r="T235" s="8">
        <f>+R235/S235</f>
        <v>4750019.8019801974</v>
      </c>
      <c r="U235" s="133">
        <f>T235/N235</f>
        <v>5.7864233682632653</v>
      </c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x14ac:dyDescent="0.25">
      <c r="A236" s="2" t="s">
        <v>12</v>
      </c>
      <c r="B236" s="3" t="s">
        <v>13</v>
      </c>
      <c r="C236" s="3">
        <v>1956</v>
      </c>
      <c r="D236" s="3"/>
      <c r="E236" s="3"/>
      <c r="F236" s="3"/>
      <c r="G236" s="4">
        <v>39.357595000000003</v>
      </c>
      <c r="H236" s="4">
        <v>-74.421816000000007</v>
      </c>
      <c r="I236" s="5" t="s">
        <v>14</v>
      </c>
      <c r="J236" s="5" t="s">
        <v>14</v>
      </c>
      <c r="K236" s="6"/>
      <c r="L236" s="12"/>
      <c r="M236" s="7">
        <v>22000</v>
      </c>
      <c r="N236" s="12">
        <f t="shared" si="62"/>
        <v>16820.21</v>
      </c>
      <c r="O236" s="12"/>
      <c r="P236" s="133"/>
      <c r="Q236" s="126"/>
      <c r="R236" s="13"/>
      <c r="S236" s="9">
        <v>0.114</v>
      </c>
      <c r="T236" s="8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1:42" x14ac:dyDescent="0.25">
      <c r="A237" s="2" t="s">
        <v>12</v>
      </c>
      <c r="B237" s="3" t="s">
        <v>13</v>
      </c>
      <c r="C237" s="3">
        <v>1963</v>
      </c>
      <c r="D237" s="3"/>
      <c r="E237" s="3"/>
      <c r="F237" s="3"/>
      <c r="G237" s="4">
        <v>39.357595000000003</v>
      </c>
      <c r="H237" s="4">
        <v>-74.421816000000007</v>
      </c>
      <c r="I237" s="14" t="s">
        <v>15</v>
      </c>
      <c r="J237" s="14" t="s">
        <v>16</v>
      </c>
      <c r="K237" s="7">
        <v>3696</v>
      </c>
      <c r="L237" s="12">
        <f>K237*0.3048</f>
        <v>1126.5408</v>
      </c>
      <c r="M237" s="7">
        <v>560000</v>
      </c>
      <c r="N237" s="12">
        <f t="shared" si="62"/>
        <v>428150.8</v>
      </c>
      <c r="O237" s="12"/>
      <c r="P237" s="133">
        <f>N237/L237</f>
        <v>380.05796150481189</v>
      </c>
      <c r="Q237" s="126">
        <f>P237/10</f>
        <v>38.005796150481189</v>
      </c>
      <c r="R237" s="8">
        <v>500864</v>
      </c>
      <c r="S237" s="9">
        <v>0.129</v>
      </c>
      <c r="T237" s="8">
        <f>+R237/S237</f>
        <v>3882666.6666666665</v>
      </c>
      <c r="U237" s="133">
        <f>T237/N237</f>
        <v>9.0684559427815312</v>
      </c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1:42" x14ac:dyDescent="0.25">
      <c r="A238" s="2" t="s">
        <v>12</v>
      </c>
      <c r="B238" s="3" t="s">
        <v>13</v>
      </c>
      <c r="C238" s="3">
        <v>1966</v>
      </c>
      <c r="D238" s="3"/>
      <c r="E238" s="3"/>
      <c r="F238" s="3"/>
      <c r="G238" s="4">
        <v>39.357595000000003</v>
      </c>
      <c r="H238" s="4">
        <v>-74.421816000000007</v>
      </c>
      <c r="I238" s="14" t="s">
        <v>15</v>
      </c>
      <c r="J238" s="5" t="s">
        <v>14</v>
      </c>
      <c r="K238" s="6"/>
      <c r="L238" s="12"/>
      <c r="M238" s="7">
        <v>125000</v>
      </c>
      <c r="N238" s="12">
        <f t="shared" si="62"/>
        <v>95569.375</v>
      </c>
      <c r="O238" s="12"/>
      <c r="P238" s="12"/>
      <c r="Q238" s="12"/>
      <c r="R238" s="13"/>
      <c r="S238" s="9">
        <v>0.13600000000000001</v>
      </c>
      <c r="T238" s="8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 spans="1:42" x14ac:dyDescent="0.25">
      <c r="A239" s="2" t="s">
        <v>12</v>
      </c>
      <c r="B239" s="3" t="s">
        <v>13</v>
      </c>
      <c r="C239" s="3">
        <v>1970</v>
      </c>
      <c r="D239" s="3"/>
      <c r="E239" s="3"/>
      <c r="F239" s="3"/>
      <c r="G239" s="4">
        <v>39.357595000000003</v>
      </c>
      <c r="H239" s="4">
        <v>-74.421816000000007</v>
      </c>
      <c r="I239" s="14" t="s">
        <v>15</v>
      </c>
      <c r="J239" s="18" t="s">
        <v>17</v>
      </c>
      <c r="K239" s="7">
        <v>4752</v>
      </c>
      <c r="L239" s="12">
        <f>K239*0.3048</f>
        <v>1448.4096000000002</v>
      </c>
      <c r="M239" s="7">
        <v>830000</v>
      </c>
      <c r="N239" s="12">
        <f t="shared" si="62"/>
        <v>634580.65</v>
      </c>
      <c r="O239" s="12"/>
      <c r="P239" s="133">
        <f>N239/L239</f>
        <v>438.12237229026925</v>
      </c>
      <c r="Q239" s="126">
        <f>P239/10</f>
        <v>43.812237229026927</v>
      </c>
      <c r="R239" s="8">
        <v>1252625</v>
      </c>
      <c r="S239" s="9">
        <v>0.16300000000000001</v>
      </c>
      <c r="T239" s="8">
        <f>+R239/S239</f>
        <v>7684815.9509202447</v>
      </c>
      <c r="U239" s="133">
        <f t="shared" ref="U239:U240" si="64">T239/N239</f>
        <v>12.110069777451052</v>
      </c>
      <c r="Y239" s="46"/>
      <c r="Z239" s="46"/>
      <c r="AA239" s="46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 spans="1:42" x14ac:dyDescent="0.25">
      <c r="A240" s="2" t="s">
        <v>12</v>
      </c>
      <c r="B240" s="3" t="s">
        <v>13</v>
      </c>
      <c r="C240" s="3">
        <v>1979</v>
      </c>
      <c r="D240" s="3"/>
      <c r="E240" s="3"/>
      <c r="F240" s="3"/>
      <c r="G240" s="4">
        <v>39.357595000000003</v>
      </c>
      <c r="H240" s="4">
        <v>-74.421816000000007</v>
      </c>
      <c r="I240" s="14" t="s">
        <v>15</v>
      </c>
      <c r="J240" s="5" t="s">
        <v>14</v>
      </c>
      <c r="K240" s="6"/>
      <c r="L240" s="12"/>
      <c r="M240" s="7">
        <v>48158</v>
      </c>
      <c r="N240" s="12">
        <f t="shared" si="62"/>
        <v>36819.439689999999</v>
      </c>
      <c r="O240" s="12"/>
      <c r="P240" s="12"/>
      <c r="Q240" s="12"/>
      <c r="R240" s="8">
        <v>133772</v>
      </c>
      <c r="S240" s="9">
        <v>0.30499999999999999</v>
      </c>
      <c r="T240" s="8">
        <f>+R240/S240</f>
        <v>438596.72131147544</v>
      </c>
      <c r="U240" s="133">
        <f t="shared" si="64"/>
        <v>11.912096571925737</v>
      </c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 spans="1:42" x14ac:dyDescent="0.25">
      <c r="A241" s="2" t="s">
        <v>12</v>
      </c>
      <c r="B241" s="3" t="s">
        <v>13</v>
      </c>
      <c r="C241" s="3">
        <v>1983</v>
      </c>
      <c r="D241" s="3"/>
      <c r="E241" s="3"/>
      <c r="F241" s="3"/>
      <c r="G241" s="4">
        <v>39.357595000000003</v>
      </c>
      <c r="H241" s="4">
        <v>-74.421816000000007</v>
      </c>
      <c r="I241" s="14" t="s">
        <v>1</v>
      </c>
      <c r="J241" s="5" t="s">
        <v>14</v>
      </c>
      <c r="K241" s="6"/>
      <c r="L241" s="12"/>
      <c r="M241" s="7">
        <v>32000</v>
      </c>
      <c r="N241" s="12">
        <f t="shared" si="62"/>
        <v>24465.759999999998</v>
      </c>
      <c r="O241" s="12"/>
      <c r="P241" s="12"/>
      <c r="Q241" s="12"/>
      <c r="R241" s="13"/>
      <c r="S241" s="9">
        <v>0.41799999999999998</v>
      </c>
      <c r="T241" s="8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 spans="1:42" x14ac:dyDescent="0.25">
      <c r="A242" s="2" t="s">
        <v>12</v>
      </c>
      <c r="B242" s="3" t="s">
        <v>13</v>
      </c>
      <c r="C242" s="3">
        <v>1983</v>
      </c>
      <c r="D242" s="3"/>
      <c r="E242" s="3"/>
      <c r="F242" s="3"/>
      <c r="G242" s="4">
        <v>39.357595000000003</v>
      </c>
      <c r="H242" s="4">
        <v>-74.421816000000007</v>
      </c>
      <c r="I242" s="14" t="s">
        <v>1</v>
      </c>
      <c r="J242" s="5" t="s">
        <v>14</v>
      </c>
      <c r="K242" s="6"/>
      <c r="L242" s="12"/>
      <c r="M242" s="7">
        <v>43000</v>
      </c>
      <c r="N242" s="12">
        <f t="shared" si="62"/>
        <v>32875.864999999998</v>
      </c>
      <c r="O242" s="12"/>
      <c r="P242" s="12"/>
      <c r="Q242" s="12"/>
      <c r="R242" s="13"/>
      <c r="S242" s="9">
        <v>0.41799999999999998</v>
      </c>
      <c r="T242" s="8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 spans="1:42" x14ac:dyDescent="0.25">
      <c r="A243" s="2" t="s">
        <v>12</v>
      </c>
      <c r="B243" s="3" t="s">
        <v>13</v>
      </c>
      <c r="C243" s="11">
        <v>1986</v>
      </c>
      <c r="D243" s="11"/>
      <c r="E243" s="11"/>
      <c r="F243" s="11"/>
      <c r="G243" s="4">
        <v>39.357595000000003</v>
      </c>
      <c r="H243" s="4">
        <v>-74.421816000000007</v>
      </c>
      <c r="I243" s="5" t="s">
        <v>15</v>
      </c>
      <c r="J243" s="14" t="s">
        <v>16</v>
      </c>
      <c r="K243" s="12">
        <v>24816</v>
      </c>
      <c r="L243" s="12">
        <f>K243*0.3048</f>
        <v>7563.9168</v>
      </c>
      <c r="M243" s="12">
        <v>1000000</v>
      </c>
      <c r="N243" s="12">
        <f t="shared" si="62"/>
        <v>764555</v>
      </c>
      <c r="O243" s="12"/>
      <c r="P243" s="133">
        <f>N243/L243</f>
        <v>101.079245081067</v>
      </c>
      <c r="Q243" s="126">
        <f>P243/10</f>
        <v>10.1079245081067</v>
      </c>
      <c r="R243" s="19">
        <v>7000000</v>
      </c>
      <c r="S243" s="9">
        <v>0.46100000000000002</v>
      </c>
      <c r="T243" s="8">
        <f>+R243/S243</f>
        <v>15184381.778741864</v>
      </c>
      <c r="U243" s="133">
        <f>T243/N243</f>
        <v>19.860417862340661</v>
      </c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 spans="1:42" x14ac:dyDescent="0.25">
      <c r="A244" s="2" t="s">
        <v>12</v>
      </c>
      <c r="B244" s="3" t="s">
        <v>13</v>
      </c>
      <c r="C244" s="3">
        <v>1997</v>
      </c>
      <c r="D244" s="3"/>
      <c r="E244" s="3"/>
      <c r="F244" s="3"/>
      <c r="G244" s="4">
        <v>39.357595000000003</v>
      </c>
      <c r="H244" s="4">
        <v>-74.421816000000007</v>
      </c>
      <c r="I244" s="14" t="s">
        <v>1</v>
      </c>
      <c r="J244" s="5" t="s">
        <v>14</v>
      </c>
      <c r="K244" s="6"/>
      <c r="L244" s="12"/>
      <c r="M244" s="7">
        <v>450000</v>
      </c>
      <c r="N244" s="12">
        <f t="shared" si="62"/>
        <v>344049.75</v>
      </c>
      <c r="O244" s="12"/>
      <c r="P244" s="12"/>
      <c r="Q244" s="12"/>
      <c r="R244" s="13"/>
      <c r="S244" s="9">
        <v>0.67600000000000005</v>
      </c>
      <c r="T244" s="8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 spans="1:42" x14ac:dyDescent="0.25">
      <c r="A245" s="2" t="s">
        <v>12</v>
      </c>
      <c r="B245" s="3" t="s">
        <v>13</v>
      </c>
      <c r="C245" s="11">
        <v>2004</v>
      </c>
      <c r="D245" s="11"/>
      <c r="E245" s="11"/>
      <c r="F245" s="11"/>
      <c r="G245" s="4">
        <v>39.357595000000003</v>
      </c>
      <c r="H245" s="4">
        <v>-74.421816000000007</v>
      </c>
      <c r="I245" s="5" t="s">
        <v>15</v>
      </c>
      <c r="J245" s="14" t="s">
        <v>16</v>
      </c>
      <c r="K245" s="6">
        <v>18250</v>
      </c>
      <c r="L245" s="12">
        <f>K245*0.3048</f>
        <v>5562.6</v>
      </c>
      <c r="M245" s="12">
        <v>4000000</v>
      </c>
      <c r="N245" s="12">
        <f t="shared" si="62"/>
        <v>3058220</v>
      </c>
      <c r="O245" s="12"/>
      <c r="P245" s="133">
        <f t="shared" ref="P245:P246" si="65">N245/L245</f>
        <v>549.78247582065933</v>
      </c>
      <c r="Q245" s="126">
        <f t="shared" ref="Q245:Q246" si="66">P245/10</f>
        <v>54.978247582065933</v>
      </c>
      <c r="R245" s="13">
        <v>27384615</v>
      </c>
      <c r="S245" s="9">
        <v>0.79300000000000004</v>
      </c>
      <c r="T245" s="8">
        <f>+R245/S245</f>
        <v>34532931.904161409</v>
      </c>
      <c r="U245" s="133">
        <f t="shared" ref="U245:U249" si="67">T245/N245</f>
        <v>11.291840320239031</v>
      </c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 spans="1:42" x14ac:dyDescent="0.25">
      <c r="A246" s="2" t="s">
        <v>12</v>
      </c>
      <c r="B246" s="3" t="s">
        <v>13</v>
      </c>
      <c r="C246" s="3">
        <v>2011</v>
      </c>
      <c r="D246" s="3"/>
      <c r="E246" s="3"/>
      <c r="F246" s="3"/>
      <c r="G246" s="4">
        <v>39.357595000000003</v>
      </c>
      <c r="H246" s="4">
        <v>-74.421816000000007</v>
      </c>
      <c r="I246" s="5" t="s">
        <v>15</v>
      </c>
      <c r="J246" s="14" t="s">
        <v>17</v>
      </c>
      <c r="K246" s="6">
        <v>3600</v>
      </c>
      <c r="L246" s="12">
        <f>K246*0.3048</f>
        <v>1097.28</v>
      </c>
      <c r="M246" s="6">
        <v>1003000</v>
      </c>
      <c r="N246" s="12">
        <f t="shared" si="62"/>
        <v>766848.66500000004</v>
      </c>
      <c r="O246" s="12"/>
      <c r="P246" s="133">
        <f t="shared" si="65"/>
        <v>698.86324821376502</v>
      </c>
      <c r="Q246" s="126">
        <f t="shared" si="66"/>
        <v>69.886324821376505</v>
      </c>
      <c r="R246" s="13">
        <v>7658450</v>
      </c>
      <c r="S246" s="20">
        <v>0.96399999999999997</v>
      </c>
      <c r="T246" s="8">
        <f>+R246/S246</f>
        <v>7944450.2074688803</v>
      </c>
      <c r="U246" s="133">
        <f t="shared" si="67"/>
        <v>10.359867037740596</v>
      </c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 spans="1:42" x14ac:dyDescent="0.25">
      <c r="A247" s="2" t="s">
        <v>12</v>
      </c>
      <c r="B247" s="3" t="s">
        <v>13</v>
      </c>
      <c r="C247" s="3">
        <v>2012</v>
      </c>
      <c r="D247" s="3"/>
      <c r="E247" s="3"/>
      <c r="F247" s="3"/>
      <c r="G247" s="4">
        <v>39.357595000000003</v>
      </c>
      <c r="H247" s="4">
        <v>-74.421816000000007</v>
      </c>
      <c r="I247" s="5" t="s">
        <v>15</v>
      </c>
      <c r="J247" s="5" t="s">
        <v>16</v>
      </c>
      <c r="K247" s="6"/>
      <c r="L247" s="12"/>
      <c r="M247" s="7">
        <v>1325000</v>
      </c>
      <c r="N247" s="12">
        <f t="shared" si="62"/>
        <v>1013035.375</v>
      </c>
      <c r="O247" s="12"/>
      <c r="P247" s="12"/>
      <c r="Q247" s="12"/>
      <c r="R247" s="13">
        <v>21015965</v>
      </c>
      <c r="S247" s="20">
        <v>0.96399999999999997</v>
      </c>
      <c r="T247" s="8">
        <f>+R247/S247</f>
        <v>21800793.56846473</v>
      </c>
      <c r="U247" s="133">
        <f t="shared" si="67"/>
        <v>21.520268794625981</v>
      </c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 spans="1:42" x14ac:dyDescent="0.25">
      <c r="A248" s="2" t="s">
        <v>12</v>
      </c>
      <c r="B248" s="3" t="s">
        <v>13</v>
      </c>
      <c r="C248" s="3">
        <v>2013</v>
      </c>
      <c r="D248" s="3"/>
      <c r="E248" s="3"/>
      <c r="F248" s="3"/>
      <c r="G248" s="4">
        <v>39.357595000000003</v>
      </c>
      <c r="H248" s="4">
        <v>-74.421816000000007</v>
      </c>
      <c r="I248" s="5" t="s">
        <v>15</v>
      </c>
      <c r="J248" s="5" t="s">
        <v>17</v>
      </c>
      <c r="K248" s="6"/>
      <c r="L248" s="12"/>
      <c r="M248" s="7">
        <v>760000</v>
      </c>
      <c r="N248" s="12">
        <f t="shared" si="62"/>
        <v>581061.79999999993</v>
      </c>
      <c r="O248" s="12"/>
      <c r="P248" s="12"/>
      <c r="Q248" s="12"/>
      <c r="R248" s="13">
        <v>11273117</v>
      </c>
      <c r="S248" s="20">
        <v>0.97799999999999998</v>
      </c>
      <c r="T248" s="8">
        <f>+R248/S248</f>
        <v>11526704.498977505</v>
      </c>
      <c r="U248" s="133">
        <f t="shared" si="67"/>
        <v>19.837312483762496</v>
      </c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 spans="1:42" x14ac:dyDescent="0.25">
      <c r="A249" s="2" t="s">
        <v>12</v>
      </c>
      <c r="B249" s="133"/>
      <c r="C249" s="165">
        <v>2018</v>
      </c>
      <c r="D249" s="133"/>
      <c r="E249" s="133"/>
      <c r="F249" s="133"/>
      <c r="G249" s="133"/>
      <c r="H249" s="133"/>
      <c r="I249" s="133"/>
      <c r="J249" s="133"/>
      <c r="K249" s="133"/>
      <c r="L249" s="133">
        <v>12965.25</v>
      </c>
      <c r="M249" s="133">
        <v>3493599</v>
      </c>
      <c r="N249" s="12">
        <f t="shared" si="62"/>
        <v>2671048.583445</v>
      </c>
      <c r="O249" s="12"/>
      <c r="P249" s="133">
        <f>N249/L249</f>
        <v>206.01597219066349</v>
      </c>
      <c r="Q249" s="126">
        <f>P249/10</f>
        <v>20.601597219066349</v>
      </c>
      <c r="R249" s="13">
        <v>63000000</v>
      </c>
      <c r="S249" s="9">
        <v>1.0468</v>
      </c>
      <c r="T249" s="8">
        <f>+R249/S249</f>
        <v>60183416.125334352</v>
      </c>
      <c r="U249">
        <f t="shared" si="67"/>
        <v>22.531756441401921</v>
      </c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 s="133"/>
      <c r="AJ249" s="133"/>
      <c r="AK249" s="133"/>
      <c r="AL249" s="133"/>
      <c r="AM249" s="133"/>
      <c r="AN249" s="133"/>
      <c r="AO249" s="133"/>
      <c r="AP249" s="133"/>
    </row>
    <row r="250" spans="1:42" s="112" customFormat="1" ht="14.5" x14ac:dyDescent="0.35">
      <c r="A250" s="103" t="s">
        <v>108</v>
      </c>
      <c r="B250" s="104"/>
      <c r="C250" s="104">
        <f>MAX(C230:C249)-MIN(C230:C249)</f>
        <v>82</v>
      </c>
      <c r="D250" s="104">
        <f>COUNT(C229:C249)</f>
        <v>21</v>
      </c>
      <c r="E250" s="104">
        <f>MIN(C229:C249)</f>
        <v>1936</v>
      </c>
      <c r="F250" s="104">
        <f>MAX(C229:C249)</f>
        <v>2018</v>
      </c>
      <c r="G250" s="105">
        <f>AVERAGE(G230:G249)</f>
        <v>39.357594999999996</v>
      </c>
      <c r="H250" s="105">
        <f>AVERAGE(H230:H249)</f>
        <v>-74.421816000000021</v>
      </c>
      <c r="I250" s="106" t="e">
        <f>INDEX(I240:I249,MODE(MATCH(I240:I249,I240:I249,0)))</f>
        <v>#N/A</v>
      </c>
      <c r="J250" s="106"/>
      <c r="K250" s="107">
        <f>AVERAGE(K229:K249)</f>
        <v>9088.8571428571431</v>
      </c>
      <c r="L250" s="107">
        <f>AVERAGE(L229:L249)</f>
        <v>4044.65445</v>
      </c>
      <c r="M250" s="107">
        <f>AVERAGE(M229:M249)</f>
        <v>904470.85714285716</v>
      </c>
      <c r="N250" s="107">
        <f>AVERAGE(N229:N248,N249/L249*5450)</f>
        <v>617790.97642067214</v>
      </c>
      <c r="O250" s="107"/>
      <c r="P250" s="107">
        <f>AVERAGE(P229:P249)</f>
        <v>410.79375411838532</v>
      </c>
      <c r="Q250" s="107">
        <f>AVERAGE(Q229:Q249)</f>
        <v>41.079375411838541</v>
      </c>
      <c r="R250" s="110">
        <f>MEDIAN(R230:R249)</f>
        <v>876744.5</v>
      </c>
      <c r="S250" s="110">
        <f>MEDIAN(S230:S249)</f>
        <v>0.23399999999999999</v>
      </c>
      <c r="T250" s="107">
        <f>AVERAGE(T229:T249)</f>
        <v>12953906.23789211</v>
      </c>
      <c r="U250" s="107">
        <f>AVERAGE(U229:U249)</f>
        <v>11.709887314632542</v>
      </c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</row>
    <row r="251" spans="1:42" x14ac:dyDescent="0.25">
      <c r="A251" s="2" t="s">
        <v>21</v>
      </c>
      <c r="B251" s="3" t="s">
        <v>13</v>
      </c>
      <c r="C251" s="11">
        <v>2004</v>
      </c>
      <c r="D251" s="11"/>
      <c r="E251" s="11"/>
      <c r="F251" s="11"/>
      <c r="G251" s="4">
        <v>39.337484000000003</v>
      </c>
      <c r="H251" s="4">
        <v>-74.475291999999996</v>
      </c>
      <c r="I251" s="5" t="s">
        <v>15</v>
      </c>
      <c r="J251" s="14" t="s">
        <v>16</v>
      </c>
      <c r="K251" s="6">
        <v>8500</v>
      </c>
      <c r="L251" s="12">
        <f>K251*0.3048</f>
        <v>2590.8000000000002</v>
      </c>
      <c r="M251" s="12">
        <v>3000000</v>
      </c>
      <c r="N251" s="12">
        <f>M251*0.764555</f>
        <v>2293665</v>
      </c>
      <c r="O251" s="12"/>
      <c r="P251" s="133">
        <f t="shared" ref="P251:P252" si="68">N251/L251</f>
        <v>885.31148679944408</v>
      </c>
      <c r="Q251" s="126">
        <f t="shared" ref="Q251:Q252" si="69">P251/10</f>
        <v>88.531148679944408</v>
      </c>
      <c r="R251" s="13">
        <v>9538462</v>
      </c>
      <c r="S251" s="9">
        <v>0.79300000000000004</v>
      </c>
      <c r="T251" s="8">
        <f>+R251/S251</f>
        <v>12028325.346784363</v>
      </c>
      <c r="U251" s="133">
        <f t="shared" ref="U251:U254" si="70">T251/N251</f>
        <v>5.2441508881132872</v>
      </c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</row>
    <row r="252" spans="1:42" x14ac:dyDescent="0.25">
      <c r="A252" s="2" t="s">
        <v>21</v>
      </c>
      <c r="B252" s="3" t="s">
        <v>13</v>
      </c>
      <c r="C252" s="11">
        <v>2011</v>
      </c>
      <c r="D252" s="11"/>
      <c r="E252" s="11"/>
      <c r="F252" s="11"/>
      <c r="G252" s="4">
        <v>39.337484000000003</v>
      </c>
      <c r="H252" s="4">
        <v>-74.475291999999996</v>
      </c>
      <c r="I252" s="5" t="s">
        <v>15</v>
      </c>
      <c r="J252" s="14" t="s">
        <v>17</v>
      </c>
      <c r="K252" s="6">
        <v>3400</v>
      </c>
      <c r="L252" s="12">
        <f>K252*0.3048</f>
        <v>1036.3200000000002</v>
      </c>
      <c r="M252" s="6">
        <v>175000</v>
      </c>
      <c r="N252" s="12">
        <f>M252*0.764555</f>
        <v>133797.125</v>
      </c>
      <c r="O252" s="12"/>
      <c r="P252" s="133">
        <f t="shared" si="68"/>
        <v>129.10792515825224</v>
      </c>
      <c r="Q252" s="126">
        <f t="shared" si="69"/>
        <v>12.910792515825225</v>
      </c>
      <c r="R252" s="13">
        <v>2667550</v>
      </c>
      <c r="S252" s="20">
        <v>0.96399999999999997</v>
      </c>
      <c r="T252" s="8">
        <f>+R252/S252</f>
        <v>2767168.0497925314</v>
      </c>
      <c r="U252" s="133">
        <f t="shared" si="70"/>
        <v>20.681819955343073</v>
      </c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 spans="1:42" x14ac:dyDescent="0.25">
      <c r="A253" s="2" t="s">
        <v>21</v>
      </c>
      <c r="B253" s="3" t="s">
        <v>13</v>
      </c>
      <c r="C253" s="11">
        <v>2012</v>
      </c>
      <c r="D253" s="11"/>
      <c r="E253" s="11"/>
      <c r="F253" s="11"/>
      <c r="G253" s="4">
        <v>39.337484000000003</v>
      </c>
      <c r="H253" s="4">
        <v>-74.475291999999996</v>
      </c>
      <c r="I253" s="5" t="s">
        <v>15</v>
      </c>
      <c r="J253" s="14" t="s">
        <v>16</v>
      </c>
      <c r="K253" s="6"/>
      <c r="L253" s="12"/>
      <c r="M253" s="7">
        <v>325000</v>
      </c>
      <c r="N253" s="12">
        <f>M253*0.764555</f>
        <v>248480.375</v>
      </c>
      <c r="O253" s="12"/>
      <c r="P253" s="12"/>
      <c r="Q253" s="12"/>
      <c r="R253" s="13">
        <v>6830187</v>
      </c>
      <c r="S253" s="20">
        <v>0.96399999999999997</v>
      </c>
      <c r="T253" s="8">
        <f>+R253/S253</f>
        <v>7085256.2240663907</v>
      </c>
      <c r="U253" s="133">
        <f t="shared" si="70"/>
        <v>28.514349368904448</v>
      </c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 spans="1:42" x14ac:dyDescent="0.25">
      <c r="A254" s="2" t="s">
        <v>21</v>
      </c>
      <c r="B254" s="3" t="s">
        <v>13</v>
      </c>
      <c r="C254" s="11">
        <v>2014</v>
      </c>
      <c r="D254" s="11"/>
      <c r="E254" s="11"/>
      <c r="F254" s="11"/>
      <c r="G254" s="4">
        <v>39.337484000000003</v>
      </c>
      <c r="H254" s="4">
        <v>-74.475291999999996</v>
      </c>
      <c r="I254" s="5" t="s">
        <v>15</v>
      </c>
      <c r="J254" s="14" t="s">
        <v>17</v>
      </c>
      <c r="K254" s="6"/>
      <c r="L254" s="12"/>
      <c r="M254" s="7">
        <v>340000</v>
      </c>
      <c r="N254" s="12">
        <f>M254*0.764555</f>
        <v>259948.69999999998</v>
      </c>
      <c r="O254" s="12"/>
      <c r="P254" s="12">
        <f>N254/2660</f>
        <v>97.725075187969921</v>
      </c>
      <c r="Q254" s="178">
        <f>P254/10</f>
        <v>9.7725075187969921</v>
      </c>
      <c r="R254" s="13">
        <v>6061143</v>
      </c>
      <c r="S254" s="9">
        <v>0.99399999999999999</v>
      </c>
      <c r="T254" s="8">
        <f>+R254/S254</f>
        <v>6097729.3762575453</v>
      </c>
      <c r="U254" s="133">
        <f t="shared" si="70"/>
        <v>23.457433625394341</v>
      </c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</row>
    <row r="255" spans="1:42" s="112" customFormat="1" ht="19.75" customHeight="1" x14ac:dyDescent="0.35">
      <c r="A255" s="103" t="s">
        <v>109</v>
      </c>
      <c r="B255" s="104"/>
      <c r="C255" s="116"/>
      <c r="D255" s="116">
        <f>COUNT(C251:C254,C249)</f>
        <v>5</v>
      </c>
      <c r="E255" s="116">
        <f>MIN(C251:C254,C249)</f>
        <v>2004</v>
      </c>
      <c r="F255" s="116">
        <f>MAX(C251:C254,C249)</f>
        <v>2018</v>
      </c>
      <c r="G255" s="105"/>
      <c r="H255" s="105"/>
      <c r="I255" s="117"/>
      <c r="J255" s="106"/>
      <c r="K255" s="107">
        <f>AVERAGE(K251:K254)</f>
        <v>5950</v>
      </c>
      <c r="L255" s="107">
        <f>AVERAGE(L251:L254)</f>
        <v>1813.5600000000002</v>
      </c>
      <c r="M255" s="107">
        <f>AVERAGE(M251:M254)</f>
        <v>960000</v>
      </c>
      <c r="N255" s="107">
        <f>AVERAGE(N251:N254,N249/L249*2660)</f>
        <v>696778.73720543296</v>
      </c>
      <c r="O255" s="107"/>
      <c r="P255" s="107">
        <f>AVERAGE(P251:P254,P249)</f>
        <v>329.54011483408243</v>
      </c>
      <c r="Q255" s="107">
        <f>AVERAGE(Q251:Q254,Q249)</f>
        <v>32.954011483408244</v>
      </c>
      <c r="R255" s="118"/>
      <c r="S255" s="111"/>
      <c r="T255" s="107">
        <f>AVERAGE(T251:T254)</f>
        <v>6994619.7492252076</v>
      </c>
      <c r="U255" s="107">
        <f>AVERAGE(U251:U254,U249)</f>
        <v>20.085902055831415</v>
      </c>
      <c r="Y255" s="113"/>
      <c r="Z255" s="113"/>
      <c r="AA255" s="113"/>
      <c r="AB255" s="113"/>
      <c r="AC255" s="113"/>
      <c r="AD255" s="113"/>
      <c r="AE255" s="113"/>
      <c r="AF255" s="113"/>
      <c r="AG255" s="113"/>
      <c r="AH255" s="113"/>
      <c r="AI255" s="113"/>
      <c r="AJ255" s="113"/>
      <c r="AK255" s="113"/>
      <c r="AL255" s="113"/>
      <c r="AM255" s="113"/>
      <c r="AN255" s="113"/>
      <c r="AO255" s="113"/>
      <c r="AP255" s="113"/>
    </row>
    <row r="256" spans="1:42" s="133" customFormat="1" ht="19.75" customHeight="1" x14ac:dyDescent="0.25">
      <c r="C256" s="133">
        <v>2004</v>
      </c>
      <c r="K256" s="133">
        <v>1360</v>
      </c>
      <c r="L256" s="133">
        <f>K256*0.3048</f>
        <v>414.52800000000002</v>
      </c>
      <c r="M256" s="133">
        <v>10000</v>
      </c>
      <c r="N256" s="133">
        <f>M256*0.764555</f>
        <v>7645.55</v>
      </c>
      <c r="P256" s="133">
        <f>N256/L256</f>
        <v>18.443989308321754</v>
      </c>
      <c r="Q256" s="126">
        <f>P256/10</f>
        <v>1.8443989308321753</v>
      </c>
      <c r="S256" s="133">
        <v>0.79300000000000004</v>
      </c>
    </row>
    <row r="257" spans="1:42" s="112" customFormat="1" ht="14.5" x14ac:dyDescent="0.35">
      <c r="A257" s="103" t="s">
        <v>125</v>
      </c>
      <c r="B257" s="104" t="s">
        <v>13</v>
      </c>
      <c r="D257" s="114">
        <f>COUNT(C256,C249)</f>
        <v>2</v>
      </c>
      <c r="E257" s="114">
        <f>MIN(C256,C249)</f>
        <v>2004</v>
      </c>
      <c r="F257" s="114">
        <f>MAX(C256,C249)</f>
        <v>2018</v>
      </c>
      <c r="G257" s="105">
        <v>39.329732999999997</v>
      </c>
      <c r="H257" s="105">
        <v>-74.492608000000004</v>
      </c>
      <c r="I257" s="106" t="s">
        <v>15</v>
      </c>
      <c r="J257" s="117" t="s">
        <v>16</v>
      </c>
      <c r="N257" s="112">
        <f>AVERAGE(N256,N249/L249*2620)</f>
        <v>273703.69856976921</v>
      </c>
      <c r="P257" s="107">
        <f>AVERAGE(P256,P249)</f>
        <v>112.22998074949263</v>
      </c>
      <c r="Q257" s="107">
        <f>AVERAGE(Q256,Q249)</f>
        <v>11.222998074949261</v>
      </c>
      <c r="U257" s="107">
        <f>AVERAGE(U256,U249)</f>
        <v>22.531756441401921</v>
      </c>
      <c r="Y257" s="113"/>
      <c r="Z257" s="113"/>
      <c r="AA257" s="113"/>
      <c r="AB257" s="113"/>
      <c r="AC257" s="113"/>
      <c r="AD257" s="113"/>
      <c r="AE257" s="113"/>
      <c r="AF257" s="113"/>
      <c r="AG257" s="113"/>
      <c r="AH257" s="113"/>
      <c r="AI257" s="113"/>
      <c r="AJ257" s="113"/>
      <c r="AK257" s="113"/>
      <c r="AL257" s="113"/>
      <c r="AM257" s="113"/>
      <c r="AN257" s="113"/>
      <c r="AO257" s="113"/>
      <c r="AP257" s="113"/>
    </row>
    <row r="258" spans="1:42" s="133" customFormat="1" x14ac:dyDescent="0.25">
      <c r="C258" s="133">
        <v>1990</v>
      </c>
      <c r="M258" s="133">
        <v>250000</v>
      </c>
      <c r="N258" s="133">
        <f>M258*0.764555</f>
        <v>191138.75</v>
      </c>
      <c r="R258" s="133">
        <v>949000</v>
      </c>
      <c r="S258" s="133">
        <v>0.57099999999999995</v>
      </c>
      <c r="T258" s="133">
        <f>+R258/S258</f>
        <v>1661996.4973730298</v>
      </c>
      <c r="U258" s="133">
        <f>T258/N258</f>
        <v>8.6952357770103124</v>
      </c>
    </row>
    <row r="259" spans="1:42" s="112" customFormat="1" ht="14.5" x14ac:dyDescent="0.35">
      <c r="A259" s="103" t="s">
        <v>153</v>
      </c>
      <c r="B259" s="104" t="s">
        <v>13</v>
      </c>
      <c r="D259" s="104">
        <v>1</v>
      </c>
      <c r="E259" s="104">
        <f>MIN(C258,C249)</f>
        <v>1990</v>
      </c>
      <c r="F259" s="104">
        <f>MAX(C258,C249)</f>
        <v>2018</v>
      </c>
      <c r="G259" s="105">
        <v>39.312536000000001</v>
      </c>
      <c r="H259" s="105">
        <v>-74.523117999999997</v>
      </c>
      <c r="I259" s="106" t="s">
        <v>15</v>
      </c>
      <c r="J259" s="117" t="s">
        <v>19</v>
      </c>
      <c r="K259" s="107"/>
      <c r="L259" s="108"/>
      <c r="N259" s="112">
        <f>AVERAGE(N258,N249/L249*2270)</f>
        <v>329397.50343640306</v>
      </c>
      <c r="P259" s="108">
        <f>AVERAGE(P249,P258)</f>
        <v>206.01597219066349</v>
      </c>
      <c r="Q259" s="108">
        <f>AVERAGE(Q249,Q258)</f>
        <v>20.601597219066349</v>
      </c>
      <c r="U259" s="108">
        <f>AVERAGE(U249,U258)</f>
        <v>15.613496109206118</v>
      </c>
      <c r="Y259" s="113"/>
      <c r="Z259" s="113"/>
      <c r="AA259" s="113"/>
      <c r="AB259" s="113"/>
      <c r="AC259" s="113"/>
      <c r="AD259" s="113"/>
      <c r="AE259" s="113"/>
      <c r="AF259" s="113"/>
      <c r="AG259" s="113"/>
      <c r="AH259" s="113"/>
      <c r="AI259" s="113"/>
      <c r="AJ259" s="113"/>
      <c r="AK259" s="113"/>
      <c r="AL259" s="113"/>
      <c r="AM259" s="113"/>
      <c r="AN259" s="113"/>
      <c r="AO259" s="113"/>
      <c r="AP259" s="113"/>
    </row>
    <row r="260" spans="1:42" s="101" customFormat="1" ht="14.5" x14ac:dyDescent="0.35">
      <c r="A260" s="90" t="s">
        <v>28</v>
      </c>
      <c r="B260" s="91" t="s">
        <v>13</v>
      </c>
      <c r="C260" s="91">
        <v>1992</v>
      </c>
      <c r="D260" s="91"/>
      <c r="E260" s="91"/>
      <c r="F260" s="91"/>
      <c r="G260" s="92">
        <v>39.287495999999997</v>
      </c>
      <c r="H260" s="92">
        <v>-74.626656999999994</v>
      </c>
      <c r="I260" s="94" t="s">
        <v>14</v>
      </c>
      <c r="J260" s="94" t="s">
        <v>14</v>
      </c>
      <c r="K260" s="95"/>
      <c r="L260" s="96"/>
      <c r="M260" s="97">
        <v>23000</v>
      </c>
      <c r="N260" s="96">
        <f>M260*0.764555</f>
        <v>17584.764999999999</v>
      </c>
      <c r="O260" s="96"/>
      <c r="P260" s="96"/>
      <c r="Q260" s="96"/>
      <c r="R260" s="98"/>
      <c r="S260" s="99">
        <v>0.58799999999999997</v>
      </c>
      <c r="T260" s="100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</row>
    <row r="261" spans="1:42" s="101" customFormat="1" ht="14.5" x14ac:dyDescent="0.35">
      <c r="A261" s="90" t="s">
        <v>28</v>
      </c>
      <c r="B261" s="91" t="s">
        <v>13</v>
      </c>
      <c r="C261" s="91">
        <v>1981</v>
      </c>
      <c r="D261" s="91"/>
      <c r="E261" s="91"/>
      <c r="F261" s="91"/>
      <c r="G261" s="92">
        <v>39.287495999999997</v>
      </c>
      <c r="H261" s="92">
        <v>-74.626656999999994</v>
      </c>
      <c r="I261" s="94" t="s">
        <v>14</v>
      </c>
      <c r="J261" s="94" t="s">
        <v>14</v>
      </c>
      <c r="K261" s="95"/>
      <c r="L261" s="96"/>
      <c r="M261" s="97">
        <v>36000</v>
      </c>
      <c r="N261" s="96">
        <f>M261*0.764555</f>
        <v>27523.98</v>
      </c>
      <c r="O261" s="96"/>
      <c r="P261" s="96"/>
      <c r="Q261" s="96"/>
      <c r="R261" s="98"/>
      <c r="S261" s="99">
        <v>0.38200000000000001</v>
      </c>
      <c r="T261" s="100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</row>
    <row r="262" spans="1:42" s="101" customFormat="1" ht="14.5" x14ac:dyDescent="0.35">
      <c r="A262" s="90" t="s">
        <v>28</v>
      </c>
      <c r="B262" s="91" t="s">
        <v>13</v>
      </c>
      <c r="C262" s="91">
        <v>1984</v>
      </c>
      <c r="D262" s="91"/>
      <c r="E262" s="91"/>
      <c r="F262" s="91"/>
      <c r="G262" s="92">
        <v>39.287495999999997</v>
      </c>
      <c r="H262" s="92">
        <v>-74.626656999999994</v>
      </c>
      <c r="I262" s="94" t="s">
        <v>14</v>
      </c>
      <c r="J262" s="94" t="s">
        <v>14</v>
      </c>
      <c r="K262" s="95"/>
      <c r="L262" s="96"/>
      <c r="M262" s="97">
        <v>120000</v>
      </c>
      <c r="N262" s="96">
        <f>M262*0.764555</f>
        <v>91746.599999999991</v>
      </c>
      <c r="O262" s="96"/>
      <c r="P262" s="96"/>
      <c r="Q262" s="96"/>
      <c r="R262" s="98"/>
      <c r="S262" s="99">
        <v>0.437</v>
      </c>
      <c r="T262" s="100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</row>
    <row r="263" spans="1:42" s="101" customFormat="1" ht="14.5" x14ac:dyDescent="0.35">
      <c r="A263" s="90" t="s">
        <v>28</v>
      </c>
      <c r="B263" s="91" t="s">
        <v>13</v>
      </c>
      <c r="C263" s="91">
        <v>1984</v>
      </c>
      <c r="D263" s="91"/>
      <c r="E263" s="91"/>
      <c r="F263" s="91"/>
      <c r="G263" s="92">
        <v>39.287495999999997</v>
      </c>
      <c r="H263" s="92">
        <v>-74.626656999999994</v>
      </c>
      <c r="I263" s="93" t="s">
        <v>1</v>
      </c>
      <c r="J263" s="94" t="s">
        <v>14</v>
      </c>
      <c r="K263" s="95"/>
      <c r="L263" s="96"/>
      <c r="M263" s="97">
        <v>1600000</v>
      </c>
      <c r="N263" s="96">
        <f>M263*0.764555</f>
        <v>1223288</v>
      </c>
      <c r="O263" s="96"/>
      <c r="P263" s="96"/>
      <c r="Q263" s="96"/>
      <c r="R263" s="98"/>
      <c r="S263" s="99">
        <v>0.437</v>
      </c>
      <c r="T263" s="100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</row>
    <row r="264" spans="1:42" s="133" customFormat="1" x14ac:dyDescent="0.25">
      <c r="A264" s="2" t="s">
        <v>72</v>
      </c>
      <c r="B264" s="3" t="s">
        <v>13</v>
      </c>
      <c r="C264" s="3">
        <v>1952</v>
      </c>
      <c r="D264" s="3"/>
      <c r="E264" s="3"/>
      <c r="F264" s="3"/>
      <c r="G264" s="4">
        <v>39.264158000000002</v>
      </c>
      <c r="H264" s="4">
        <v>-74.589957999999996</v>
      </c>
      <c r="I264" s="14" t="s">
        <v>15</v>
      </c>
      <c r="J264" s="14" t="s">
        <v>16</v>
      </c>
      <c r="K264" s="7">
        <v>9504</v>
      </c>
      <c r="L264" s="12">
        <f>K264*0.3048</f>
        <v>2896.8192000000004</v>
      </c>
      <c r="M264" s="7">
        <v>2550000</v>
      </c>
      <c r="N264" s="12">
        <f t="shared" ref="N264:N305" si="71">M264*0.764555</f>
        <v>1949615.25</v>
      </c>
      <c r="O264" s="12"/>
      <c r="P264" s="12">
        <f>N264/L264</f>
        <v>673.01930683143769</v>
      </c>
      <c r="Q264" s="184">
        <f>P264/10</f>
        <v>67.301930683143766</v>
      </c>
      <c r="R264" s="8">
        <v>1912500</v>
      </c>
      <c r="S264" s="20">
        <v>0.111</v>
      </c>
      <c r="T264" s="8">
        <f>+R264/S264</f>
        <v>17229729.729729731</v>
      </c>
      <c r="U264" s="133">
        <f t="shared" ref="U264:U265" si="72">T264/N264</f>
        <v>8.8375025429913574</v>
      </c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</row>
    <row r="265" spans="1:42" s="133" customFormat="1" x14ac:dyDescent="0.25">
      <c r="A265" s="2" t="s">
        <v>72</v>
      </c>
      <c r="B265" s="3" t="s">
        <v>13</v>
      </c>
      <c r="C265" s="3">
        <v>1959</v>
      </c>
      <c r="D265" s="3"/>
      <c r="E265" s="3"/>
      <c r="F265" s="3"/>
      <c r="G265" s="4">
        <v>39.264158000000002</v>
      </c>
      <c r="H265" s="4">
        <v>-74.589957999999996</v>
      </c>
      <c r="I265" s="14" t="s">
        <v>15</v>
      </c>
      <c r="J265" s="14" t="s">
        <v>16</v>
      </c>
      <c r="K265" s="6"/>
      <c r="L265" s="12"/>
      <c r="M265" s="7">
        <v>1618000</v>
      </c>
      <c r="N265" s="12">
        <f t="shared" si="71"/>
        <v>1237049.99</v>
      </c>
      <c r="O265" s="12"/>
      <c r="P265" s="12"/>
      <c r="Q265" s="12"/>
      <c r="R265" s="8">
        <v>469008</v>
      </c>
      <c r="S265" s="9">
        <v>0.122</v>
      </c>
      <c r="T265" s="8">
        <f>+R265/S265</f>
        <v>3844327.8688524589</v>
      </c>
      <c r="U265" s="133">
        <f t="shared" si="72"/>
        <v>3.1076576532306985</v>
      </c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</row>
    <row r="266" spans="1:42" s="133" customFormat="1" x14ac:dyDescent="0.25">
      <c r="A266" s="2" t="s">
        <v>72</v>
      </c>
      <c r="B266" s="3" t="s">
        <v>13</v>
      </c>
      <c r="C266" s="3">
        <v>1961</v>
      </c>
      <c r="D266" s="3"/>
      <c r="E266" s="3"/>
      <c r="F266" s="3"/>
      <c r="G266" s="4">
        <v>39.264158000000002</v>
      </c>
      <c r="H266" s="4">
        <v>-74.589957999999996</v>
      </c>
      <c r="I266" s="5" t="s">
        <v>14</v>
      </c>
      <c r="J266" s="5" t="s">
        <v>14</v>
      </c>
      <c r="K266" s="6"/>
      <c r="L266" s="12"/>
      <c r="M266" s="7">
        <v>1615668</v>
      </c>
      <c r="N266" s="12">
        <f t="shared" si="71"/>
        <v>1235267.0477400001</v>
      </c>
      <c r="O266" s="12"/>
      <c r="P266" s="12"/>
      <c r="Q266" s="12"/>
      <c r="R266" s="13"/>
      <c r="S266" s="9">
        <v>0.126</v>
      </c>
      <c r="T266" s="8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</row>
    <row r="267" spans="1:42" s="133" customFormat="1" x14ac:dyDescent="0.25">
      <c r="A267" s="2" t="s">
        <v>72</v>
      </c>
      <c r="B267" s="3" t="s">
        <v>13</v>
      </c>
      <c r="C267" s="3">
        <v>1962</v>
      </c>
      <c r="D267" s="3"/>
      <c r="E267" s="3"/>
      <c r="F267" s="3"/>
      <c r="G267" s="4">
        <v>39.264158000000002</v>
      </c>
      <c r="H267" s="4">
        <v>-74.589957999999996</v>
      </c>
      <c r="I267" s="14" t="s">
        <v>15</v>
      </c>
      <c r="J267" s="14" t="s">
        <v>17</v>
      </c>
      <c r="K267" s="6"/>
      <c r="L267" s="12"/>
      <c r="M267" s="7">
        <v>248000</v>
      </c>
      <c r="N267" s="12">
        <f t="shared" si="71"/>
        <v>189609.63999999998</v>
      </c>
      <c r="O267" s="12"/>
      <c r="P267" s="12"/>
      <c r="Q267" s="12"/>
      <c r="R267" s="13"/>
      <c r="S267" s="9">
        <v>0.127</v>
      </c>
      <c r="T267" s="8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</row>
    <row r="268" spans="1:42" s="133" customFormat="1" x14ac:dyDescent="0.25">
      <c r="A268" s="2" t="s">
        <v>72</v>
      </c>
      <c r="B268" s="3" t="s">
        <v>13</v>
      </c>
      <c r="C268" s="3">
        <v>1966</v>
      </c>
      <c r="D268" s="3"/>
      <c r="E268" s="3"/>
      <c r="F268" s="3"/>
      <c r="G268" s="4">
        <v>39.264158000000002</v>
      </c>
      <c r="H268" s="4">
        <v>-74.589957999999996</v>
      </c>
      <c r="I268" s="5" t="s">
        <v>14</v>
      </c>
      <c r="J268" s="5" t="s">
        <v>14</v>
      </c>
      <c r="K268" s="6"/>
      <c r="L268" s="12"/>
      <c r="M268" s="7">
        <v>40000</v>
      </c>
      <c r="N268" s="12">
        <f t="shared" si="71"/>
        <v>30582.2</v>
      </c>
      <c r="O268" s="12"/>
      <c r="P268" s="12"/>
      <c r="Q268" s="12"/>
      <c r="R268" s="13"/>
      <c r="S268" s="9">
        <v>0.13600000000000001</v>
      </c>
      <c r="T268" s="8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</row>
    <row r="269" spans="1:42" x14ac:dyDescent="0.25">
      <c r="A269" s="2" t="s">
        <v>72</v>
      </c>
      <c r="B269" s="3" t="s">
        <v>13</v>
      </c>
      <c r="C269" s="3">
        <v>1966</v>
      </c>
      <c r="D269" s="3"/>
      <c r="E269" s="3"/>
      <c r="F269" s="3"/>
      <c r="G269" s="4">
        <v>39.264158000000002</v>
      </c>
      <c r="H269" s="4">
        <v>-74.589957999999996</v>
      </c>
      <c r="I269" s="5" t="s">
        <v>14</v>
      </c>
      <c r="J269" s="5" t="s">
        <v>14</v>
      </c>
      <c r="K269" s="6"/>
      <c r="L269" s="12"/>
      <c r="M269" s="7">
        <v>80000</v>
      </c>
      <c r="N269" s="12">
        <f t="shared" si="71"/>
        <v>61164.4</v>
      </c>
      <c r="O269" s="12"/>
      <c r="P269" s="12"/>
      <c r="Q269" s="12"/>
      <c r="R269" s="13"/>
      <c r="S269" s="9">
        <v>0.13600000000000001</v>
      </c>
      <c r="T269" s="8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</row>
    <row r="270" spans="1:42" x14ac:dyDescent="0.25">
      <c r="A270" s="2" t="s">
        <v>72</v>
      </c>
      <c r="B270" s="3" t="s">
        <v>13</v>
      </c>
      <c r="C270" s="3">
        <v>1970</v>
      </c>
      <c r="D270" s="3"/>
      <c r="E270" s="3"/>
      <c r="F270" s="3"/>
      <c r="G270" s="4">
        <v>39.264158000000002</v>
      </c>
      <c r="H270" s="4">
        <v>-74.589957999999996</v>
      </c>
      <c r="I270" s="14" t="s">
        <v>1</v>
      </c>
      <c r="J270" s="5" t="s">
        <v>14</v>
      </c>
      <c r="K270" s="6"/>
      <c r="L270" s="12"/>
      <c r="M270" s="7">
        <v>475270</v>
      </c>
      <c r="N270" s="12">
        <f t="shared" si="71"/>
        <v>363370.05485000001</v>
      </c>
      <c r="O270" s="12"/>
      <c r="P270" s="12"/>
      <c r="Q270" s="12"/>
      <c r="R270" s="8">
        <v>623714</v>
      </c>
      <c r="S270" s="9">
        <v>0.16300000000000001</v>
      </c>
      <c r="T270" s="8">
        <f t="shared" ref="T270:T281" si="73">+R270/S270</f>
        <v>3826466.2576687117</v>
      </c>
      <c r="U270" s="133">
        <f t="shared" ref="U270:U281" si="74">T270/N270</f>
        <v>10.530494207202313</v>
      </c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</row>
    <row r="271" spans="1:42" x14ac:dyDescent="0.25">
      <c r="A271" s="2" t="s">
        <v>72</v>
      </c>
      <c r="B271" s="3" t="s">
        <v>13</v>
      </c>
      <c r="C271" s="3">
        <v>1971</v>
      </c>
      <c r="D271" s="3"/>
      <c r="E271" s="3"/>
      <c r="F271" s="3"/>
      <c r="G271" s="4">
        <v>39.264158000000002</v>
      </c>
      <c r="H271" s="4">
        <v>-74.589957999999996</v>
      </c>
      <c r="I271" s="14" t="s">
        <v>1</v>
      </c>
      <c r="J271" s="5" t="s">
        <v>14</v>
      </c>
      <c r="K271" s="6"/>
      <c r="L271" s="12"/>
      <c r="M271" s="7">
        <v>237900</v>
      </c>
      <c r="N271" s="12">
        <f t="shared" si="71"/>
        <v>181887.63449999999</v>
      </c>
      <c r="O271" s="12"/>
      <c r="P271" s="12"/>
      <c r="Q271" s="12"/>
      <c r="R271" s="8">
        <v>356138</v>
      </c>
      <c r="S271" s="9">
        <v>0.17</v>
      </c>
      <c r="T271" s="8">
        <f t="shared" si="73"/>
        <v>2094929.4117647058</v>
      </c>
      <c r="U271" s="133">
        <f t="shared" si="74"/>
        <v>11.51771211673384</v>
      </c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</row>
    <row r="272" spans="1:42" x14ac:dyDescent="0.25">
      <c r="A272" s="2" t="s">
        <v>72</v>
      </c>
      <c r="B272" s="3" t="s">
        <v>13</v>
      </c>
      <c r="C272" s="3">
        <v>1972</v>
      </c>
      <c r="D272" s="3"/>
      <c r="E272" s="3"/>
      <c r="F272" s="3"/>
      <c r="G272" s="4">
        <v>39.264158000000002</v>
      </c>
      <c r="H272" s="4">
        <v>-74.589957999999996</v>
      </c>
      <c r="I272" s="14" t="s">
        <v>1</v>
      </c>
      <c r="J272" s="5" t="s">
        <v>14</v>
      </c>
      <c r="K272" s="6"/>
      <c r="L272" s="12"/>
      <c r="M272" s="7">
        <v>543650</v>
      </c>
      <c r="N272" s="12">
        <f t="shared" si="71"/>
        <v>415650.32575000002</v>
      </c>
      <c r="O272" s="12"/>
      <c r="P272" s="12"/>
      <c r="Q272" s="12"/>
      <c r="R272" s="8">
        <v>900083</v>
      </c>
      <c r="S272" s="9">
        <v>0.17499999999999999</v>
      </c>
      <c r="T272" s="8">
        <f t="shared" si="73"/>
        <v>5143331.4285714291</v>
      </c>
      <c r="U272" s="133">
        <f t="shared" si="74"/>
        <v>12.374178750589921</v>
      </c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</row>
    <row r="273" spans="1:42" x14ac:dyDescent="0.25">
      <c r="A273" s="2" t="s">
        <v>72</v>
      </c>
      <c r="B273" s="3" t="s">
        <v>13</v>
      </c>
      <c r="C273" s="3">
        <v>1973</v>
      </c>
      <c r="D273" s="3"/>
      <c r="E273" s="3"/>
      <c r="F273" s="3"/>
      <c r="G273" s="4">
        <v>39.264158000000002</v>
      </c>
      <c r="H273" s="4">
        <v>-74.589957999999996</v>
      </c>
      <c r="I273" s="14" t="s">
        <v>1</v>
      </c>
      <c r="J273" s="5" t="s">
        <v>14</v>
      </c>
      <c r="K273" s="6"/>
      <c r="L273" s="12"/>
      <c r="M273" s="7">
        <v>347341</v>
      </c>
      <c r="N273" s="12">
        <f t="shared" si="71"/>
        <v>265561.29825499997</v>
      </c>
      <c r="O273" s="12"/>
      <c r="P273" s="12"/>
      <c r="Q273" s="12"/>
      <c r="R273" s="8">
        <v>620252</v>
      </c>
      <c r="S273" s="9">
        <v>0.187</v>
      </c>
      <c r="T273" s="8">
        <f t="shared" si="73"/>
        <v>3316855.614973262</v>
      </c>
      <c r="U273" s="133">
        <f t="shared" si="74"/>
        <v>12.489981171082833</v>
      </c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</row>
    <row r="274" spans="1:42" x14ac:dyDescent="0.25">
      <c r="A274" s="2" t="s">
        <v>72</v>
      </c>
      <c r="B274" s="3" t="s">
        <v>13</v>
      </c>
      <c r="C274" s="3">
        <v>1974</v>
      </c>
      <c r="D274" s="3"/>
      <c r="E274" s="3"/>
      <c r="F274" s="3"/>
      <c r="G274" s="4">
        <v>39.264158000000002</v>
      </c>
      <c r="H274" s="4">
        <v>-74.589957999999996</v>
      </c>
      <c r="I274" s="14" t="s">
        <v>1</v>
      </c>
      <c r="J274" s="5" t="s">
        <v>14</v>
      </c>
      <c r="K274" s="6"/>
      <c r="L274" s="12"/>
      <c r="M274" s="7">
        <v>167549</v>
      </c>
      <c r="N274" s="12">
        <f t="shared" si="71"/>
        <v>128100.425695</v>
      </c>
      <c r="O274" s="12"/>
      <c r="P274" s="12"/>
      <c r="Q274" s="12"/>
      <c r="R274" s="8">
        <v>318534</v>
      </c>
      <c r="S274" s="9">
        <v>0.20699999999999999</v>
      </c>
      <c r="T274" s="8">
        <f t="shared" si="73"/>
        <v>1538811.5942028987</v>
      </c>
      <c r="U274" s="133">
        <f t="shared" si="74"/>
        <v>12.012540831571657</v>
      </c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</row>
    <row r="275" spans="1:42" x14ac:dyDescent="0.25">
      <c r="A275" s="2" t="s">
        <v>72</v>
      </c>
      <c r="B275" s="3" t="s">
        <v>13</v>
      </c>
      <c r="C275" s="3">
        <v>1975</v>
      </c>
      <c r="D275" s="3"/>
      <c r="E275" s="3"/>
      <c r="F275" s="3"/>
      <c r="G275" s="4">
        <v>39.264158000000002</v>
      </c>
      <c r="H275" s="4">
        <v>-74.589957999999996</v>
      </c>
      <c r="I275" s="14" t="s">
        <v>1</v>
      </c>
      <c r="J275" s="5" t="s">
        <v>14</v>
      </c>
      <c r="K275" s="6"/>
      <c r="L275" s="12"/>
      <c r="M275" s="7">
        <v>166799</v>
      </c>
      <c r="N275" s="12">
        <f t="shared" si="71"/>
        <v>127527.009445</v>
      </c>
      <c r="O275" s="12"/>
      <c r="P275" s="12"/>
      <c r="Q275" s="12"/>
      <c r="R275" s="8">
        <v>359481</v>
      </c>
      <c r="S275" s="9">
        <v>0.22600000000000001</v>
      </c>
      <c r="T275" s="8">
        <f t="shared" si="73"/>
        <v>1590623.8938053097</v>
      </c>
      <c r="U275" s="133">
        <f t="shared" si="74"/>
        <v>12.472839288929737</v>
      </c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</row>
    <row r="276" spans="1:42" x14ac:dyDescent="0.25">
      <c r="A276" s="2" t="s">
        <v>72</v>
      </c>
      <c r="B276" s="3" t="s">
        <v>13</v>
      </c>
      <c r="C276" s="3">
        <v>1976</v>
      </c>
      <c r="D276" s="3"/>
      <c r="E276" s="3"/>
      <c r="F276" s="3"/>
      <c r="G276" s="4">
        <v>39.264158000000002</v>
      </c>
      <c r="H276" s="4">
        <v>-74.589957999999996</v>
      </c>
      <c r="I276" s="14" t="s">
        <v>1</v>
      </c>
      <c r="J276" s="5" t="s">
        <v>14</v>
      </c>
      <c r="K276" s="6"/>
      <c r="L276" s="12"/>
      <c r="M276" s="7">
        <v>81656</v>
      </c>
      <c r="N276" s="12">
        <f t="shared" si="71"/>
        <v>62430.503080000002</v>
      </c>
      <c r="O276" s="12"/>
      <c r="P276" s="12"/>
      <c r="Q276" s="12"/>
      <c r="R276" s="8">
        <v>183085</v>
      </c>
      <c r="S276" s="9">
        <v>0.23899999999999999</v>
      </c>
      <c r="T276" s="8">
        <f t="shared" si="73"/>
        <v>766046.02510460257</v>
      </c>
      <c r="U276" s="133">
        <f t="shared" si="74"/>
        <v>12.270380460060879</v>
      </c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</row>
    <row r="277" spans="1:42" x14ac:dyDescent="0.25">
      <c r="A277" s="2" t="s">
        <v>72</v>
      </c>
      <c r="B277" s="3" t="s">
        <v>13</v>
      </c>
      <c r="C277" s="3">
        <v>1977</v>
      </c>
      <c r="D277" s="3"/>
      <c r="E277" s="3"/>
      <c r="F277" s="3"/>
      <c r="G277" s="4">
        <v>39.264158000000002</v>
      </c>
      <c r="H277" s="4">
        <v>-74.589957999999996</v>
      </c>
      <c r="I277" s="14" t="s">
        <v>1</v>
      </c>
      <c r="J277" s="5" t="s">
        <v>14</v>
      </c>
      <c r="K277" s="6"/>
      <c r="L277" s="12"/>
      <c r="M277" s="7">
        <v>169949</v>
      </c>
      <c r="N277" s="12">
        <f t="shared" si="71"/>
        <v>129935.357695</v>
      </c>
      <c r="O277" s="12"/>
      <c r="P277" s="12"/>
      <c r="Q277" s="12"/>
      <c r="R277" s="8">
        <v>406577</v>
      </c>
      <c r="S277" s="9">
        <v>0.254</v>
      </c>
      <c r="T277" s="8">
        <f t="shared" si="73"/>
        <v>1600696.8503937009</v>
      </c>
      <c r="U277" s="133">
        <f t="shared" si="74"/>
        <v>12.319178388310981</v>
      </c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</row>
    <row r="278" spans="1:42" x14ac:dyDescent="0.25">
      <c r="A278" s="2" t="s">
        <v>72</v>
      </c>
      <c r="B278" s="3" t="s">
        <v>13</v>
      </c>
      <c r="C278" s="3">
        <v>1978</v>
      </c>
      <c r="D278" s="3"/>
      <c r="E278" s="3"/>
      <c r="F278" s="3"/>
      <c r="G278" s="4">
        <v>39.264158000000002</v>
      </c>
      <c r="H278" s="4">
        <v>-74.589957999999996</v>
      </c>
      <c r="I278" s="14" t="s">
        <v>1</v>
      </c>
      <c r="J278" s="5" t="s">
        <v>14</v>
      </c>
      <c r="K278" s="6"/>
      <c r="L278" s="12"/>
      <c r="M278" s="7">
        <v>121686</v>
      </c>
      <c r="N278" s="12">
        <f t="shared" si="71"/>
        <v>93035.639729999995</v>
      </c>
      <c r="O278" s="12"/>
      <c r="P278" s="12"/>
      <c r="Q278" s="12"/>
      <c r="R278" s="8">
        <v>313624</v>
      </c>
      <c r="S278" s="9">
        <v>0.27400000000000002</v>
      </c>
      <c r="T278" s="8">
        <f t="shared" si="73"/>
        <v>1144613.1386861312</v>
      </c>
      <c r="U278" s="133">
        <f t="shared" si="74"/>
        <v>12.302953384401167</v>
      </c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</row>
    <row r="279" spans="1:42" x14ac:dyDescent="0.25">
      <c r="A279" s="2" t="s">
        <v>72</v>
      </c>
      <c r="B279" s="3" t="s">
        <v>13</v>
      </c>
      <c r="C279" s="3">
        <v>1979</v>
      </c>
      <c r="D279" s="3"/>
      <c r="E279" s="3"/>
      <c r="F279" s="3"/>
      <c r="G279" s="4">
        <v>39.264158000000002</v>
      </c>
      <c r="H279" s="4">
        <v>-74.589957999999996</v>
      </c>
      <c r="I279" s="14" t="s">
        <v>1</v>
      </c>
      <c r="J279" s="5" t="s">
        <v>14</v>
      </c>
      <c r="K279" s="6"/>
      <c r="L279" s="12"/>
      <c r="M279" s="7">
        <v>124702</v>
      </c>
      <c r="N279" s="12">
        <f t="shared" si="71"/>
        <v>95341.537609999999</v>
      </c>
      <c r="O279" s="12"/>
      <c r="P279" s="12"/>
      <c r="Q279" s="12"/>
      <c r="R279" s="8">
        <v>346394</v>
      </c>
      <c r="S279" s="9">
        <v>0.30499999999999999</v>
      </c>
      <c r="T279" s="8">
        <f t="shared" si="73"/>
        <v>1135718.0327868853</v>
      </c>
      <c r="U279" s="133">
        <f t="shared" si="74"/>
        <v>11.912101076370352</v>
      </c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</row>
    <row r="280" spans="1:42" x14ac:dyDescent="0.25">
      <c r="A280" s="2" t="s">
        <v>72</v>
      </c>
      <c r="B280" s="3" t="s">
        <v>13</v>
      </c>
      <c r="C280" s="3">
        <v>1980</v>
      </c>
      <c r="D280" s="3"/>
      <c r="E280" s="3"/>
      <c r="F280" s="3"/>
      <c r="G280" s="4">
        <v>39.264158000000002</v>
      </c>
      <c r="H280" s="4">
        <v>-74.589957999999996</v>
      </c>
      <c r="I280" s="14" t="s">
        <v>1</v>
      </c>
      <c r="J280" s="5" t="s">
        <v>14</v>
      </c>
      <c r="K280" s="6"/>
      <c r="L280" s="12"/>
      <c r="M280" s="7">
        <v>150015</v>
      </c>
      <c r="N280" s="12">
        <f t="shared" si="71"/>
        <v>114694.71832499999</v>
      </c>
      <c r="O280" s="12"/>
      <c r="P280" s="12"/>
      <c r="Q280" s="12"/>
      <c r="R280" s="8">
        <v>647147</v>
      </c>
      <c r="S280" s="9">
        <v>0.34599999999999997</v>
      </c>
      <c r="T280" s="8">
        <f t="shared" si="73"/>
        <v>1870367.0520231216</v>
      </c>
      <c r="U280" s="133">
        <f t="shared" si="74"/>
        <v>16.307351195747589</v>
      </c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</row>
    <row r="281" spans="1:42" x14ac:dyDescent="0.25">
      <c r="A281" s="2" t="s">
        <v>72</v>
      </c>
      <c r="B281" s="3" t="s">
        <v>13</v>
      </c>
      <c r="C281" s="3">
        <v>1982</v>
      </c>
      <c r="D281" s="3"/>
      <c r="E281" s="3"/>
      <c r="F281" s="3"/>
      <c r="G281" s="4">
        <v>39.264158000000002</v>
      </c>
      <c r="H281" s="4">
        <v>-74.589957999999996</v>
      </c>
      <c r="I281" s="14" t="s">
        <v>1</v>
      </c>
      <c r="J281" s="5" t="s">
        <v>14</v>
      </c>
      <c r="K281" s="6"/>
      <c r="L281" s="12"/>
      <c r="M281" s="7">
        <v>1200000</v>
      </c>
      <c r="N281" s="12">
        <f t="shared" si="71"/>
        <v>917466</v>
      </c>
      <c r="O281" s="12"/>
      <c r="P281" s="12"/>
      <c r="Q281" s="12"/>
      <c r="R281" s="8">
        <v>5200000</v>
      </c>
      <c r="S281" s="9">
        <v>0.40100000000000002</v>
      </c>
      <c r="T281" s="8">
        <f t="shared" si="73"/>
        <v>12967581.047381544</v>
      </c>
      <c r="U281" s="133">
        <f t="shared" si="74"/>
        <v>14.134127092863981</v>
      </c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</row>
    <row r="282" spans="1:42" x14ac:dyDescent="0.25">
      <c r="A282" s="2" t="s">
        <v>72</v>
      </c>
      <c r="B282" s="3" t="s">
        <v>13</v>
      </c>
      <c r="C282" s="3">
        <v>1983</v>
      </c>
      <c r="D282" s="3"/>
      <c r="E282" s="3"/>
      <c r="F282" s="3"/>
      <c r="G282" s="4">
        <v>39.264158000000002</v>
      </c>
      <c r="H282" s="4">
        <v>-74.589957999999996</v>
      </c>
      <c r="I282" s="5" t="s">
        <v>14</v>
      </c>
      <c r="J282" s="5" t="s">
        <v>14</v>
      </c>
      <c r="K282" s="6">
        <v>8600</v>
      </c>
      <c r="L282" s="12">
        <f>K282*0.3048</f>
        <v>2621.2800000000002</v>
      </c>
      <c r="M282" s="7">
        <v>1217647</v>
      </c>
      <c r="N282" s="12">
        <f t="shared" si="71"/>
        <v>930958.10208500002</v>
      </c>
      <c r="O282" s="12"/>
      <c r="P282" s="12">
        <f>N282/L282</f>
        <v>355.154009523973</v>
      </c>
      <c r="Q282" s="184">
        <f>P282/10</f>
        <v>35.5154009523973</v>
      </c>
      <c r="R282" s="13"/>
      <c r="S282" s="9">
        <v>0.41799999999999998</v>
      </c>
      <c r="T282" s="8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</row>
    <row r="283" spans="1:42" x14ac:dyDescent="0.25">
      <c r="A283" s="10" t="s">
        <v>72</v>
      </c>
      <c r="B283" s="3" t="s">
        <v>13</v>
      </c>
      <c r="C283" s="3">
        <v>1989</v>
      </c>
      <c r="D283" s="3"/>
      <c r="E283" s="3"/>
      <c r="F283" s="3"/>
      <c r="G283" s="4">
        <v>39.264158000000002</v>
      </c>
      <c r="H283" s="4">
        <v>-74.589957999999996</v>
      </c>
      <c r="I283" s="5" t="s">
        <v>14</v>
      </c>
      <c r="J283" s="5" t="s">
        <v>14</v>
      </c>
      <c r="K283" s="6"/>
      <c r="L283" s="12"/>
      <c r="M283" s="7">
        <v>250000</v>
      </c>
      <c r="N283" s="12">
        <f t="shared" si="71"/>
        <v>191138.75</v>
      </c>
      <c r="O283" s="12"/>
      <c r="P283" s="12"/>
      <c r="Q283" s="12"/>
      <c r="R283" s="13"/>
      <c r="S283" s="9">
        <v>0.52100000000000002</v>
      </c>
      <c r="T283" s="8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</row>
    <row r="284" spans="1:42" x14ac:dyDescent="0.25">
      <c r="A284" s="10" t="s">
        <v>72</v>
      </c>
      <c r="B284" s="3" t="s">
        <v>13</v>
      </c>
      <c r="C284" s="3">
        <v>1990</v>
      </c>
      <c r="D284" s="3"/>
      <c r="E284" s="3"/>
      <c r="F284" s="3"/>
      <c r="G284" s="4">
        <v>39.264158000000002</v>
      </c>
      <c r="H284" s="4">
        <v>-74.589957999999996</v>
      </c>
      <c r="I284" s="5" t="s">
        <v>14</v>
      </c>
      <c r="J284" s="5" t="s">
        <v>14</v>
      </c>
      <c r="K284" s="6"/>
      <c r="L284" s="12"/>
      <c r="M284" s="7">
        <v>40000</v>
      </c>
      <c r="N284" s="12">
        <f t="shared" si="71"/>
        <v>30582.2</v>
      </c>
      <c r="O284" s="12"/>
      <c r="P284" s="12"/>
      <c r="Q284" s="12"/>
      <c r="R284" s="13"/>
      <c r="S284" s="9">
        <v>0.57099999999999995</v>
      </c>
      <c r="T284" s="8"/>
      <c r="Y284" s="10"/>
      <c r="Z284" s="10"/>
      <c r="AA284" s="10"/>
      <c r="AB284" s="10"/>
      <c r="AC284" s="10"/>
      <c r="AD284" s="10"/>
      <c r="AE284" s="10"/>
      <c r="AF284" s="10"/>
      <c r="AG284" s="10"/>
      <c r="AH284" s="57"/>
      <c r="AI284" s="57"/>
      <c r="AJ284" s="57"/>
      <c r="AK284" s="57"/>
      <c r="AL284" s="57"/>
      <c r="AM284" s="57"/>
      <c r="AN284" s="57"/>
      <c r="AO284" s="57"/>
      <c r="AP284" s="57"/>
    </row>
    <row r="285" spans="1:42" x14ac:dyDescent="0.25">
      <c r="A285" s="10" t="s">
        <v>72</v>
      </c>
      <c r="B285" s="3" t="s">
        <v>13</v>
      </c>
      <c r="C285" s="3">
        <v>1991</v>
      </c>
      <c r="D285" s="3"/>
      <c r="E285" s="3"/>
      <c r="F285" s="3"/>
      <c r="G285" s="4">
        <v>39.264158000000002</v>
      </c>
      <c r="H285" s="4">
        <v>-74.589957999999996</v>
      </c>
      <c r="I285" s="14" t="s">
        <v>15</v>
      </c>
      <c r="J285" s="5" t="s">
        <v>19</v>
      </c>
      <c r="K285" s="6"/>
      <c r="L285" s="12"/>
      <c r="M285" s="7">
        <v>100000</v>
      </c>
      <c r="N285" s="12">
        <f t="shared" si="71"/>
        <v>76455.5</v>
      </c>
      <c r="O285" s="12"/>
      <c r="P285" s="12"/>
      <c r="Q285" s="12"/>
      <c r="R285" s="13"/>
      <c r="S285" s="9">
        <v>0.57099999999999995</v>
      </c>
      <c r="T285" s="8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</row>
    <row r="286" spans="1:42" x14ac:dyDescent="0.25">
      <c r="A286" s="10" t="s">
        <v>72</v>
      </c>
      <c r="B286" s="3" t="s">
        <v>13</v>
      </c>
      <c r="C286" s="3">
        <v>1992</v>
      </c>
      <c r="D286" s="3"/>
      <c r="E286" s="3"/>
      <c r="F286" s="3"/>
      <c r="G286" s="4">
        <v>39.264158000000002</v>
      </c>
      <c r="H286" s="4">
        <v>-74.589957999999996</v>
      </c>
      <c r="I286" s="14" t="s">
        <v>15</v>
      </c>
      <c r="J286" s="14" t="s">
        <v>16</v>
      </c>
      <c r="K286" s="7">
        <v>13000</v>
      </c>
      <c r="L286" s="12">
        <f>K286*0.3048</f>
        <v>3962.4</v>
      </c>
      <c r="M286" s="7">
        <v>2618000</v>
      </c>
      <c r="N286" s="12">
        <f t="shared" si="71"/>
        <v>2001604.99</v>
      </c>
      <c r="O286" s="12"/>
      <c r="P286" s="12"/>
      <c r="Q286" s="12"/>
      <c r="R286" s="8">
        <v>10952000</v>
      </c>
      <c r="S286" s="9">
        <v>0.58799999999999997</v>
      </c>
      <c r="T286" s="8">
        <f>+R286/S287</f>
        <v>18072607.260726072</v>
      </c>
      <c r="U286" s="133">
        <f t="shared" ref="U286:U295" si="75">T286/N286</f>
        <v>9.0290578565784205</v>
      </c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</row>
    <row r="287" spans="1:42" x14ac:dyDescent="0.25">
      <c r="A287" s="10" t="s">
        <v>72</v>
      </c>
      <c r="B287" s="3" t="s">
        <v>13</v>
      </c>
      <c r="C287" s="3">
        <v>1993</v>
      </c>
      <c r="D287" s="3"/>
      <c r="E287" s="3"/>
      <c r="F287" s="3"/>
      <c r="G287" s="4">
        <v>39.264158000000002</v>
      </c>
      <c r="H287" s="4">
        <v>-74.589957999999996</v>
      </c>
      <c r="I287" s="14" t="s">
        <v>15</v>
      </c>
      <c r="J287" s="14" t="s">
        <v>16</v>
      </c>
      <c r="K287" s="7">
        <v>11800</v>
      </c>
      <c r="L287" s="12">
        <f>K287*0.3048</f>
        <v>3596.6400000000003</v>
      </c>
      <c r="M287" s="7">
        <v>2727000</v>
      </c>
      <c r="N287" s="12">
        <f t="shared" si="71"/>
        <v>2084941.4849999999</v>
      </c>
      <c r="O287" s="12"/>
      <c r="P287" s="12">
        <f>N287/L287</f>
        <v>579.69145786066986</v>
      </c>
      <c r="Q287" s="184">
        <f>P287/10</f>
        <v>57.969145786066989</v>
      </c>
      <c r="R287" s="8">
        <v>14571909</v>
      </c>
      <c r="S287" s="9">
        <v>0.60599999999999998</v>
      </c>
      <c r="T287" s="8">
        <f t="shared" ref="T287:T295" si="76">+R287/S287</f>
        <v>24046054.455445547</v>
      </c>
      <c r="U287" s="133">
        <f t="shared" si="75"/>
        <v>11.533203511198565</v>
      </c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</row>
    <row r="288" spans="1:42" x14ac:dyDescent="0.25">
      <c r="A288" s="10" t="s">
        <v>72</v>
      </c>
      <c r="B288" s="3" t="s">
        <v>13</v>
      </c>
      <c r="C288" s="3">
        <v>1993</v>
      </c>
      <c r="D288" s="3"/>
      <c r="E288" s="3"/>
      <c r="F288" s="3"/>
      <c r="G288" s="4">
        <v>39.264158000000002</v>
      </c>
      <c r="H288" s="4">
        <v>-74.589957999999996</v>
      </c>
      <c r="I288" s="14" t="s">
        <v>15</v>
      </c>
      <c r="J288" s="18" t="s">
        <v>17</v>
      </c>
      <c r="K288" s="6"/>
      <c r="L288" s="12"/>
      <c r="M288" s="7">
        <v>846000</v>
      </c>
      <c r="N288" s="12">
        <f t="shared" si="71"/>
        <v>646813.53</v>
      </c>
      <c r="O288" s="12"/>
      <c r="P288" s="12"/>
      <c r="Q288" s="12"/>
      <c r="R288" s="8">
        <v>2915131</v>
      </c>
      <c r="S288" s="9">
        <v>0.60599999999999998</v>
      </c>
      <c r="T288" s="8">
        <f t="shared" si="76"/>
        <v>4810447.194719472</v>
      </c>
      <c r="U288" s="133">
        <f t="shared" si="75"/>
        <v>7.4371468307403399</v>
      </c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</row>
    <row r="289" spans="1:42" x14ac:dyDescent="0.25">
      <c r="A289" s="10" t="s">
        <v>72</v>
      </c>
      <c r="B289" s="3" t="s">
        <v>13</v>
      </c>
      <c r="C289" s="3">
        <v>1994</v>
      </c>
      <c r="D289" s="3"/>
      <c r="E289" s="3"/>
      <c r="F289" s="3"/>
      <c r="G289" s="4">
        <v>39.264158000000002</v>
      </c>
      <c r="H289" s="4">
        <v>-74.589957999999996</v>
      </c>
      <c r="I289" s="14" t="s">
        <v>15</v>
      </c>
      <c r="J289" s="14" t="s">
        <v>16</v>
      </c>
      <c r="K289" s="7">
        <v>6336</v>
      </c>
      <c r="L289" s="12">
        <f t="shared" ref="L289:L299" si="77">K289*0.3048</f>
        <v>1931.2128</v>
      </c>
      <c r="M289" s="7">
        <v>606000</v>
      </c>
      <c r="N289" s="12">
        <f t="shared" si="71"/>
        <v>463320.33</v>
      </c>
      <c r="O289" s="12"/>
      <c r="P289" s="12">
        <f t="shared" ref="P289:P293" si="78">N289/L289</f>
        <v>239.91158819991253</v>
      </c>
      <c r="Q289" s="184">
        <f t="shared" ref="Q289:Q293" si="79">P289/10</f>
        <v>23.991158819991252</v>
      </c>
      <c r="R289" s="8">
        <v>3217825</v>
      </c>
      <c r="S289" s="9">
        <v>0.621</v>
      </c>
      <c r="T289" s="8">
        <f t="shared" si="76"/>
        <v>5181682.7697262485</v>
      </c>
      <c r="U289" s="133">
        <f t="shared" si="75"/>
        <v>11.183801862798138</v>
      </c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</row>
    <row r="290" spans="1:42" x14ac:dyDescent="0.25">
      <c r="A290" s="10" t="s">
        <v>72</v>
      </c>
      <c r="B290" s="3" t="s">
        <v>13</v>
      </c>
      <c r="C290" s="3">
        <v>1995</v>
      </c>
      <c r="D290" s="3"/>
      <c r="E290" s="3"/>
      <c r="F290" s="3"/>
      <c r="G290" s="4">
        <v>39.264158000000002</v>
      </c>
      <c r="H290" s="4">
        <v>-74.589957999999996</v>
      </c>
      <c r="I290" s="14" t="s">
        <v>1</v>
      </c>
      <c r="J290" s="5" t="s">
        <v>14</v>
      </c>
      <c r="K290" s="7">
        <v>10560</v>
      </c>
      <c r="L290" s="12">
        <f t="shared" si="77"/>
        <v>3218.6880000000001</v>
      </c>
      <c r="M290" s="7">
        <v>360000</v>
      </c>
      <c r="N290" s="12">
        <f t="shared" si="71"/>
        <v>275239.8</v>
      </c>
      <c r="O290" s="12"/>
      <c r="P290" s="12">
        <f t="shared" si="78"/>
        <v>85.513041338582667</v>
      </c>
      <c r="Q290" s="184">
        <f t="shared" si="79"/>
        <v>8.5513041338582667</v>
      </c>
      <c r="R290" s="8">
        <v>1232572</v>
      </c>
      <c r="S290" s="20">
        <v>0.64100000000000001</v>
      </c>
      <c r="T290" s="8">
        <f t="shared" si="76"/>
        <v>1922889.2355694228</v>
      </c>
      <c r="U290" s="133">
        <f t="shared" si="75"/>
        <v>6.9862324982412529</v>
      </c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</row>
    <row r="291" spans="1:42" x14ac:dyDescent="0.25">
      <c r="A291" s="10" t="s">
        <v>72</v>
      </c>
      <c r="B291" s="3" t="s">
        <v>13</v>
      </c>
      <c r="C291" s="3">
        <v>1995</v>
      </c>
      <c r="D291" s="3"/>
      <c r="E291" s="3"/>
      <c r="F291" s="3"/>
      <c r="G291" s="4">
        <v>39.264158000000002</v>
      </c>
      <c r="H291" s="4">
        <v>-74.589957999999996</v>
      </c>
      <c r="I291" s="14" t="s">
        <v>15</v>
      </c>
      <c r="J291" s="14" t="s">
        <v>16</v>
      </c>
      <c r="K291" s="7">
        <v>24816</v>
      </c>
      <c r="L291" s="12">
        <f t="shared" si="77"/>
        <v>7563.9168</v>
      </c>
      <c r="M291" s="7">
        <v>1411000</v>
      </c>
      <c r="N291" s="12">
        <f t="shared" si="71"/>
        <v>1078787.105</v>
      </c>
      <c r="O291" s="12"/>
      <c r="P291" s="12">
        <f t="shared" si="78"/>
        <v>142.62281480938552</v>
      </c>
      <c r="Q291" s="184">
        <f t="shared" si="79"/>
        <v>14.262281480938551</v>
      </c>
      <c r="R291" s="8">
        <v>5749776</v>
      </c>
      <c r="S291" s="20">
        <v>0.64100000000000001</v>
      </c>
      <c r="T291" s="8">
        <f t="shared" si="76"/>
        <v>8970009.3603744153</v>
      </c>
      <c r="U291" s="133">
        <f t="shared" si="75"/>
        <v>8.3149022812748719</v>
      </c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</row>
    <row r="292" spans="1:42" x14ac:dyDescent="0.25">
      <c r="A292" s="2" t="s">
        <v>73</v>
      </c>
      <c r="B292" s="3" t="s">
        <v>13</v>
      </c>
      <c r="C292" s="11">
        <v>1997</v>
      </c>
      <c r="D292" s="11"/>
      <c r="E292" s="11"/>
      <c r="F292" s="11"/>
      <c r="G292" s="4">
        <v>39.264158000000002</v>
      </c>
      <c r="H292" s="4">
        <v>-74.589957999999996</v>
      </c>
      <c r="I292" s="5" t="s">
        <v>15</v>
      </c>
      <c r="J292" s="18" t="s">
        <v>16</v>
      </c>
      <c r="K292" s="6">
        <v>7000</v>
      </c>
      <c r="L292" s="12">
        <f t="shared" si="77"/>
        <v>2133.6</v>
      </c>
      <c r="M292" s="12">
        <v>800000</v>
      </c>
      <c r="N292" s="12">
        <f t="shared" si="71"/>
        <v>611644</v>
      </c>
      <c r="O292" s="12"/>
      <c r="P292" s="12">
        <f t="shared" si="78"/>
        <v>286.67229096362956</v>
      </c>
      <c r="Q292" s="184">
        <f t="shared" si="79"/>
        <v>28.667229096362956</v>
      </c>
      <c r="R292" s="19">
        <v>4945000</v>
      </c>
      <c r="S292" s="9">
        <v>0.67600000000000005</v>
      </c>
      <c r="T292" s="8">
        <f t="shared" si="76"/>
        <v>7315088.7573964493</v>
      </c>
      <c r="U292" s="133">
        <f t="shared" si="75"/>
        <v>11.959716366704242</v>
      </c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</row>
    <row r="293" spans="1:42" x14ac:dyDescent="0.25">
      <c r="A293" s="10" t="s">
        <v>72</v>
      </c>
      <c r="B293" s="3" t="s">
        <v>13</v>
      </c>
      <c r="C293" s="11">
        <v>2000</v>
      </c>
      <c r="D293" s="11"/>
      <c r="E293" s="11"/>
      <c r="F293" s="11"/>
      <c r="G293" s="4">
        <v>39.264158000000002</v>
      </c>
      <c r="H293" s="4">
        <v>-74.589957999999996</v>
      </c>
      <c r="I293" s="5" t="s">
        <v>15</v>
      </c>
      <c r="J293" s="18" t="s">
        <v>16</v>
      </c>
      <c r="K293" s="6">
        <v>12500</v>
      </c>
      <c r="L293" s="12">
        <f t="shared" si="77"/>
        <v>3810</v>
      </c>
      <c r="M293" s="12">
        <v>1351000</v>
      </c>
      <c r="N293" s="12">
        <f t="shared" si="71"/>
        <v>1032913.8049999999</v>
      </c>
      <c r="O293" s="12"/>
      <c r="P293" s="12">
        <f t="shared" si="78"/>
        <v>271.10598556430443</v>
      </c>
      <c r="Q293" s="184">
        <f t="shared" si="79"/>
        <v>27.110598556430443</v>
      </c>
      <c r="R293" s="19">
        <v>6943000</v>
      </c>
      <c r="S293" s="9">
        <v>0.72499999999999998</v>
      </c>
      <c r="T293" s="8">
        <f t="shared" si="76"/>
        <v>9576551.7241379321</v>
      </c>
      <c r="U293" s="133">
        <f t="shared" si="75"/>
        <v>9.2713948422229997</v>
      </c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</row>
    <row r="294" spans="1:42" x14ac:dyDescent="0.25">
      <c r="A294" s="10" t="s">
        <v>72</v>
      </c>
      <c r="B294" s="3" t="s">
        <v>13</v>
      </c>
      <c r="C294" s="11">
        <v>2004</v>
      </c>
      <c r="D294" s="11"/>
      <c r="E294" s="11"/>
      <c r="F294" s="11"/>
      <c r="G294" s="4">
        <v>39.264158000000002</v>
      </c>
      <c r="H294" s="4">
        <v>-74.589957999999996</v>
      </c>
      <c r="I294" s="5" t="s">
        <v>1</v>
      </c>
      <c r="J294" s="18" t="s">
        <v>16</v>
      </c>
      <c r="K294" s="6">
        <v>1000</v>
      </c>
      <c r="L294" s="12">
        <f t="shared" si="77"/>
        <v>304.8</v>
      </c>
      <c r="M294" s="12">
        <v>62000</v>
      </c>
      <c r="N294" s="12">
        <f t="shared" si="71"/>
        <v>47402.409999999996</v>
      </c>
      <c r="O294" s="12"/>
      <c r="P294" s="195">
        <f>SUM(N294:N295)/SUM(L294:L295)</f>
        <v>397.04112298462684</v>
      </c>
      <c r="Q294" s="197">
        <f>P294/10</f>
        <v>39.704112298462682</v>
      </c>
      <c r="R294" s="13">
        <v>306900</v>
      </c>
      <c r="S294" s="9">
        <v>0.79300000000000004</v>
      </c>
      <c r="T294" s="8">
        <f t="shared" si="76"/>
        <v>387011.34930643125</v>
      </c>
      <c r="U294" s="133">
        <f t="shared" si="75"/>
        <v>8.1643812900321162</v>
      </c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</row>
    <row r="295" spans="1:42" x14ac:dyDescent="0.25">
      <c r="A295" s="10" t="s">
        <v>72</v>
      </c>
      <c r="B295" s="3" t="s">
        <v>13</v>
      </c>
      <c r="C295" s="11">
        <v>2004</v>
      </c>
      <c r="D295" s="11"/>
      <c r="E295" s="11"/>
      <c r="F295" s="11"/>
      <c r="G295" s="4">
        <v>39.264158000000002</v>
      </c>
      <c r="H295" s="4">
        <v>-74.589957999999996</v>
      </c>
      <c r="I295" s="5" t="s">
        <v>15</v>
      </c>
      <c r="J295" s="18" t="s">
        <v>16</v>
      </c>
      <c r="K295" s="6">
        <v>9500</v>
      </c>
      <c r="L295" s="12">
        <f t="shared" si="77"/>
        <v>2895.6000000000004</v>
      </c>
      <c r="M295" s="12">
        <v>1600000</v>
      </c>
      <c r="N295" s="12">
        <f t="shared" si="71"/>
        <v>1223288</v>
      </c>
      <c r="O295" s="12"/>
      <c r="P295" s="195"/>
      <c r="Q295" s="197"/>
      <c r="R295" s="19">
        <v>8314000</v>
      </c>
      <c r="S295" s="9">
        <v>0.79300000000000004</v>
      </c>
      <c r="T295" s="8">
        <f t="shared" si="76"/>
        <v>10484237.074401008</v>
      </c>
      <c r="U295" s="133">
        <f t="shared" si="75"/>
        <v>8.5705386420867438</v>
      </c>
      <c r="Y295" s="10"/>
      <c r="Z295" s="10"/>
      <c r="AA295" s="10"/>
      <c r="AB295" s="10"/>
      <c r="AC295" s="10"/>
      <c r="AD295" s="10"/>
      <c r="AE295" s="10"/>
      <c r="AF295" s="10"/>
      <c r="AG295" s="10"/>
      <c r="AH295" s="57"/>
      <c r="AI295" s="57"/>
      <c r="AJ295" s="57"/>
      <c r="AK295" s="57"/>
      <c r="AL295" s="57"/>
      <c r="AM295" s="57"/>
      <c r="AN295" s="57"/>
      <c r="AO295" s="57"/>
      <c r="AP295" s="57"/>
    </row>
    <row r="296" spans="1:42" x14ac:dyDescent="0.25">
      <c r="A296" s="10" t="s">
        <v>72</v>
      </c>
      <c r="B296" s="3" t="s">
        <v>13</v>
      </c>
      <c r="C296" s="11">
        <v>2008</v>
      </c>
      <c r="D296" s="11"/>
      <c r="E296" s="11"/>
      <c r="F296" s="11"/>
      <c r="G296" s="4">
        <v>39.264158000000002</v>
      </c>
      <c r="H296" s="4">
        <v>-74.589957999999996</v>
      </c>
      <c r="I296" s="5" t="s">
        <v>1</v>
      </c>
      <c r="J296" s="18" t="s">
        <v>16</v>
      </c>
      <c r="K296" s="6">
        <v>11000</v>
      </c>
      <c r="L296" s="12">
        <f t="shared" si="77"/>
        <v>3352.8</v>
      </c>
      <c r="M296" s="12">
        <v>900825</v>
      </c>
      <c r="N296" s="12">
        <f t="shared" si="71"/>
        <v>688730.25787500001</v>
      </c>
      <c r="O296" s="12"/>
      <c r="P296" s="12">
        <f>N296/L296</f>
        <v>205.41942790354329</v>
      </c>
      <c r="Q296" s="179">
        <f>P296/10</f>
        <v>20.54194279035433</v>
      </c>
      <c r="R296" s="26"/>
      <c r="S296" s="33">
        <v>0.90400000000000003</v>
      </c>
      <c r="T296" s="8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</row>
    <row r="297" spans="1:42" x14ac:dyDescent="0.25">
      <c r="A297" s="10" t="s">
        <v>72</v>
      </c>
      <c r="B297" s="3" t="s">
        <v>13</v>
      </c>
      <c r="C297" s="11">
        <v>2010</v>
      </c>
      <c r="D297" s="11"/>
      <c r="E297" s="11"/>
      <c r="F297" s="11"/>
      <c r="G297" s="4">
        <v>39.264158000000002</v>
      </c>
      <c r="H297" s="4">
        <v>-74.589957999999996</v>
      </c>
      <c r="I297" s="5" t="s">
        <v>15</v>
      </c>
      <c r="J297" s="18" t="s">
        <v>16</v>
      </c>
      <c r="K297" s="6">
        <v>9500</v>
      </c>
      <c r="L297" s="12">
        <f t="shared" si="77"/>
        <v>2895.6000000000004</v>
      </c>
      <c r="M297" s="12">
        <v>1400000</v>
      </c>
      <c r="N297" s="12">
        <f t="shared" si="71"/>
        <v>1070377</v>
      </c>
      <c r="O297" s="12"/>
      <c r="P297" s="12">
        <f>N297/L297</f>
        <v>369.65637518994333</v>
      </c>
      <c r="Q297" s="179">
        <f>P297/10</f>
        <v>36.965637518994335</v>
      </c>
      <c r="R297" s="19">
        <v>13824000</v>
      </c>
      <c r="S297" s="9">
        <v>0.91600000000000004</v>
      </c>
      <c r="T297" s="8">
        <f t="shared" ref="T297:T305" si="80">+R297/S297</f>
        <v>15091703.056768559</v>
      </c>
      <c r="U297" s="133">
        <f t="shared" ref="U297:U305" si="81">T297/N297</f>
        <v>14.099427637896328</v>
      </c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</row>
    <row r="298" spans="1:42" x14ac:dyDescent="0.25">
      <c r="A298" s="10" t="s">
        <v>72</v>
      </c>
      <c r="B298" s="3" t="s">
        <v>13</v>
      </c>
      <c r="C298" s="11">
        <v>2013</v>
      </c>
      <c r="D298" s="11"/>
      <c r="E298" s="11"/>
      <c r="F298" s="11"/>
      <c r="G298" s="4">
        <v>39.264158000000002</v>
      </c>
      <c r="H298" s="4">
        <v>-74.589957999999996</v>
      </c>
      <c r="I298" s="5" t="s">
        <v>24</v>
      </c>
      <c r="J298" s="18" t="s">
        <v>16</v>
      </c>
      <c r="K298" s="6">
        <v>4487</v>
      </c>
      <c r="L298" s="12">
        <f t="shared" si="77"/>
        <v>1367.6376</v>
      </c>
      <c r="M298" s="12">
        <v>90000</v>
      </c>
      <c r="N298" s="12">
        <f t="shared" si="71"/>
        <v>68809.95</v>
      </c>
      <c r="O298" s="12"/>
      <c r="P298" s="195">
        <f>SUM(N298:N300)/SUM(L298:L300)</f>
        <v>276.94618668991006</v>
      </c>
      <c r="Q298" s="197">
        <f>P298/10</f>
        <v>27.694618668991005</v>
      </c>
      <c r="R298" s="19">
        <v>1100000</v>
      </c>
      <c r="S298" s="20">
        <v>0.97799999999999998</v>
      </c>
      <c r="T298" s="8">
        <f t="shared" si="80"/>
        <v>1124744.3762781187</v>
      </c>
      <c r="U298" s="133">
        <f t="shared" si="81"/>
        <v>16.345664780720213</v>
      </c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</row>
    <row r="299" spans="1:42" x14ac:dyDescent="0.25">
      <c r="A299" s="10" t="s">
        <v>72</v>
      </c>
      <c r="B299" s="3" t="s">
        <v>13</v>
      </c>
      <c r="C299" s="11">
        <v>2013</v>
      </c>
      <c r="D299" s="11"/>
      <c r="E299" s="11"/>
      <c r="F299" s="11"/>
      <c r="G299" s="4">
        <v>39.264158000000002</v>
      </c>
      <c r="H299" s="4">
        <v>-74.589957999999996</v>
      </c>
      <c r="I299" s="5" t="s">
        <v>15</v>
      </c>
      <c r="J299" s="18" t="s">
        <v>16</v>
      </c>
      <c r="K299" s="6">
        <v>12144</v>
      </c>
      <c r="L299" s="12">
        <f t="shared" si="77"/>
        <v>3701.4912000000004</v>
      </c>
      <c r="M299" s="12">
        <v>1000000</v>
      </c>
      <c r="N299" s="12">
        <f t="shared" si="71"/>
        <v>764555</v>
      </c>
      <c r="O299" s="12"/>
      <c r="P299" s="195"/>
      <c r="Q299" s="197"/>
      <c r="R299" s="19">
        <v>11993000</v>
      </c>
      <c r="S299" s="20">
        <v>0.97799999999999998</v>
      </c>
      <c r="T299" s="8">
        <f t="shared" si="80"/>
        <v>12262781.18609407</v>
      </c>
      <c r="U299" s="133">
        <f t="shared" si="81"/>
        <v>16.039109267605429</v>
      </c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</row>
    <row r="300" spans="1:42" x14ac:dyDescent="0.25">
      <c r="A300" s="2" t="s">
        <v>72</v>
      </c>
      <c r="B300" s="3" t="s">
        <v>13</v>
      </c>
      <c r="C300" s="11">
        <v>2013</v>
      </c>
      <c r="D300" s="11"/>
      <c r="E300" s="11"/>
      <c r="F300" s="11"/>
      <c r="G300" s="4">
        <v>39.264158000000002</v>
      </c>
      <c r="H300" s="4">
        <v>-74.589957999999996</v>
      </c>
      <c r="I300" s="5" t="s">
        <v>15</v>
      </c>
      <c r="J300" s="18" t="s">
        <v>17</v>
      </c>
      <c r="K300" s="6"/>
      <c r="L300" s="12"/>
      <c r="M300" s="7">
        <v>746200</v>
      </c>
      <c r="N300" s="12">
        <f t="shared" si="71"/>
        <v>570510.94099999999</v>
      </c>
      <c r="O300" s="12"/>
      <c r="P300" s="195"/>
      <c r="Q300" s="197"/>
      <c r="R300" s="62">
        <v>5467700</v>
      </c>
      <c r="S300" s="20">
        <v>0.97799999999999998</v>
      </c>
      <c r="T300" s="8">
        <f t="shared" si="80"/>
        <v>5590695.2965235179</v>
      </c>
      <c r="U300" s="133">
        <f t="shared" si="81"/>
        <v>9.7994532527703413</v>
      </c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</row>
    <row r="301" spans="1:42" x14ac:dyDescent="0.25">
      <c r="A301" s="10" t="s">
        <v>72</v>
      </c>
      <c r="B301" s="133"/>
      <c r="C301" s="139">
        <v>2015</v>
      </c>
      <c r="D301" s="139"/>
      <c r="E301" s="133"/>
      <c r="F301" s="133"/>
      <c r="G301" s="139"/>
      <c r="H301" s="133"/>
      <c r="I301" s="133"/>
      <c r="J301" s="133"/>
      <c r="K301" s="133"/>
      <c r="L301" s="133">
        <v>3750</v>
      </c>
      <c r="M301" s="140">
        <v>1514600</v>
      </c>
      <c r="N301" s="12">
        <f t="shared" si="71"/>
        <v>1157995.003</v>
      </c>
      <c r="O301" s="12"/>
      <c r="P301" s="198">
        <f>SUM(N301:N302)/SUM(L301:L302)</f>
        <v>278.53992385871157</v>
      </c>
      <c r="Q301" s="199">
        <f>P301/10</f>
        <v>27.853992385871159</v>
      </c>
      <c r="R301" s="141">
        <v>21217060</v>
      </c>
      <c r="S301" s="133">
        <v>0.995</v>
      </c>
      <c r="T301" s="8">
        <f t="shared" si="80"/>
        <v>21323678.391959798</v>
      </c>
      <c r="U301" s="133">
        <f t="shared" si="81"/>
        <v>18.414309506273231</v>
      </c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133"/>
      <c r="AL301" s="133"/>
      <c r="AM301" s="133"/>
      <c r="AN301" s="133"/>
      <c r="AO301" s="133"/>
      <c r="AP301" s="133"/>
    </row>
    <row r="302" spans="1:42" x14ac:dyDescent="0.25">
      <c r="A302" s="10" t="s">
        <v>72</v>
      </c>
      <c r="B302" s="133"/>
      <c r="C302" s="139">
        <v>2015</v>
      </c>
      <c r="D302" s="139"/>
      <c r="E302" s="133"/>
      <c r="F302" s="133"/>
      <c r="G302" s="133"/>
      <c r="H302" s="133"/>
      <c r="I302" s="133"/>
      <c r="J302" s="133"/>
      <c r="K302" s="133"/>
      <c r="L302" s="133">
        <v>3080</v>
      </c>
      <c r="M302" s="140">
        <v>973681</v>
      </c>
      <c r="N302" s="12">
        <f t="shared" si="71"/>
        <v>744432.67695500003</v>
      </c>
      <c r="O302" s="12"/>
      <c r="P302" s="198"/>
      <c r="Q302" s="199"/>
      <c r="R302" s="141">
        <v>11162930</v>
      </c>
      <c r="S302" s="133">
        <v>0.995</v>
      </c>
      <c r="T302" s="8">
        <f t="shared" si="80"/>
        <v>11219025.12562814</v>
      </c>
      <c r="U302" s="133">
        <f t="shared" si="81"/>
        <v>15.070570479949948</v>
      </c>
      <c r="Y302" s="133"/>
      <c r="Z302" s="133"/>
      <c r="AA302" s="133"/>
      <c r="AB302" s="133"/>
      <c r="AC302" s="133"/>
      <c r="AD302" s="133"/>
      <c r="AE302" s="133"/>
      <c r="AF302" s="133"/>
      <c r="AG302" s="133"/>
      <c r="AH302" s="133"/>
      <c r="AI302" s="133"/>
      <c r="AJ302" s="133"/>
      <c r="AK302" s="133"/>
      <c r="AL302" s="133"/>
      <c r="AM302" s="133"/>
      <c r="AN302" s="133"/>
      <c r="AO302" s="133"/>
      <c r="AP302" s="133"/>
    </row>
    <row r="303" spans="1:42" x14ac:dyDescent="0.25">
      <c r="A303" s="10" t="s">
        <v>72</v>
      </c>
      <c r="B303" s="133"/>
      <c r="C303" s="139">
        <v>2016</v>
      </c>
      <c r="D303" s="139"/>
      <c r="E303" s="133"/>
      <c r="F303" s="133"/>
      <c r="G303" s="139"/>
      <c r="H303" s="133"/>
      <c r="I303" s="133"/>
      <c r="J303" s="133"/>
      <c r="K303" s="133"/>
      <c r="L303" s="198">
        <v>3750</v>
      </c>
      <c r="M303" s="140">
        <v>317200</v>
      </c>
      <c r="N303" s="12">
        <f t="shared" si="71"/>
        <v>242516.84599999999</v>
      </c>
      <c r="O303" s="12"/>
      <c r="P303" s="198">
        <f>SUM(N303:N304)/L303</f>
        <v>100.10573466666666</v>
      </c>
      <c r="Q303" s="199">
        <f>P303/10</f>
        <v>10.010573466666667</v>
      </c>
      <c r="R303" s="141">
        <v>4443451</v>
      </c>
      <c r="S303" s="176">
        <v>1</v>
      </c>
      <c r="T303" s="8">
        <f t="shared" si="80"/>
        <v>4443451</v>
      </c>
      <c r="U303" s="133">
        <f t="shared" si="81"/>
        <v>18.322236468471967</v>
      </c>
      <c r="Y303" s="133"/>
      <c r="Z303" s="133"/>
      <c r="AA303" s="133"/>
      <c r="AB303" s="133"/>
      <c r="AC303" s="133"/>
      <c r="AD303" s="133"/>
      <c r="AE303" s="133"/>
      <c r="AF303" s="133"/>
      <c r="AG303" s="133"/>
      <c r="AH303" s="133"/>
      <c r="AI303" s="133"/>
      <c r="AJ303" s="133"/>
      <c r="AK303" s="133"/>
      <c r="AL303" s="133"/>
      <c r="AM303" s="133"/>
      <c r="AN303" s="133"/>
      <c r="AO303" s="133"/>
      <c r="AP303" s="133"/>
    </row>
    <row r="304" spans="1:42" x14ac:dyDescent="0.25">
      <c r="A304" s="10" t="s">
        <v>72</v>
      </c>
      <c r="B304" s="133"/>
      <c r="C304" s="139">
        <v>2016</v>
      </c>
      <c r="D304" s="139"/>
      <c r="E304" s="133"/>
      <c r="F304" s="133"/>
      <c r="G304" s="139"/>
      <c r="H304" s="133"/>
      <c r="I304" s="133"/>
      <c r="J304" s="133"/>
      <c r="K304" s="133"/>
      <c r="L304" s="198"/>
      <c r="M304" s="140">
        <v>173800</v>
      </c>
      <c r="N304" s="12">
        <f t="shared" si="71"/>
        <v>132879.65899999999</v>
      </c>
      <c r="O304" s="12"/>
      <c r="P304" s="198"/>
      <c r="Q304" s="199"/>
      <c r="R304" s="141">
        <v>2434653</v>
      </c>
      <c r="S304" s="176">
        <v>1</v>
      </c>
      <c r="T304" s="8">
        <f t="shared" si="80"/>
        <v>2434653</v>
      </c>
      <c r="U304" s="133">
        <f t="shared" si="81"/>
        <v>18.322239975043889</v>
      </c>
      <c r="Y304" s="133"/>
      <c r="Z304" s="133"/>
      <c r="AA304" s="133"/>
      <c r="AB304" s="133"/>
      <c r="AC304" s="133"/>
      <c r="AD304" s="133"/>
      <c r="AE304" s="133"/>
      <c r="AF304" s="133"/>
      <c r="AG304" s="133"/>
      <c r="AH304" s="133"/>
      <c r="AI304" s="133"/>
      <c r="AJ304" s="133"/>
      <c r="AK304" s="133"/>
      <c r="AL304" s="133"/>
      <c r="AM304" s="133"/>
      <c r="AN304" s="133"/>
      <c r="AO304" s="133"/>
      <c r="AP304" s="133"/>
    </row>
    <row r="305" spans="1:42" x14ac:dyDescent="0.25">
      <c r="A305" s="10" t="s">
        <v>72</v>
      </c>
      <c r="B305" s="133"/>
      <c r="C305" s="139">
        <v>2017</v>
      </c>
      <c r="D305" s="139"/>
      <c r="E305" s="133"/>
      <c r="F305" s="133"/>
      <c r="G305" s="139"/>
      <c r="H305" s="133"/>
      <c r="I305" s="133"/>
      <c r="J305" s="133"/>
      <c r="K305" s="133"/>
      <c r="L305" s="133">
        <v>3080</v>
      </c>
      <c r="M305" s="140">
        <v>1276777</v>
      </c>
      <c r="N305" s="12">
        <f t="shared" si="71"/>
        <v>976166.23923499999</v>
      </c>
      <c r="O305" s="12"/>
      <c r="P305" s="133">
        <f>N305/L305</f>
        <v>316.93709066071426</v>
      </c>
      <c r="Q305" s="180">
        <f>P305/10</f>
        <v>31.693709066071428</v>
      </c>
      <c r="R305" s="141">
        <v>13189091</v>
      </c>
      <c r="S305" s="133">
        <v>1.0213000000000001</v>
      </c>
      <c r="T305" s="8">
        <f t="shared" si="80"/>
        <v>12914022.324488396</v>
      </c>
      <c r="U305" s="133">
        <f t="shared" si="81"/>
        <v>13.229326937806036</v>
      </c>
      <c r="Y305" s="133"/>
      <c r="Z305" s="133"/>
      <c r="AA305" s="133"/>
      <c r="AB305" s="133"/>
      <c r="AC305" s="133"/>
      <c r="AD305" s="133"/>
      <c r="AE305" s="133"/>
      <c r="AF305" s="133"/>
      <c r="AG305" s="133"/>
      <c r="AH305" s="133"/>
      <c r="AI305" s="133"/>
      <c r="AJ305" s="133"/>
      <c r="AK305" s="133"/>
      <c r="AL305" s="133"/>
      <c r="AM305" s="133"/>
      <c r="AN305" s="133"/>
      <c r="AO305" s="133"/>
      <c r="AP305" s="133"/>
    </row>
    <row r="306" spans="1:42" s="112" customFormat="1" ht="14.5" x14ac:dyDescent="0.35">
      <c r="A306" s="103" t="s">
        <v>110</v>
      </c>
      <c r="B306" s="104"/>
      <c r="C306" s="104">
        <f>MAX(C269:C305)-MIN(C269:C305)</f>
        <v>51</v>
      </c>
      <c r="D306" s="104">
        <f>COUNT(C264:C305)</f>
        <v>42</v>
      </c>
      <c r="E306" s="104">
        <f>MIN(C264:C305)</f>
        <v>1952</v>
      </c>
      <c r="F306" s="104">
        <f>MAX(C264:C305)</f>
        <v>2017</v>
      </c>
      <c r="G306" s="105">
        <f>AVERAGE(G269:G305)</f>
        <v>39.264157999999973</v>
      </c>
      <c r="H306" s="105">
        <f>AVERAGE(H269:H305)</f>
        <v>-74.58995800000001</v>
      </c>
      <c r="I306" s="106" t="e">
        <f>INDEX(I296:I305,MODE(MATCH(I296:I305,I296:I305,0)))</f>
        <v>#N/A</v>
      </c>
      <c r="J306" s="106"/>
      <c r="K306" s="107">
        <f>AVERAGE(K264:K305)</f>
        <v>10116.466666666667</v>
      </c>
      <c r="L306" s="107">
        <f>AVERAGE(L264:L305)</f>
        <v>3153.2887157894738</v>
      </c>
      <c r="M306" s="107">
        <f>AVERAGE(M264:M305)</f>
        <v>769521.78571428568</v>
      </c>
      <c r="N306" s="107">
        <f>AVERAGE(N264:N305)</f>
        <v>588341.72887678572</v>
      </c>
      <c r="O306" s="107"/>
      <c r="P306" s="107">
        <f>AVERAGE(P264:P305)</f>
        <v>305.22242380306744</v>
      </c>
      <c r="Q306" s="107">
        <f>AVERAGE(Q264:Q305)</f>
        <v>30.522242380306743</v>
      </c>
      <c r="R306" s="110">
        <f>MEDIAN(R269:R305)</f>
        <v>2915131</v>
      </c>
      <c r="S306" s="110">
        <f>MEDIAN(S269:S305)</f>
        <v>0.60599999999999998</v>
      </c>
      <c r="T306" s="107">
        <f>AVERAGE(T264:T305)</f>
        <v>7128528.2086511552</v>
      </c>
      <c r="U306" s="107">
        <f>AVERAGE(U264:U305)</f>
        <v>11.960051892378859</v>
      </c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113"/>
    </row>
    <row r="307" spans="1:42" x14ac:dyDescent="0.25">
      <c r="A307" s="2" t="s">
        <v>96</v>
      </c>
      <c r="B307" s="3" t="s">
        <v>13</v>
      </c>
      <c r="C307" s="3">
        <v>1966</v>
      </c>
      <c r="D307" s="3"/>
      <c r="E307" s="3"/>
      <c r="F307" s="3"/>
      <c r="G307" s="4">
        <v>39.194612999999997</v>
      </c>
      <c r="H307" s="4">
        <v>-74.657435000000007</v>
      </c>
      <c r="I307" s="14" t="s">
        <v>1</v>
      </c>
      <c r="J307" s="5" t="s">
        <v>14</v>
      </c>
      <c r="K307" s="6"/>
      <c r="L307" s="12"/>
      <c r="M307" s="7">
        <v>10000</v>
      </c>
      <c r="N307" s="12">
        <f t="shared" ref="N307:N318" si="82">M307*0.764555</f>
        <v>7645.55</v>
      </c>
      <c r="O307" s="12"/>
      <c r="P307" s="12"/>
      <c r="Q307" s="184"/>
      <c r="R307" s="13"/>
      <c r="S307" s="9">
        <v>0.13600000000000001</v>
      </c>
      <c r="T307" s="8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</row>
    <row r="308" spans="1:42" x14ac:dyDescent="0.25">
      <c r="A308" s="2" t="s">
        <v>96</v>
      </c>
      <c r="B308" s="3" t="s">
        <v>13</v>
      </c>
      <c r="C308" s="3">
        <v>1950</v>
      </c>
      <c r="D308" s="3"/>
      <c r="E308" s="3"/>
      <c r="F308" s="3"/>
      <c r="G308" s="4">
        <v>39.194612999999997</v>
      </c>
      <c r="H308" s="4">
        <v>-74.657435000000007</v>
      </c>
      <c r="I308" s="14" t="s">
        <v>15</v>
      </c>
      <c r="J308" s="5" t="s">
        <v>14</v>
      </c>
      <c r="K308" s="6"/>
      <c r="L308" s="12"/>
      <c r="M308" s="7">
        <v>134000</v>
      </c>
      <c r="N308" s="12">
        <f t="shared" si="82"/>
        <v>102450.37</v>
      </c>
      <c r="O308" s="12"/>
      <c r="P308" s="12"/>
      <c r="Q308" s="184"/>
      <c r="R308" s="13"/>
      <c r="S308" s="9">
        <v>0.10100000000000001</v>
      </c>
      <c r="T308" s="8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</row>
    <row r="309" spans="1:42" x14ac:dyDescent="0.25">
      <c r="A309" s="2" t="s">
        <v>67</v>
      </c>
      <c r="B309" s="3" t="s">
        <v>13</v>
      </c>
      <c r="C309" s="11">
        <v>1992</v>
      </c>
      <c r="D309" s="11"/>
      <c r="E309" s="11"/>
      <c r="F309" s="11"/>
      <c r="G309" s="4">
        <v>39.194612999999997</v>
      </c>
      <c r="H309" s="4">
        <v>-74.657435000000007</v>
      </c>
      <c r="I309" s="14" t="s">
        <v>1</v>
      </c>
      <c r="J309" s="5" t="s">
        <v>14</v>
      </c>
      <c r="K309" s="6"/>
      <c r="L309" s="12"/>
      <c r="M309" s="12">
        <v>23000</v>
      </c>
      <c r="N309" s="12">
        <f t="shared" si="82"/>
        <v>17584.764999999999</v>
      </c>
      <c r="O309" s="12"/>
      <c r="P309" s="12"/>
      <c r="Q309" s="184"/>
      <c r="R309" s="19">
        <v>102679</v>
      </c>
      <c r="S309" s="9">
        <v>0.58799999999999997</v>
      </c>
      <c r="T309" s="8">
        <f>+R309/S310</f>
        <v>268793.19371727749</v>
      </c>
      <c r="U309" s="133">
        <f t="shared" ref="U309:U313" si="83">T309/N309</f>
        <v>15.285572125489166</v>
      </c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</row>
    <row r="310" spans="1:42" x14ac:dyDescent="0.25">
      <c r="A310" s="2" t="s">
        <v>67</v>
      </c>
      <c r="B310" s="3" t="s">
        <v>13</v>
      </c>
      <c r="C310" s="3">
        <v>1981</v>
      </c>
      <c r="D310" s="3"/>
      <c r="E310" s="3"/>
      <c r="F310" s="3"/>
      <c r="G310" s="4">
        <v>39.194612999999997</v>
      </c>
      <c r="H310" s="4">
        <v>-74.657435000000007</v>
      </c>
      <c r="I310" s="5" t="s">
        <v>14</v>
      </c>
      <c r="J310" s="5" t="s">
        <v>14</v>
      </c>
      <c r="K310" s="6"/>
      <c r="L310" s="12"/>
      <c r="M310" s="7">
        <v>36000</v>
      </c>
      <c r="N310" s="12">
        <f t="shared" si="82"/>
        <v>27523.98</v>
      </c>
      <c r="O310" s="12"/>
      <c r="P310" s="12"/>
      <c r="Q310" s="184"/>
      <c r="R310" s="8">
        <v>93240</v>
      </c>
      <c r="S310" s="9">
        <v>0.38200000000000001</v>
      </c>
      <c r="T310" s="8">
        <f t="shared" ref="T310:T318" si="84">+R310/S310</f>
        <v>244083.76963350785</v>
      </c>
      <c r="U310" s="133">
        <f t="shared" si="83"/>
        <v>8.8680405098938397</v>
      </c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</row>
    <row r="311" spans="1:42" x14ac:dyDescent="0.25">
      <c r="A311" s="2" t="s">
        <v>67</v>
      </c>
      <c r="B311" s="3" t="s">
        <v>13</v>
      </c>
      <c r="C311" s="3">
        <v>1982</v>
      </c>
      <c r="D311" s="3"/>
      <c r="E311" s="3"/>
      <c r="F311" s="3"/>
      <c r="G311" s="4">
        <v>39.194612999999997</v>
      </c>
      <c r="H311" s="4">
        <v>-74.657435000000007</v>
      </c>
      <c r="I311" s="14" t="s">
        <v>24</v>
      </c>
      <c r="J311" s="5" t="s">
        <v>14</v>
      </c>
      <c r="K311" s="6"/>
      <c r="L311" s="12"/>
      <c r="M311" s="7">
        <v>45000</v>
      </c>
      <c r="N311" s="12">
        <f t="shared" si="82"/>
        <v>34404.974999999999</v>
      </c>
      <c r="O311" s="12"/>
      <c r="P311" s="12"/>
      <c r="Q311" s="184"/>
      <c r="R311" s="8">
        <v>90000</v>
      </c>
      <c r="S311" s="9">
        <v>0.40100000000000002</v>
      </c>
      <c r="T311" s="8">
        <f t="shared" si="84"/>
        <v>224438.90274314213</v>
      </c>
      <c r="U311" s="133">
        <f t="shared" si="83"/>
        <v>6.52344327362953</v>
      </c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</row>
    <row r="312" spans="1:42" x14ac:dyDescent="0.25">
      <c r="A312" s="2" t="s">
        <v>67</v>
      </c>
      <c r="B312" s="3" t="s">
        <v>13</v>
      </c>
      <c r="C312" s="3">
        <v>1984</v>
      </c>
      <c r="D312" s="3"/>
      <c r="E312" s="3"/>
      <c r="F312" s="3"/>
      <c r="G312" s="4">
        <v>39.194612999999997</v>
      </c>
      <c r="H312" s="4">
        <v>-74.657435000000007</v>
      </c>
      <c r="I312" s="14" t="s">
        <v>1</v>
      </c>
      <c r="J312" s="5" t="s">
        <v>14</v>
      </c>
      <c r="K312" s="6"/>
      <c r="L312" s="12"/>
      <c r="M312" s="7">
        <v>120000</v>
      </c>
      <c r="N312" s="12">
        <f t="shared" si="82"/>
        <v>91746.599999999991</v>
      </c>
      <c r="O312" s="12"/>
      <c r="P312" s="12"/>
      <c r="Q312" s="184"/>
      <c r="R312" s="8">
        <v>2453600</v>
      </c>
      <c r="S312" s="9">
        <v>0.437</v>
      </c>
      <c r="T312" s="8">
        <f t="shared" si="84"/>
        <v>5614645.308924485</v>
      </c>
      <c r="U312" s="133">
        <f t="shared" si="83"/>
        <v>61.197312041258044</v>
      </c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</row>
    <row r="313" spans="1:42" x14ac:dyDescent="0.25">
      <c r="A313" s="2" t="s">
        <v>67</v>
      </c>
      <c r="B313" s="3" t="s">
        <v>13</v>
      </c>
      <c r="C313" s="3">
        <v>2009</v>
      </c>
      <c r="D313" s="3"/>
      <c r="E313" s="3"/>
      <c r="F313" s="3"/>
      <c r="G313" s="4">
        <v>39.194612999999997</v>
      </c>
      <c r="H313" s="4">
        <v>-74.657435000000007</v>
      </c>
      <c r="I313" s="5" t="s">
        <v>1</v>
      </c>
      <c r="J313" s="5" t="s">
        <v>16</v>
      </c>
      <c r="K313" s="6">
        <v>10258</v>
      </c>
      <c r="L313" s="12">
        <f>K313*0.3048</f>
        <v>3126.6384000000003</v>
      </c>
      <c r="M313" s="7">
        <v>891000</v>
      </c>
      <c r="N313" s="12">
        <f t="shared" si="82"/>
        <v>681218.505</v>
      </c>
      <c r="O313" s="12"/>
      <c r="P313" s="12">
        <f>N313/L313</f>
        <v>217.87569198919834</v>
      </c>
      <c r="Q313" s="184">
        <f t="shared" ref="Q313:Q315" si="85">P313/10</f>
        <v>21.787569198919833</v>
      </c>
      <c r="R313" s="8">
        <v>6026820.3300000001</v>
      </c>
      <c r="S313" s="20">
        <v>0.90100000000000002</v>
      </c>
      <c r="T313" s="8">
        <f t="shared" si="84"/>
        <v>6689034.7724750275</v>
      </c>
      <c r="U313" s="133">
        <f t="shared" si="83"/>
        <v>9.8192205927744549</v>
      </c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</row>
    <row r="314" spans="1:42" x14ac:dyDescent="0.25">
      <c r="A314" s="2" t="s">
        <v>67</v>
      </c>
      <c r="B314" s="3" t="s">
        <v>13</v>
      </c>
      <c r="C314" s="3">
        <v>2001</v>
      </c>
      <c r="D314" s="3"/>
      <c r="E314" s="3"/>
      <c r="F314" s="3"/>
      <c r="G314" s="4">
        <v>39.194612999999997</v>
      </c>
      <c r="H314" s="4">
        <v>-74.657435000000007</v>
      </c>
      <c r="I314" s="5" t="s">
        <v>1</v>
      </c>
      <c r="J314" s="5" t="s">
        <v>16</v>
      </c>
      <c r="K314" s="6">
        <v>4500</v>
      </c>
      <c r="L314" s="12">
        <f>K314*0.3048</f>
        <v>1371.6000000000001</v>
      </c>
      <c r="M314" s="7">
        <v>506139</v>
      </c>
      <c r="N314" s="12">
        <f t="shared" si="82"/>
        <v>386971.103145</v>
      </c>
      <c r="O314" s="12"/>
      <c r="P314" s="12">
        <f>N314/L314</f>
        <v>282.13116298118985</v>
      </c>
      <c r="Q314" s="184">
        <f t="shared" si="85"/>
        <v>28.213116298118983</v>
      </c>
      <c r="R314" s="26"/>
      <c r="S314" s="9">
        <v>0.746</v>
      </c>
      <c r="T314" s="8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</row>
    <row r="315" spans="1:42" x14ac:dyDescent="0.25">
      <c r="A315" s="2" t="s">
        <v>67</v>
      </c>
      <c r="B315" s="3" t="s">
        <v>13</v>
      </c>
      <c r="C315" s="3">
        <v>2012</v>
      </c>
      <c r="D315" s="3"/>
      <c r="E315" s="3"/>
      <c r="F315" s="3"/>
      <c r="G315" s="4">
        <v>39.194612999999997</v>
      </c>
      <c r="H315" s="4">
        <v>-74.657435000000007</v>
      </c>
      <c r="I315" s="14" t="s">
        <v>15</v>
      </c>
      <c r="J315" s="5" t="s">
        <v>17</v>
      </c>
      <c r="K315" s="6">
        <v>2400</v>
      </c>
      <c r="L315" s="12">
        <f>K315*0.3048</f>
        <v>731.52</v>
      </c>
      <c r="M315" s="6">
        <v>450000</v>
      </c>
      <c r="N315" s="12">
        <f t="shared" si="82"/>
        <v>344049.75</v>
      </c>
      <c r="O315" s="12"/>
      <c r="P315" s="12">
        <f>N315/L315</f>
        <v>470.32172736220474</v>
      </c>
      <c r="Q315" s="184">
        <f t="shared" si="85"/>
        <v>47.032172736220474</v>
      </c>
      <c r="R315" s="13">
        <v>4200000</v>
      </c>
      <c r="S315" s="20">
        <v>0.96399999999999997</v>
      </c>
      <c r="T315" s="8">
        <f t="shared" si="84"/>
        <v>4356846.4730290454</v>
      </c>
      <c r="U315" s="133">
        <f t="shared" ref="U315:U318" si="86">T315/N315</f>
        <v>12.663419964784294</v>
      </c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</row>
    <row r="316" spans="1:42" x14ac:dyDescent="0.25">
      <c r="A316" s="2" t="s">
        <v>67</v>
      </c>
      <c r="B316" s="3" t="s">
        <v>13</v>
      </c>
      <c r="C316" s="3">
        <v>1984</v>
      </c>
      <c r="D316" s="3"/>
      <c r="E316" s="3"/>
      <c r="F316" s="3"/>
      <c r="G316" s="4">
        <v>39.194612999999997</v>
      </c>
      <c r="H316" s="4">
        <v>-74.657435000000007</v>
      </c>
      <c r="I316" s="14" t="s">
        <v>1</v>
      </c>
      <c r="J316" s="5" t="s">
        <v>14</v>
      </c>
      <c r="K316" s="6"/>
      <c r="L316" s="12"/>
      <c r="M316" s="7">
        <v>592000</v>
      </c>
      <c r="N316" s="12">
        <f t="shared" si="82"/>
        <v>452616.56</v>
      </c>
      <c r="O316" s="12"/>
      <c r="P316" s="12"/>
      <c r="Q316" s="184"/>
      <c r="R316" s="8">
        <v>3929142</v>
      </c>
      <c r="S316" s="9">
        <v>0.437</v>
      </c>
      <c r="T316" s="8">
        <f t="shared" si="84"/>
        <v>8991171.6247139592</v>
      </c>
      <c r="U316" s="133">
        <f t="shared" si="86"/>
        <v>19.864875524470335</v>
      </c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</row>
    <row r="317" spans="1:42" x14ac:dyDescent="0.25">
      <c r="A317" s="2" t="s">
        <v>67</v>
      </c>
      <c r="B317" s="3" t="s">
        <v>13</v>
      </c>
      <c r="C317" s="3">
        <v>1984</v>
      </c>
      <c r="D317" s="3"/>
      <c r="E317" s="3"/>
      <c r="F317" s="3"/>
      <c r="G317" s="4">
        <v>39.194612999999997</v>
      </c>
      <c r="H317" s="4">
        <v>-74.657435000000007</v>
      </c>
      <c r="I317" s="14" t="s">
        <v>1</v>
      </c>
      <c r="J317" s="5" t="s">
        <v>14</v>
      </c>
      <c r="K317" s="6"/>
      <c r="L317" s="12"/>
      <c r="M317" s="7">
        <v>1600000</v>
      </c>
      <c r="N317" s="12">
        <f t="shared" si="82"/>
        <v>1223288</v>
      </c>
      <c r="O317" s="12"/>
      <c r="P317" s="12"/>
      <c r="Q317" s="184"/>
      <c r="R317" s="8">
        <v>6451613</v>
      </c>
      <c r="S317" s="9">
        <v>0.437</v>
      </c>
      <c r="T317" s="8">
        <f t="shared" si="84"/>
        <v>14763416.475972541</v>
      </c>
      <c r="U317" s="133">
        <f t="shared" si="86"/>
        <v>12.068635085092424</v>
      </c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</row>
    <row r="318" spans="1:42" s="133" customFormat="1" x14ac:dyDescent="0.25">
      <c r="A318" s="2" t="s">
        <v>67</v>
      </c>
      <c r="B318" s="3"/>
      <c r="C318" s="3">
        <v>2015</v>
      </c>
      <c r="D318" s="3"/>
      <c r="E318" s="3"/>
      <c r="F318" s="3"/>
      <c r="G318" s="4"/>
      <c r="H318" s="4"/>
      <c r="I318" s="14"/>
      <c r="J318" s="5"/>
      <c r="K318" s="6">
        <v>84480</v>
      </c>
      <c r="L318" s="12">
        <f>K318*0.3048</f>
        <v>25749.504000000001</v>
      </c>
      <c r="M318" s="7">
        <v>4700000</v>
      </c>
      <c r="N318" s="12">
        <f t="shared" si="82"/>
        <v>3593408.5</v>
      </c>
      <c r="O318" s="12"/>
      <c r="P318" s="12">
        <f>N318/L318</f>
        <v>139.55253274004812</v>
      </c>
      <c r="Q318" s="184">
        <f>P318/10</f>
        <v>13.955253274004813</v>
      </c>
      <c r="R318" s="8">
        <v>67845356</v>
      </c>
      <c r="S318" s="133">
        <v>0.995</v>
      </c>
      <c r="T318" s="8">
        <f t="shared" si="84"/>
        <v>68186287.437185928</v>
      </c>
      <c r="U318" s="133">
        <f t="shared" si="86"/>
        <v>18.975378790690211</v>
      </c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</row>
    <row r="319" spans="1:42" s="112" customFormat="1" ht="14.5" x14ac:dyDescent="0.35">
      <c r="A319" s="103" t="s">
        <v>111</v>
      </c>
      <c r="B319" s="104"/>
      <c r="C319" s="104">
        <f>MAX(C309:C317)-MIN(C309:C317)</f>
        <v>31</v>
      </c>
      <c r="D319" s="104">
        <f>COUNT(C307:C318)</f>
        <v>12</v>
      </c>
      <c r="E319" s="104">
        <f>MIN(C307:C318)</f>
        <v>1950</v>
      </c>
      <c r="F319" s="104">
        <f>MAX(C309:C318)</f>
        <v>2015</v>
      </c>
      <c r="G319" s="105">
        <v>39.194612999999997</v>
      </c>
      <c r="H319" s="105">
        <v>-74.657435000000007</v>
      </c>
      <c r="I319" s="106" t="str">
        <f>INDEX(I308:I317,MODE(MATCH(I308:I317,I308:I317,0)))</f>
        <v>State</v>
      </c>
      <c r="J319" s="117"/>
      <c r="K319" s="107">
        <f>AVERAGE(K309:K318)</f>
        <v>25409.5</v>
      </c>
      <c r="L319" s="107">
        <f>AVERAGE(L309:L318)</f>
        <v>7744.8155999999999</v>
      </c>
      <c r="M319" s="107">
        <f>AVERAGE(M309:M318)</f>
        <v>896313.9</v>
      </c>
      <c r="N319" s="107">
        <f>AVERAGE(N309:N318)</f>
        <v>685281.27381450008</v>
      </c>
      <c r="O319" s="107"/>
      <c r="P319" s="107">
        <f>AVERAGE(P307:P318)</f>
        <v>277.47027876816026</v>
      </c>
      <c r="Q319" s="107"/>
      <c r="R319" s="110">
        <f>MEDIAN(R309:R317)</f>
        <v>3191371</v>
      </c>
      <c r="S319" s="110">
        <f>MEDIAN(S309:S317)</f>
        <v>0.437</v>
      </c>
      <c r="T319" s="107">
        <f>AVERAGE(T309:T318)</f>
        <v>12148746.439821657</v>
      </c>
      <c r="U319" s="107">
        <f>AVERAGE(U307:U318)</f>
        <v>18.362877545342474</v>
      </c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3"/>
      <c r="AJ319" s="113"/>
      <c r="AK319" s="113"/>
      <c r="AL319" s="113"/>
      <c r="AM319" s="113"/>
      <c r="AN319" s="113"/>
      <c r="AO319" s="113"/>
      <c r="AP319" s="113"/>
    </row>
    <row r="320" spans="1:42" x14ac:dyDescent="0.25">
      <c r="A320" s="46" t="s">
        <v>65</v>
      </c>
      <c r="B320" s="63" t="s">
        <v>13</v>
      </c>
      <c r="C320" s="63">
        <v>1962</v>
      </c>
      <c r="D320" s="63"/>
      <c r="E320" s="63"/>
      <c r="F320" s="63"/>
      <c r="G320" s="40">
        <v>39.166421999999997</v>
      </c>
      <c r="H320" s="40">
        <v>-74.682469999999995</v>
      </c>
      <c r="I320" s="48" t="s">
        <v>15</v>
      </c>
      <c r="J320" s="41" t="s">
        <v>35</v>
      </c>
      <c r="K320" s="64">
        <v>35200</v>
      </c>
      <c r="L320" s="12">
        <f>K320*0.3048</f>
        <v>10728.960000000001</v>
      </c>
      <c r="M320" s="65">
        <v>905082</v>
      </c>
      <c r="N320" s="12">
        <f t="shared" ref="N320:N331" si="87">M320*0.764555</f>
        <v>691984.96851000004</v>
      </c>
      <c r="O320" s="12"/>
      <c r="P320" s="12">
        <f>N320/L320</f>
        <v>64.496928734005905</v>
      </c>
      <c r="Q320" s="184">
        <f t="shared" ref="Q320:Q328" si="88">P320/10</f>
        <v>6.4496928734005907</v>
      </c>
      <c r="R320" s="66">
        <v>1066800</v>
      </c>
      <c r="S320" s="44">
        <v>0.127</v>
      </c>
      <c r="T320" s="45">
        <f>+R320/S320</f>
        <v>8400000</v>
      </c>
      <c r="U320" s="133">
        <f t="shared" ref="U320:U321" si="89">T320/N320</f>
        <v>12.138992004533129</v>
      </c>
      <c r="Y320" s="10"/>
      <c r="Z320" s="10"/>
      <c r="AA320" s="10"/>
      <c r="AB320" s="10"/>
      <c r="AC320" s="10"/>
      <c r="AD320" s="10"/>
      <c r="AE320" s="10"/>
      <c r="AF320" s="10"/>
      <c r="AG320" s="10"/>
      <c r="AH320" s="57"/>
      <c r="AI320" s="57"/>
      <c r="AJ320" s="57"/>
      <c r="AK320" s="57"/>
      <c r="AL320" s="57"/>
      <c r="AM320" s="57"/>
      <c r="AN320" s="57"/>
      <c r="AO320" s="57"/>
      <c r="AP320" s="57"/>
    </row>
    <row r="321" spans="1:42" x14ac:dyDescent="0.25">
      <c r="A321" s="29" t="s">
        <v>66</v>
      </c>
      <c r="B321" s="3" t="s">
        <v>13</v>
      </c>
      <c r="C321" s="3">
        <v>1965</v>
      </c>
      <c r="D321" s="3"/>
      <c r="E321" s="3"/>
      <c r="F321" s="3"/>
      <c r="G321" s="4">
        <v>39.141177999999996</v>
      </c>
      <c r="H321" s="4">
        <v>-74.699749999999995</v>
      </c>
      <c r="I321" s="14" t="s">
        <v>1</v>
      </c>
      <c r="J321" s="5" t="s">
        <v>14</v>
      </c>
      <c r="K321" s="6"/>
      <c r="L321" s="12"/>
      <c r="M321" s="7">
        <v>60000</v>
      </c>
      <c r="N321" s="12">
        <f t="shared" si="87"/>
        <v>45873.299999999996</v>
      </c>
      <c r="O321" s="12"/>
      <c r="P321" s="12"/>
      <c r="Q321" s="184"/>
      <c r="R321" s="8">
        <v>63845</v>
      </c>
      <c r="S321" s="9">
        <v>0.13200000000000001</v>
      </c>
      <c r="T321" s="8">
        <f>+R321/S321</f>
        <v>483674.24242424237</v>
      </c>
      <c r="U321" s="133">
        <f t="shared" si="89"/>
        <v>10.543698456929029</v>
      </c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</row>
    <row r="322" spans="1:42" x14ac:dyDescent="0.25">
      <c r="A322" s="29" t="s">
        <v>66</v>
      </c>
      <c r="B322" s="3" t="s">
        <v>13</v>
      </c>
      <c r="C322" s="3">
        <v>1978</v>
      </c>
      <c r="D322" s="3"/>
      <c r="E322" s="3"/>
      <c r="F322" s="3"/>
      <c r="G322" s="4">
        <v>39.141177999999996</v>
      </c>
      <c r="H322" s="4">
        <v>-74.699749999999995</v>
      </c>
      <c r="I322" s="5" t="s">
        <v>14</v>
      </c>
      <c r="J322" s="5" t="s">
        <v>14</v>
      </c>
      <c r="K322" s="6"/>
      <c r="L322" s="12"/>
      <c r="M322" s="7">
        <v>700000</v>
      </c>
      <c r="N322" s="12">
        <f t="shared" si="87"/>
        <v>535188.5</v>
      </c>
      <c r="O322" s="12"/>
      <c r="P322" s="12"/>
      <c r="Q322" s="184"/>
      <c r="R322" s="13"/>
      <c r="S322" s="9">
        <v>0.27400000000000002</v>
      </c>
      <c r="T322" s="8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</row>
    <row r="323" spans="1:42" x14ac:dyDescent="0.25">
      <c r="A323" s="29" t="s">
        <v>66</v>
      </c>
      <c r="B323" s="3" t="s">
        <v>13</v>
      </c>
      <c r="C323" s="3">
        <v>1981</v>
      </c>
      <c r="D323" s="3"/>
      <c r="E323" s="3"/>
      <c r="F323" s="3"/>
      <c r="G323" s="4">
        <v>39.141177999999996</v>
      </c>
      <c r="H323" s="4">
        <v>-74.699749999999995</v>
      </c>
      <c r="I323" s="5" t="s">
        <v>14</v>
      </c>
      <c r="J323" s="5" t="s">
        <v>14</v>
      </c>
      <c r="K323" s="6"/>
      <c r="L323" s="12"/>
      <c r="M323" s="7">
        <v>20880</v>
      </c>
      <c r="N323" s="12">
        <f t="shared" si="87"/>
        <v>15963.9084</v>
      </c>
      <c r="O323" s="12"/>
      <c r="P323" s="12"/>
      <c r="Q323" s="184"/>
      <c r="R323" s="8">
        <v>54080</v>
      </c>
      <c r="S323" s="9">
        <v>0.38200000000000001</v>
      </c>
      <c r="T323" s="8">
        <f t="shared" ref="T323:T331" si="90">+R323/S323</f>
        <v>141570.68062827224</v>
      </c>
      <c r="U323" s="133">
        <f t="shared" ref="U323:U330" si="91">T323/N323</f>
        <v>8.8681716958656711</v>
      </c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</row>
    <row r="324" spans="1:42" x14ac:dyDescent="0.25">
      <c r="A324" s="29" t="s">
        <v>66</v>
      </c>
      <c r="B324" s="3" t="s">
        <v>13</v>
      </c>
      <c r="C324" s="3">
        <v>1983</v>
      </c>
      <c r="D324" s="3"/>
      <c r="E324" s="3"/>
      <c r="F324" s="3"/>
      <c r="G324" s="4">
        <v>39.141177999999996</v>
      </c>
      <c r="H324" s="4">
        <v>-74.699749999999995</v>
      </c>
      <c r="I324" s="14" t="s">
        <v>1</v>
      </c>
      <c r="J324" s="5" t="s">
        <v>14</v>
      </c>
      <c r="K324" s="6"/>
      <c r="L324" s="12"/>
      <c r="M324" s="7">
        <v>45000</v>
      </c>
      <c r="N324" s="12">
        <f t="shared" si="87"/>
        <v>34404.974999999999</v>
      </c>
      <c r="O324" s="12"/>
      <c r="P324" s="12"/>
      <c r="Q324" s="184"/>
      <c r="R324" s="8">
        <v>194294</v>
      </c>
      <c r="S324" s="9">
        <v>0.41799999999999998</v>
      </c>
      <c r="T324" s="8">
        <f t="shared" si="90"/>
        <v>464818.18181818182</v>
      </c>
      <c r="U324" s="133">
        <f t="shared" si="91"/>
        <v>13.510202574429478</v>
      </c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</row>
    <row r="325" spans="1:42" ht="13.25" customHeight="1" x14ac:dyDescent="0.35">
      <c r="A325" s="29" t="s">
        <v>66</v>
      </c>
      <c r="B325" s="3" t="s">
        <v>13</v>
      </c>
      <c r="C325" s="3">
        <v>1984</v>
      </c>
      <c r="D325" s="3"/>
      <c r="E325" s="3"/>
      <c r="F325" s="3"/>
      <c r="G325" s="181">
        <v>39.141177999999996</v>
      </c>
      <c r="H325" s="181">
        <v>-74.699749999999995</v>
      </c>
      <c r="I325" s="14" t="s">
        <v>1</v>
      </c>
      <c r="J325" s="5" t="s">
        <v>14</v>
      </c>
      <c r="K325" s="6"/>
      <c r="L325" s="12"/>
      <c r="M325" s="7">
        <v>800000</v>
      </c>
      <c r="N325" s="12">
        <f t="shared" si="87"/>
        <v>611644</v>
      </c>
      <c r="O325" s="12"/>
      <c r="P325" s="12"/>
      <c r="Q325" s="184"/>
      <c r="R325" s="8">
        <v>3652500</v>
      </c>
      <c r="S325" s="9">
        <v>0.437</v>
      </c>
      <c r="T325" s="8">
        <f t="shared" si="90"/>
        <v>8358123.5697940504</v>
      </c>
      <c r="U325" s="133">
        <f t="shared" si="91"/>
        <v>13.665013585997819</v>
      </c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</row>
    <row r="326" spans="1:42" x14ac:dyDescent="0.25">
      <c r="A326" s="29" t="s">
        <v>66</v>
      </c>
      <c r="B326" s="3" t="s">
        <v>13</v>
      </c>
      <c r="C326" s="3">
        <v>1987</v>
      </c>
      <c r="D326" s="3"/>
      <c r="E326" s="3"/>
      <c r="F326" s="3"/>
      <c r="G326" s="4">
        <v>39.141177999999996</v>
      </c>
      <c r="H326" s="4">
        <v>-74.699749999999995</v>
      </c>
      <c r="I326" s="5" t="s">
        <v>14</v>
      </c>
      <c r="J326" s="5" t="s">
        <v>14</v>
      </c>
      <c r="K326" s="6"/>
      <c r="L326" s="12"/>
      <c r="M326" s="7">
        <v>158000</v>
      </c>
      <c r="N326" s="12">
        <f t="shared" si="87"/>
        <v>120799.69</v>
      </c>
      <c r="O326" s="12"/>
      <c r="P326" s="12"/>
      <c r="Q326" s="184"/>
      <c r="R326" s="8">
        <v>528244</v>
      </c>
      <c r="S326" s="9">
        <v>0.47599999999999998</v>
      </c>
      <c r="T326" s="8">
        <f t="shared" si="90"/>
        <v>1109756.3025210085</v>
      </c>
      <c r="U326" s="133">
        <f t="shared" si="91"/>
        <v>9.1867479338813585</v>
      </c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</row>
    <row r="327" spans="1:42" x14ac:dyDescent="0.25">
      <c r="A327" s="29" t="s">
        <v>66</v>
      </c>
      <c r="B327" s="3" t="s">
        <v>13</v>
      </c>
      <c r="C327" s="21">
        <v>2009</v>
      </c>
      <c r="D327" s="21"/>
      <c r="E327" s="21"/>
      <c r="F327" s="21"/>
      <c r="G327" s="4">
        <v>39.141177999999996</v>
      </c>
      <c r="H327" s="4">
        <v>-74.699749999999995</v>
      </c>
      <c r="I327" s="5" t="s">
        <v>1</v>
      </c>
      <c r="J327" s="18" t="s">
        <v>14</v>
      </c>
      <c r="K327" s="24">
        <v>6500</v>
      </c>
      <c r="L327" s="12">
        <f>K327*0.3048</f>
        <v>1981.2</v>
      </c>
      <c r="M327" s="25">
        <v>216630</v>
      </c>
      <c r="N327" s="12">
        <f t="shared" si="87"/>
        <v>165625.54965</v>
      </c>
      <c r="O327" s="12"/>
      <c r="P327" s="12">
        <f>N327/L327</f>
        <v>83.598601680799518</v>
      </c>
      <c r="Q327" s="184">
        <f t="shared" si="88"/>
        <v>8.3598601680799511</v>
      </c>
      <c r="R327" s="26">
        <v>1987684</v>
      </c>
      <c r="S327" s="20">
        <v>0.90100000000000002</v>
      </c>
      <c r="T327" s="8">
        <f t="shared" si="90"/>
        <v>2206086.5704772472</v>
      </c>
      <c r="U327" s="133">
        <f t="shared" si="91"/>
        <v>13.319723769304618</v>
      </c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</row>
    <row r="328" spans="1:42" x14ac:dyDescent="0.25">
      <c r="A328" s="29" t="s">
        <v>66</v>
      </c>
      <c r="B328" s="3" t="s">
        <v>13</v>
      </c>
      <c r="C328" s="21">
        <v>2009</v>
      </c>
      <c r="D328" s="21"/>
      <c r="E328" s="21"/>
      <c r="F328" s="21"/>
      <c r="G328" s="4">
        <v>39.141177999999996</v>
      </c>
      <c r="H328" s="4">
        <v>-74.699749999999995</v>
      </c>
      <c r="I328" s="5" t="s">
        <v>1</v>
      </c>
      <c r="J328" s="18" t="s">
        <v>14</v>
      </c>
      <c r="K328" s="24">
        <v>3500</v>
      </c>
      <c r="L328" s="12">
        <f>K328*0.3048</f>
        <v>1066.8</v>
      </c>
      <c r="M328" s="25">
        <v>178167</v>
      </c>
      <c r="N328" s="12">
        <f t="shared" si="87"/>
        <v>136218.47068500001</v>
      </c>
      <c r="O328" s="12"/>
      <c r="P328" s="12">
        <f>N328/L328</f>
        <v>127.68885516029248</v>
      </c>
      <c r="Q328" s="184">
        <f t="shared" si="88"/>
        <v>12.768885516029247</v>
      </c>
      <c r="R328" s="26">
        <v>1626286</v>
      </c>
      <c r="S328" s="20">
        <v>0.90100000000000002</v>
      </c>
      <c r="T328" s="8">
        <f t="shared" si="90"/>
        <v>1804978.9123196448</v>
      </c>
      <c r="U328" s="133">
        <f t="shared" si="91"/>
        <v>13.250617946618924</v>
      </c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</row>
    <row r="329" spans="1:42" x14ac:dyDescent="0.25">
      <c r="A329" s="29" t="s">
        <v>66</v>
      </c>
      <c r="B329" s="34" t="s">
        <v>13</v>
      </c>
      <c r="C329" s="58">
        <v>2010</v>
      </c>
      <c r="D329" s="58"/>
      <c r="E329" s="58"/>
      <c r="F329" s="58"/>
      <c r="G329" s="56">
        <v>39.141177999999996</v>
      </c>
      <c r="H329" s="56">
        <v>-74.699749999999995</v>
      </c>
      <c r="I329" s="5" t="s">
        <v>1</v>
      </c>
      <c r="J329" s="18" t="s">
        <v>14</v>
      </c>
      <c r="K329" s="6">
        <v>5500</v>
      </c>
      <c r="L329" s="12">
        <f>K329*0.3048</f>
        <v>1676.4</v>
      </c>
      <c r="M329" s="7">
        <v>700000</v>
      </c>
      <c r="N329" s="12">
        <f t="shared" si="87"/>
        <v>535188.5</v>
      </c>
      <c r="O329" s="12"/>
      <c r="P329" s="12">
        <f>N329/L329</f>
        <v>319.248687664042</v>
      </c>
      <c r="Q329" s="179">
        <f>P329/10</f>
        <v>31.924868766404199</v>
      </c>
      <c r="R329" s="26">
        <v>6000000</v>
      </c>
      <c r="S329" s="9">
        <v>0.91600000000000004</v>
      </c>
      <c r="T329" s="8">
        <f t="shared" si="90"/>
        <v>6550218.3406113535</v>
      </c>
      <c r="U329" s="133">
        <f t="shared" si="91"/>
        <v>12.239086491229452</v>
      </c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</row>
    <row r="330" spans="1:42" s="133" customFormat="1" x14ac:dyDescent="0.25">
      <c r="A330" s="29" t="s">
        <v>66</v>
      </c>
      <c r="B330" s="34"/>
      <c r="C330" s="58">
        <v>2016</v>
      </c>
      <c r="D330" s="58"/>
      <c r="E330" s="58"/>
      <c r="F330" s="58"/>
      <c r="G330" s="56"/>
      <c r="H330" s="56"/>
      <c r="I330" s="5"/>
      <c r="J330" s="18"/>
      <c r="K330" s="6"/>
      <c r="L330" s="12">
        <v>10782.6</v>
      </c>
      <c r="M330" s="7">
        <v>2590000</v>
      </c>
      <c r="N330" s="12">
        <f t="shared" si="87"/>
        <v>1980197.45</v>
      </c>
      <c r="O330" s="12">
        <f>N330/L330*7780</f>
        <v>1428777.4897520079</v>
      </c>
      <c r="P330" s="12">
        <f>N330/L330</f>
        <v>183.64749225604214</v>
      </c>
      <c r="Q330" s="184">
        <f>P330/10</f>
        <v>18.364749225604214</v>
      </c>
      <c r="R330" s="174">
        <v>57609736</v>
      </c>
      <c r="S330" s="9">
        <v>1</v>
      </c>
      <c r="T330" s="8">
        <f t="shared" si="90"/>
        <v>57609736</v>
      </c>
      <c r="U330" s="133">
        <f t="shared" si="91"/>
        <v>29.092925051489186</v>
      </c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</row>
    <row r="331" spans="1:42" ht="14.4" customHeight="1" x14ac:dyDescent="0.25">
      <c r="A331" s="29" t="s">
        <v>66</v>
      </c>
      <c r="B331" s="3" t="s">
        <v>13</v>
      </c>
      <c r="C331" s="11">
        <v>2012</v>
      </c>
      <c r="D331" s="11"/>
      <c r="E331" s="11"/>
      <c r="F331" s="11"/>
      <c r="G331" s="182">
        <v>39.141177999999996</v>
      </c>
      <c r="H331" s="182">
        <v>-74.699749999999995</v>
      </c>
      <c r="I331" s="14" t="s">
        <v>15</v>
      </c>
      <c r="J331" s="5" t="s">
        <v>17</v>
      </c>
      <c r="K331" s="12">
        <v>14750</v>
      </c>
      <c r="L331" s="12">
        <f>K331*0.3048</f>
        <v>4495.8</v>
      </c>
      <c r="M331" s="12">
        <v>394797</v>
      </c>
      <c r="N331" s="12">
        <f t="shared" si="87"/>
        <v>301844.02033500001</v>
      </c>
      <c r="O331" s="12"/>
      <c r="P331" s="12">
        <f>N331/L331</f>
        <v>67.139112134659015</v>
      </c>
      <c r="Q331" s="179">
        <f>P331/10</f>
        <v>6.7139112134659014</v>
      </c>
      <c r="R331" s="19">
        <v>5000000</v>
      </c>
      <c r="S331" s="20">
        <v>0.96399999999999997</v>
      </c>
      <c r="T331" s="8">
        <f t="shared" si="90"/>
        <v>5186721.9917012453</v>
      </c>
      <c r="U331" s="133">
        <f>T331/N331</f>
        <v>17.183451194245258</v>
      </c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</row>
    <row r="332" spans="1:42" s="112" customFormat="1" ht="14.5" x14ac:dyDescent="0.35">
      <c r="A332" s="103" t="s">
        <v>112</v>
      </c>
      <c r="B332" s="104"/>
      <c r="C332" s="104">
        <f>MAX(C321:C331)-MIN(C321:C331)</f>
        <v>51</v>
      </c>
      <c r="D332" s="104">
        <f>COUNT(C320:C331)</f>
        <v>12</v>
      </c>
      <c r="E332" s="104">
        <f>MIN(C320:C331)</f>
        <v>1962</v>
      </c>
      <c r="F332" s="104">
        <f>MAX(C321:C331)</f>
        <v>2016</v>
      </c>
      <c r="G332" s="105">
        <v>39.141177999999996</v>
      </c>
      <c r="H332" s="105">
        <v>-74.699749999999995</v>
      </c>
      <c r="I332" s="106" t="e">
        <f>INDEX(I321:I331,MODE(MATCH(I321:I331,I321:I331,0)))</f>
        <v>#N/A</v>
      </c>
      <c r="J332" s="117"/>
      <c r="K332" s="107">
        <f>AVERAGE(K321:K331)</f>
        <v>7562.5</v>
      </c>
      <c r="L332" s="107">
        <f>AVERAGE(L321:L331)</f>
        <v>4000.56</v>
      </c>
      <c r="M332" s="107">
        <f>AVERAGE(M321:M331)</f>
        <v>533043.09090909094</v>
      </c>
      <c r="N332" s="107">
        <f>AVERAGE(N321:N331)</f>
        <v>407540.76037000003</v>
      </c>
      <c r="O332" s="107">
        <f>AVERAGE(N320:N329,O330,N331)</f>
        <v>385292.7810276674</v>
      </c>
      <c r="P332" s="107">
        <f>AVERAGE(P320:P331)</f>
        <v>140.96994627164017</v>
      </c>
      <c r="Q332" s="107">
        <f>AVERAGE(Q320:Q331)</f>
        <v>14.096994627164017</v>
      </c>
      <c r="R332" s="110">
        <f>MEDIAN(R321:R331)</f>
        <v>1806985</v>
      </c>
      <c r="S332" s="110">
        <f>MEDIAN(S321:S331)</f>
        <v>0.47599999999999998</v>
      </c>
      <c r="T332" s="107">
        <f>AVERAGE(T321:T331)</f>
        <v>8391568.4792295247</v>
      </c>
      <c r="U332" s="107">
        <f>AVERAGE(U320:U331)</f>
        <v>13.908966427683994</v>
      </c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113"/>
      <c r="AN332" s="113"/>
      <c r="AO332" s="113"/>
      <c r="AP332" s="113"/>
    </row>
    <row r="333" spans="1:42" x14ac:dyDescent="0.25">
      <c r="A333" s="2" t="s">
        <v>23</v>
      </c>
      <c r="B333" s="3" t="s">
        <v>13</v>
      </c>
      <c r="C333" s="3">
        <v>1962</v>
      </c>
      <c r="D333" s="3"/>
      <c r="E333" s="3"/>
      <c r="F333" s="3"/>
      <c r="G333" s="4">
        <v>39.100225999999999</v>
      </c>
      <c r="H333" s="4">
        <v>-74.710549999999998</v>
      </c>
      <c r="I333" s="5" t="s">
        <v>14</v>
      </c>
      <c r="J333" s="5" t="s">
        <v>14</v>
      </c>
      <c r="K333" s="6"/>
      <c r="L333" s="12"/>
      <c r="M333" s="7">
        <v>90600</v>
      </c>
      <c r="N333" s="12">
        <f t="shared" ref="N333:N344" si="92">M333*0.764555</f>
        <v>69268.683000000005</v>
      </c>
      <c r="O333" s="12"/>
      <c r="P333" s="12"/>
      <c r="Q333" s="186"/>
      <c r="R333" s="13"/>
      <c r="S333" s="9">
        <v>0.127</v>
      </c>
      <c r="T333" s="8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</row>
    <row r="334" spans="1:42" x14ac:dyDescent="0.25">
      <c r="A334" s="2" t="s">
        <v>23</v>
      </c>
      <c r="B334" s="3" t="s">
        <v>13</v>
      </c>
      <c r="C334" s="3">
        <v>1987</v>
      </c>
      <c r="D334" s="3"/>
      <c r="E334" s="3"/>
      <c r="F334" s="3"/>
      <c r="G334" s="4">
        <v>39.100225999999999</v>
      </c>
      <c r="H334" s="4">
        <v>-74.710549999999998</v>
      </c>
      <c r="I334" s="14" t="s">
        <v>1</v>
      </c>
      <c r="J334" s="5" t="s">
        <v>14</v>
      </c>
      <c r="K334" s="7">
        <v>6000</v>
      </c>
      <c r="L334" s="12">
        <f t="shared" ref="L334:L343" si="93">K334*0.3048</f>
        <v>1828.8000000000002</v>
      </c>
      <c r="M334" s="7">
        <v>1305000</v>
      </c>
      <c r="N334" s="12">
        <f t="shared" si="92"/>
        <v>997744.27500000002</v>
      </c>
      <c r="O334" s="12"/>
      <c r="P334" s="12">
        <f t="shared" ref="P334:P342" si="94">N334/L334</f>
        <v>545.5732037401574</v>
      </c>
      <c r="Q334" s="186">
        <f t="shared" ref="Q334:Q339" si="95">P334/10</f>
        <v>54.557320374015738</v>
      </c>
      <c r="R334" s="8">
        <v>2873940</v>
      </c>
      <c r="S334" s="9">
        <v>0.47599999999999998</v>
      </c>
      <c r="T334" s="8">
        <f>+R334/S334</f>
        <v>6037689.0756302522</v>
      </c>
      <c r="U334" s="133">
        <f t="shared" ref="U334:U338" si="96">T334/N334</f>
        <v>6.0513392328212081</v>
      </c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</row>
    <row r="335" spans="1:42" x14ac:dyDescent="0.25">
      <c r="A335" s="2" t="s">
        <v>23</v>
      </c>
      <c r="B335" s="3" t="s">
        <v>13</v>
      </c>
      <c r="C335" s="11">
        <v>1990</v>
      </c>
      <c r="D335" s="11"/>
      <c r="E335" s="11"/>
      <c r="F335" s="11"/>
      <c r="G335" s="4">
        <v>39.100225999999999</v>
      </c>
      <c r="H335" s="4">
        <v>-74.710549999999998</v>
      </c>
      <c r="I335" s="14" t="s">
        <v>24</v>
      </c>
      <c r="J335" s="5" t="s">
        <v>14</v>
      </c>
      <c r="K335" s="12">
        <v>2500</v>
      </c>
      <c r="L335" s="12">
        <f t="shared" si="93"/>
        <v>762</v>
      </c>
      <c r="M335" s="12">
        <v>404000</v>
      </c>
      <c r="N335" s="12">
        <f t="shared" si="92"/>
        <v>308880.21999999997</v>
      </c>
      <c r="O335" s="12"/>
      <c r="P335" s="12">
        <f t="shared" si="94"/>
        <v>405.35461942257211</v>
      </c>
      <c r="Q335" s="186">
        <f t="shared" si="95"/>
        <v>40.535461942257214</v>
      </c>
      <c r="R335" s="19">
        <v>600000</v>
      </c>
      <c r="S335" s="9">
        <v>0.57099999999999995</v>
      </c>
      <c r="T335" s="8">
        <f>+R335/S335</f>
        <v>1050788.0910683013</v>
      </c>
      <c r="U335" s="133">
        <f t="shared" si="96"/>
        <v>3.401927423738242</v>
      </c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</row>
    <row r="336" spans="1:42" x14ac:dyDescent="0.25">
      <c r="A336" s="2" t="s">
        <v>23</v>
      </c>
      <c r="B336" s="3" t="s">
        <v>13</v>
      </c>
      <c r="C336" s="3">
        <v>1992</v>
      </c>
      <c r="D336" s="3"/>
      <c r="E336" s="3"/>
      <c r="F336" s="3"/>
      <c r="G336" s="4">
        <v>39.100225999999999</v>
      </c>
      <c r="H336" s="4">
        <v>-74.710549999999998</v>
      </c>
      <c r="I336" s="14" t="s">
        <v>24</v>
      </c>
      <c r="J336" s="5" t="s">
        <v>14</v>
      </c>
      <c r="K336" s="7">
        <v>3000</v>
      </c>
      <c r="L336" s="12">
        <f t="shared" si="93"/>
        <v>914.40000000000009</v>
      </c>
      <c r="M336" s="7">
        <v>410000</v>
      </c>
      <c r="N336" s="12">
        <f t="shared" si="92"/>
        <v>313467.55</v>
      </c>
      <c r="O336" s="12"/>
      <c r="P336" s="12">
        <f t="shared" si="94"/>
        <v>342.81228127734028</v>
      </c>
      <c r="Q336" s="186">
        <f t="shared" si="95"/>
        <v>34.281228127734025</v>
      </c>
      <c r="R336" s="8">
        <v>1188000</v>
      </c>
      <c r="S336" s="9">
        <v>0.58799999999999997</v>
      </c>
      <c r="T336" s="8">
        <f>+R336/S337</f>
        <v>1960396.0396039605</v>
      </c>
      <c r="U336" s="133">
        <f t="shared" si="96"/>
        <v>6.253904238585335</v>
      </c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</row>
    <row r="337" spans="1:42" x14ac:dyDescent="0.25">
      <c r="A337" s="2" t="s">
        <v>23</v>
      </c>
      <c r="B337" s="3" t="s">
        <v>13</v>
      </c>
      <c r="C337" s="3">
        <v>1993</v>
      </c>
      <c r="D337" s="3"/>
      <c r="E337" s="3"/>
      <c r="F337" s="3"/>
      <c r="G337" s="4">
        <v>39.100225999999999</v>
      </c>
      <c r="H337" s="4">
        <v>-74.710549999999998</v>
      </c>
      <c r="I337" s="14" t="s">
        <v>15</v>
      </c>
      <c r="J337" s="18" t="s">
        <v>17</v>
      </c>
      <c r="K337" s="7">
        <v>2800</v>
      </c>
      <c r="L337" s="12">
        <f t="shared" si="93"/>
        <v>853.44</v>
      </c>
      <c r="M337" s="7">
        <v>239000</v>
      </c>
      <c r="N337" s="12">
        <f t="shared" si="92"/>
        <v>182728.64499999999</v>
      </c>
      <c r="O337" s="12"/>
      <c r="P337" s="12">
        <f t="shared" si="94"/>
        <v>214.1083673134608</v>
      </c>
      <c r="Q337" s="186">
        <f t="shared" si="95"/>
        <v>21.41083673134608</v>
      </c>
      <c r="R337" s="8">
        <v>1777193</v>
      </c>
      <c r="S337" s="9">
        <v>0.60599999999999998</v>
      </c>
      <c r="T337" s="8">
        <f>+R337/S337</f>
        <v>2932661.7161716172</v>
      </c>
      <c r="U337" s="133">
        <f t="shared" si="96"/>
        <v>16.049271947327238</v>
      </c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</row>
    <row r="338" spans="1:42" x14ac:dyDescent="0.25">
      <c r="A338" s="29" t="s">
        <v>23</v>
      </c>
      <c r="B338" s="3" t="s">
        <v>13</v>
      </c>
      <c r="C338" s="21">
        <v>2003</v>
      </c>
      <c r="D338" s="21"/>
      <c r="E338" s="21"/>
      <c r="F338" s="21"/>
      <c r="G338" s="22">
        <v>39.098427999999998</v>
      </c>
      <c r="H338" s="22">
        <v>-74.711459000000005</v>
      </c>
      <c r="I338" s="23" t="s">
        <v>15</v>
      </c>
      <c r="J338" s="18" t="s">
        <v>16</v>
      </c>
      <c r="K338" s="24">
        <v>6260</v>
      </c>
      <c r="L338" s="12">
        <f t="shared" si="93"/>
        <v>1908.048</v>
      </c>
      <c r="M338" s="25">
        <v>1300000</v>
      </c>
      <c r="N338" s="12">
        <f t="shared" si="92"/>
        <v>993921.5</v>
      </c>
      <c r="O338" s="12"/>
      <c r="P338" s="12">
        <f t="shared" si="94"/>
        <v>520.91011337240991</v>
      </c>
      <c r="Q338" s="186">
        <f t="shared" si="95"/>
        <v>52.091011337240992</v>
      </c>
      <c r="R338" s="26">
        <v>20072385</v>
      </c>
      <c r="S338" s="20">
        <v>0.77500000000000002</v>
      </c>
      <c r="T338" s="8">
        <f>+R338/S338</f>
        <v>25899851.612903226</v>
      </c>
      <c r="U338" s="133">
        <f t="shared" si="96"/>
        <v>26.058246665257997</v>
      </c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</row>
    <row r="339" spans="1:42" x14ac:dyDescent="0.25">
      <c r="A339" s="2" t="s">
        <v>23</v>
      </c>
      <c r="B339" s="3" t="s">
        <v>13</v>
      </c>
      <c r="C339" s="3">
        <v>2005</v>
      </c>
      <c r="D339" s="3"/>
      <c r="E339" s="3"/>
      <c r="F339" s="3"/>
      <c r="G339" s="22">
        <v>39.098427999999998</v>
      </c>
      <c r="H339" s="22">
        <v>-74.711459000000005</v>
      </c>
      <c r="I339" s="5" t="s">
        <v>1</v>
      </c>
      <c r="J339" s="18" t="s">
        <v>14</v>
      </c>
      <c r="K339" s="31">
        <v>1400</v>
      </c>
      <c r="L339" s="12">
        <f t="shared" si="93"/>
        <v>426.72</v>
      </c>
      <c r="M339" s="32">
        <v>57000</v>
      </c>
      <c r="N339" s="12">
        <f t="shared" si="92"/>
        <v>43579.635000000002</v>
      </c>
      <c r="O339" s="12"/>
      <c r="P339" s="12">
        <f t="shared" si="94"/>
        <v>102.12700365579302</v>
      </c>
      <c r="Q339" s="186">
        <f t="shared" si="95"/>
        <v>10.212700365579302</v>
      </c>
      <c r="R339" s="13"/>
      <c r="S339" s="9">
        <v>0.82</v>
      </c>
      <c r="T339" s="8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</row>
    <row r="340" spans="1:42" x14ac:dyDescent="0.25">
      <c r="A340" s="29" t="s">
        <v>23</v>
      </c>
      <c r="B340" s="3" t="s">
        <v>13</v>
      </c>
      <c r="C340" s="21">
        <v>2008</v>
      </c>
      <c r="D340" s="21"/>
      <c r="E340" s="21"/>
      <c r="F340" s="21">
        <f>COUNT(C333:C347)</f>
        <v>15</v>
      </c>
      <c r="G340" s="22">
        <v>39.098427999999998</v>
      </c>
      <c r="H340" s="22">
        <v>-74.711459000000005</v>
      </c>
      <c r="I340" s="23" t="s">
        <v>15</v>
      </c>
      <c r="J340" s="18" t="s">
        <v>16</v>
      </c>
      <c r="K340" s="24">
        <v>2600</v>
      </c>
      <c r="L340" s="12">
        <f t="shared" si="93"/>
        <v>792.48</v>
      </c>
      <c r="M340" s="25">
        <v>225000</v>
      </c>
      <c r="N340" s="12">
        <f t="shared" si="92"/>
        <v>172024.875</v>
      </c>
      <c r="O340" s="12"/>
      <c r="P340" s="12">
        <f t="shared" si="94"/>
        <v>217.07156647486372</v>
      </c>
      <c r="Q340" s="185">
        <f t="shared" ref="Q340:Q342" si="97">P340/10</f>
        <v>21.707156647486372</v>
      </c>
      <c r="R340" s="26"/>
      <c r="S340" s="33">
        <v>0.90400000000000003</v>
      </c>
      <c r="T340" s="8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</row>
    <row r="341" spans="1:42" x14ac:dyDescent="0.25">
      <c r="A341" s="29" t="s">
        <v>23</v>
      </c>
      <c r="B341" s="3" t="s">
        <v>13</v>
      </c>
      <c r="C341" s="21">
        <v>2010</v>
      </c>
      <c r="D341" s="21"/>
      <c r="E341" s="21"/>
      <c r="F341" s="21"/>
      <c r="G341" s="22">
        <v>39.098427999999998</v>
      </c>
      <c r="H341" s="22">
        <v>-74.711459000000005</v>
      </c>
      <c r="I341" s="23" t="s">
        <v>15</v>
      </c>
      <c r="J341" s="18" t="s">
        <v>17</v>
      </c>
      <c r="K341" s="24">
        <v>2200</v>
      </c>
      <c r="L341" s="12">
        <f t="shared" si="93"/>
        <v>670.56000000000006</v>
      </c>
      <c r="M341" s="25">
        <v>500000</v>
      </c>
      <c r="N341" s="12">
        <f t="shared" si="92"/>
        <v>382277.5</v>
      </c>
      <c r="O341" s="12"/>
      <c r="P341" s="12">
        <f t="shared" si="94"/>
        <v>570.08694225721774</v>
      </c>
      <c r="Q341" s="185">
        <f t="shared" si="97"/>
        <v>57.008694225721776</v>
      </c>
      <c r="R341" s="26">
        <v>4500000</v>
      </c>
      <c r="S341" s="9">
        <v>0.91600000000000004</v>
      </c>
      <c r="T341" s="8">
        <f>+R341/S341</f>
        <v>4912663.7554585151</v>
      </c>
      <c r="U341" s="133">
        <f t="shared" ref="U341:U344" si="98">T341/N341</f>
        <v>12.851040815790924</v>
      </c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</row>
    <row r="342" spans="1:42" x14ac:dyDescent="0.25">
      <c r="A342" s="29" t="s">
        <v>23</v>
      </c>
      <c r="B342" s="3" t="s">
        <v>13</v>
      </c>
      <c r="C342" s="21">
        <v>2011</v>
      </c>
      <c r="D342" s="21"/>
      <c r="E342" s="21"/>
      <c r="F342" s="21"/>
      <c r="G342" s="22">
        <v>39.098427999999998</v>
      </c>
      <c r="H342" s="22">
        <v>-74.711459000000005</v>
      </c>
      <c r="I342" s="23" t="s">
        <v>15</v>
      </c>
      <c r="J342" s="18" t="s">
        <v>17</v>
      </c>
      <c r="K342" s="24">
        <v>4475</v>
      </c>
      <c r="L342" s="12">
        <f t="shared" si="93"/>
        <v>1363.98</v>
      </c>
      <c r="M342" s="25">
        <v>450000</v>
      </c>
      <c r="N342" s="12">
        <f t="shared" si="92"/>
        <v>344049.75</v>
      </c>
      <c r="O342" s="12"/>
      <c r="P342" s="12">
        <f t="shared" si="94"/>
        <v>252.23958562442263</v>
      </c>
      <c r="Q342" s="185">
        <f t="shared" si="97"/>
        <v>25.223958562442263</v>
      </c>
      <c r="R342" s="26">
        <v>9338000</v>
      </c>
      <c r="S342" s="20">
        <v>0.96399999999999997</v>
      </c>
      <c r="T342" s="8">
        <f>+R342/S342</f>
        <v>9686721.9917012453</v>
      </c>
      <c r="U342" s="133">
        <f t="shared" si="98"/>
        <v>28.15500372170375</v>
      </c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</row>
    <row r="343" spans="1:42" x14ac:dyDescent="0.25">
      <c r="A343" s="29" t="s">
        <v>23</v>
      </c>
      <c r="B343" s="3" t="s">
        <v>13</v>
      </c>
      <c r="C343" s="34">
        <v>2013</v>
      </c>
      <c r="D343" s="34"/>
      <c r="E343" s="34"/>
      <c r="F343" s="34"/>
      <c r="G343" s="22">
        <v>39.098427999999998</v>
      </c>
      <c r="H343" s="22">
        <v>-74.711459000000005</v>
      </c>
      <c r="I343" s="23" t="s">
        <v>15</v>
      </c>
      <c r="J343" s="18" t="s">
        <v>17</v>
      </c>
      <c r="K343" s="35">
        <v>5000</v>
      </c>
      <c r="L343" s="12">
        <f t="shared" si="93"/>
        <v>1524</v>
      </c>
      <c r="M343" s="25">
        <v>75000</v>
      </c>
      <c r="N343" s="12">
        <f t="shared" si="92"/>
        <v>57341.625</v>
      </c>
      <c r="O343" s="12"/>
      <c r="P343" s="195">
        <f>SUM(N343:N344)/L343</f>
        <v>60.882959478346464</v>
      </c>
      <c r="Q343" s="205">
        <f>P343/10</f>
        <v>6.0882959478346468</v>
      </c>
      <c r="R343" s="36">
        <v>2150543</v>
      </c>
      <c r="S343" s="20">
        <v>0.97799999999999998</v>
      </c>
      <c r="T343" s="8">
        <f>+R343/S343</f>
        <v>2198919.2229038854</v>
      </c>
      <c r="U343" s="133">
        <f t="shared" si="98"/>
        <v>38.34769633584478</v>
      </c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</row>
    <row r="344" spans="1:42" s="133" customFormat="1" x14ac:dyDescent="0.25">
      <c r="A344" s="29" t="s">
        <v>23</v>
      </c>
      <c r="B344" s="3" t="s">
        <v>13</v>
      </c>
      <c r="C344" s="21">
        <v>2013</v>
      </c>
      <c r="D344" s="21"/>
      <c r="E344" s="21"/>
      <c r="F344" s="21"/>
      <c r="G344" s="22">
        <v>39.098427999999998</v>
      </c>
      <c r="H344" s="22">
        <v>-74.711459000000005</v>
      </c>
      <c r="I344" s="23" t="s">
        <v>15</v>
      </c>
      <c r="J344" s="18" t="s">
        <v>17</v>
      </c>
      <c r="K344" s="35"/>
      <c r="L344" s="12"/>
      <c r="M344" s="6">
        <v>46359</v>
      </c>
      <c r="N344" s="12">
        <f t="shared" si="92"/>
        <v>35444.005245</v>
      </c>
      <c r="O344" s="12"/>
      <c r="P344" s="195"/>
      <c r="Q344" s="205"/>
      <c r="R344" s="37">
        <v>418984.2</v>
      </c>
      <c r="S344" s="20">
        <v>0.97799999999999998</v>
      </c>
      <c r="T344" s="8">
        <f>+R344/S344</f>
        <v>428409.20245398773</v>
      </c>
      <c r="U344" s="133">
        <f t="shared" si="98"/>
        <v>12.086929778186464</v>
      </c>
      <c r="Y344" s="73"/>
      <c r="Z344" s="73"/>
      <c r="AA344" s="73"/>
      <c r="AB344" s="27"/>
      <c r="AC344" s="27"/>
      <c r="AD344" s="27"/>
      <c r="AE344" s="27"/>
      <c r="AF344" s="27"/>
      <c r="AG344" s="27"/>
      <c r="AH344" s="10"/>
      <c r="AI344" s="10"/>
      <c r="AJ344" s="10"/>
      <c r="AK344" s="10"/>
      <c r="AL344" s="10"/>
      <c r="AM344" s="10"/>
      <c r="AN344" s="10"/>
      <c r="AO344" s="10"/>
      <c r="AP344" s="10"/>
    </row>
    <row r="345" spans="1:42" s="133" customFormat="1" x14ac:dyDescent="0.25">
      <c r="A345" s="29" t="s">
        <v>23</v>
      </c>
      <c r="B345" s="3"/>
      <c r="C345" s="21">
        <v>2015</v>
      </c>
      <c r="D345" s="21"/>
      <c r="E345" s="21"/>
      <c r="F345" s="21"/>
      <c r="G345" s="22"/>
      <c r="H345" s="22"/>
      <c r="I345" s="23"/>
      <c r="J345" s="18"/>
      <c r="K345" s="35"/>
      <c r="L345" s="12">
        <v>1364.33</v>
      </c>
      <c r="M345" s="6">
        <v>740000</v>
      </c>
      <c r="N345" s="12">
        <f>M345*0.764555</f>
        <v>565770.69999999995</v>
      </c>
      <c r="O345" s="12"/>
      <c r="P345" s="12">
        <f>N345/L345</f>
        <v>414.68757558655165</v>
      </c>
      <c r="Q345" s="185">
        <f>P345/10</f>
        <v>41.468757558655163</v>
      </c>
      <c r="R345" s="37"/>
      <c r="S345" s="133">
        <v>0.995</v>
      </c>
      <c r="T345" s="8"/>
      <c r="Y345" s="73"/>
      <c r="Z345" s="73"/>
      <c r="AA345" s="73"/>
      <c r="AB345" s="27"/>
      <c r="AC345" s="27"/>
      <c r="AD345" s="27"/>
      <c r="AE345" s="27"/>
      <c r="AF345" s="27"/>
      <c r="AG345" s="27"/>
      <c r="AH345" s="10"/>
      <c r="AI345" s="10"/>
      <c r="AJ345" s="10"/>
      <c r="AK345" s="10"/>
      <c r="AL345" s="10"/>
      <c r="AM345" s="10"/>
      <c r="AN345" s="10"/>
      <c r="AO345" s="10"/>
      <c r="AP345" s="10"/>
    </row>
    <row r="346" spans="1:42" s="133" customFormat="1" x14ac:dyDescent="0.25">
      <c r="A346" s="29" t="s">
        <v>23</v>
      </c>
      <c r="B346" s="3"/>
      <c r="C346" s="21">
        <v>2017</v>
      </c>
      <c r="D346" s="21"/>
      <c r="E346" s="21"/>
      <c r="F346" s="21"/>
      <c r="G346" s="22"/>
      <c r="H346" s="22"/>
      <c r="I346" s="23"/>
      <c r="J346" s="18"/>
      <c r="K346" s="24"/>
      <c r="L346" s="12">
        <v>1978</v>
      </c>
      <c r="M346" s="25">
        <v>944000</v>
      </c>
      <c r="N346" s="12">
        <f>M346*0.764555</f>
        <v>721739.92</v>
      </c>
      <c r="O346" s="12"/>
      <c r="P346" s="12">
        <f>N346/L346</f>
        <v>364.88368048533874</v>
      </c>
      <c r="Q346" s="185">
        <f>P346/10</f>
        <v>36.488368048533872</v>
      </c>
      <c r="R346" s="26">
        <v>21350124</v>
      </c>
      <c r="S346" s="133">
        <v>1.0213000000000001</v>
      </c>
      <c r="T346" s="8">
        <f>+R346/S346</f>
        <v>20904850.680505235</v>
      </c>
      <c r="U346" s="133">
        <f>T346/N346</f>
        <v>28.964520461200529</v>
      </c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</row>
    <row r="347" spans="1:42" x14ac:dyDescent="0.25">
      <c r="A347" s="29" t="s">
        <v>23</v>
      </c>
      <c r="B347" s="3"/>
      <c r="C347" s="21">
        <v>2019</v>
      </c>
      <c r="D347" s="21"/>
      <c r="E347" s="21"/>
      <c r="F347" s="21"/>
      <c r="G347" s="22"/>
      <c r="H347" s="22"/>
      <c r="I347" s="23"/>
      <c r="J347" s="18"/>
      <c r="K347" s="35"/>
      <c r="L347" s="12">
        <v>1108</v>
      </c>
      <c r="M347" s="6">
        <v>675000</v>
      </c>
      <c r="N347" s="12">
        <f>M347*0.764555</f>
        <v>516074.625</v>
      </c>
      <c r="O347" s="12"/>
      <c r="P347" s="12">
        <f>N347/L347</f>
        <v>465.77132220216606</v>
      </c>
      <c r="Q347" s="185">
        <f>P347/10</f>
        <v>46.577132220216605</v>
      </c>
      <c r="R347" s="37">
        <v>7560000</v>
      </c>
      <c r="S347" s="81">
        <v>1.07</v>
      </c>
      <c r="T347" s="8">
        <f>+R347/S347</f>
        <v>7065420.5607476635</v>
      </c>
      <c r="U347" s="133">
        <f>T347/N347</f>
        <v>13.690695528282685</v>
      </c>
      <c r="Y347" s="73"/>
      <c r="Z347" s="73"/>
      <c r="AA347" s="73"/>
      <c r="AB347" s="27"/>
      <c r="AC347" s="27"/>
      <c r="AD347" s="27"/>
      <c r="AE347" s="27"/>
      <c r="AF347" s="27"/>
      <c r="AG347" s="27"/>
      <c r="AH347" s="10"/>
      <c r="AI347" s="10"/>
      <c r="AJ347" s="10"/>
      <c r="AK347" s="10"/>
      <c r="AL347" s="10"/>
      <c r="AM347" s="10"/>
      <c r="AN347" s="10"/>
      <c r="AO347" s="10"/>
      <c r="AP347" s="10"/>
    </row>
    <row r="348" spans="1:42" s="112" customFormat="1" ht="14.5" x14ac:dyDescent="0.35">
      <c r="A348" s="103" t="s">
        <v>113</v>
      </c>
      <c r="B348" s="104"/>
      <c r="C348" s="114">
        <f>MAX(C333:C347)-MIN(C333:C347)</f>
        <v>57</v>
      </c>
      <c r="D348" s="114">
        <f>COUNT(C333:C347)</f>
        <v>15</v>
      </c>
      <c r="E348" s="114">
        <f>MIN(C333:C347)</f>
        <v>1962</v>
      </c>
      <c r="F348" s="114">
        <f>MAX(C333:C347)</f>
        <v>2019</v>
      </c>
      <c r="G348" s="105">
        <v>39.098427999999998</v>
      </c>
      <c r="H348" s="105">
        <v>-74.711459000000005</v>
      </c>
      <c r="I348" s="106" t="e">
        <f>INDEX(I335:I347,MODE(MATCH(I335:I347,I335:I347,0)))</f>
        <v>#N/A</v>
      </c>
      <c r="J348" s="117"/>
      <c r="K348" s="107">
        <f>AVERAGE(K333:K347)</f>
        <v>3623.5</v>
      </c>
      <c r="L348" s="107">
        <f>AVERAGE(L333:L347)</f>
        <v>1191.9044615384616</v>
      </c>
      <c r="M348" s="107">
        <f>AVERAGE(M333:M347)</f>
        <v>497397.26666666666</v>
      </c>
      <c r="N348" s="107">
        <f>AVERAGE(N333:N347)</f>
        <v>380287.56721633329</v>
      </c>
      <c r="O348" s="107"/>
      <c r="P348" s="107">
        <f>AVERAGE(P333:P347)</f>
        <v>344.34686314543382</v>
      </c>
      <c r="Q348" s="107">
        <f>AVERAGE(Q333:Q347)</f>
        <v>34.434686314543384</v>
      </c>
      <c r="R348" s="120">
        <f>MEDIAN(R333:R347)</f>
        <v>2873940</v>
      </c>
      <c r="S348" s="120">
        <f>MEDIAN(S333:S347)</f>
        <v>0.90400000000000003</v>
      </c>
      <c r="T348" s="107">
        <f>AVERAGE(T333:T347)</f>
        <v>7552579.2681043539</v>
      </c>
      <c r="U348" s="107">
        <f>AVERAGE(U333:U347)</f>
        <v>17.446416013521738</v>
      </c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</row>
    <row r="349" spans="1:42" x14ac:dyDescent="0.25">
      <c r="A349" s="2" t="s">
        <v>95</v>
      </c>
      <c r="B349" s="3" t="s">
        <v>13</v>
      </c>
      <c r="C349" s="3">
        <v>1967</v>
      </c>
      <c r="D349" s="3"/>
      <c r="E349" s="3"/>
      <c r="F349" s="3"/>
      <c r="G349" s="4">
        <v>39.050752000000003</v>
      </c>
      <c r="H349" s="4">
        <v>-74.756134000000003</v>
      </c>
      <c r="I349" s="5" t="s">
        <v>14</v>
      </c>
      <c r="J349" s="5" t="s">
        <v>14</v>
      </c>
      <c r="K349" s="6"/>
      <c r="L349" s="12"/>
      <c r="M349" s="7">
        <v>175218</v>
      </c>
      <c r="N349" s="12">
        <f t="shared" ref="N349:N356" si="99">M349*0.764555</f>
        <v>133963.79798999999</v>
      </c>
      <c r="O349" s="12"/>
      <c r="P349" s="12"/>
      <c r="Q349" s="12"/>
      <c r="R349" s="13"/>
      <c r="S349" s="9">
        <v>0.14000000000000001</v>
      </c>
      <c r="T349" s="8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</row>
    <row r="350" spans="1:42" x14ac:dyDescent="0.25">
      <c r="A350" s="2" t="s">
        <v>95</v>
      </c>
      <c r="B350" s="3" t="s">
        <v>13</v>
      </c>
      <c r="C350" s="3">
        <v>1968</v>
      </c>
      <c r="D350" s="3"/>
      <c r="E350" s="3"/>
      <c r="F350" s="3"/>
      <c r="G350" s="4">
        <v>39.050752000000003</v>
      </c>
      <c r="H350" s="4">
        <v>-74.756134000000003</v>
      </c>
      <c r="I350" s="14" t="s">
        <v>1</v>
      </c>
      <c r="J350" s="5" t="s">
        <v>14</v>
      </c>
      <c r="K350" s="6"/>
      <c r="L350" s="12"/>
      <c r="M350" s="7">
        <v>200000</v>
      </c>
      <c r="N350" s="12">
        <f t="shared" si="99"/>
        <v>152911</v>
      </c>
      <c r="O350" s="12"/>
      <c r="P350" s="12"/>
      <c r="Q350" s="12"/>
      <c r="R350" s="8">
        <v>255464</v>
      </c>
      <c r="S350" s="9">
        <v>0.14599999999999999</v>
      </c>
      <c r="T350" s="8">
        <f>+R350/S350</f>
        <v>1749753.4246575343</v>
      </c>
      <c r="U350" s="133">
        <f>T350/N350</f>
        <v>11.442953251613908</v>
      </c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</row>
    <row r="351" spans="1:42" x14ac:dyDescent="0.25">
      <c r="A351" s="51" t="s">
        <v>95</v>
      </c>
      <c r="B351" s="3" t="s">
        <v>13</v>
      </c>
      <c r="C351" s="21">
        <v>2003</v>
      </c>
      <c r="D351" s="21"/>
      <c r="E351" s="21"/>
      <c r="F351" s="21"/>
      <c r="G351" s="4">
        <v>39.050752000000003</v>
      </c>
      <c r="H351" s="4">
        <v>-74.756134000000003</v>
      </c>
      <c r="I351" s="23" t="s">
        <v>15</v>
      </c>
      <c r="J351" s="18" t="s">
        <v>16</v>
      </c>
      <c r="K351" s="24">
        <v>13300</v>
      </c>
      <c r="L351" s="12">
        <f>K351*0.3048</f>
        <v>4053.84</v>
      </c>
      <c r="M351" s="25">
        <v>2900000</v>
      </c>
      <c r="N351" s="12">
        <f t="shared" si="99"/>
        <v>2217209.5</v>
      </c>
      <c r="O351" s="12"/>
      <c r="P351" s="12">
        <f>N351/L351</f>
        <v>546.9405551279774</v>
      </c>
      <c r="Q351" s="186">
        <f t="shared" ref="Q351:Q352" si="100">P351/10</f>
        <v>54.694055512797739</v>
      </c>
      <c r="R351" s="26"/>
      <c r="S351" s="20">
        <v>0.77500000000000002</v>
      </c>
      <c r="T351" s="8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</row>
    <row r="352" spans="1:42" x14ac:dyDescent="0.25">
      <c r="A352" s="51" t="s">
        <v>95</v>
      </c>
      <c r="B352" s="3" t="s">
        <v>13</v>
      </c>
      <c r="C352" s="21">
        <v>2009</v>
      </c>
      <c r="D352" s="21"/>
      <c r="E352" s="21"/>
      <c r="F352" s="21"/>
      <c r="G352" s="4">
        <v>39.050752000000003</v>
      </c>
      <c r="H352" s="4">
        <v>-74.756134000000003</v>
      </c>
      <c r="I352" s="23" t="s">
        <v>15</v>
      </c>
      <c r="J352" s="18" t="s">
        <v>17</v>
      </c>
      <c r="K352" s="24">
        <v>3700</v>
      </c>
      <c r="L352" s="12">
        <f>K352*0.3048</f>
        <v>1127.76</v>
      </c>
      <c r="M352" s="25">
        <v>319670</v>
      </c>
      <c r="N352" s="12">
        <f t="shared" si="99"/>
        <v>244405.29684999998</v>
      </c>
      <c r="O352" s="12"/>
      <c r="P352" s="12">
        <f>N352/L352</f>
        <v>216.71747255621761</v>
      </c>
      <c r="Q352" s="186">
        <f t="shared" si="100"/>
        <v>21.67174725562176</v>
      </c>
      <c r="R352" s="26">
        <v>1500000</v>
      </c>
      <c r="S352" s="20">
        <v>0.90100000000000002</v>
      </c>
      <c r="T352" s="8">
        <f>+R352/S352</f>
        <v>1664816.8701442841</v>
      </c>
      <c r="U352" s="133">
        <f t="shared" ref="U352:U355" si="101">T352/N352</f>
        <v>6.8117053582764209</v>
      </c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</row>
    <row r="353" spans="1:42" x14ac:dyDescent="0.25">
      <c r="A353" s="51" t="s">
        <v>95</v>
      </c>
      <c r="B353" s="3" t="s">
        <v>13</v>
      </c>
      <c r="C353" s="21">
        <v>2011</v>
      </c>
      <c r="D353" s="21"/>
      <c r="E353" s="21"/>
      <c r="F353" s="21"/>
      <c r="G353" s="4">
        <v>39.050752000000003</v>
      </c>
      <c r="H353" s="4">
        <v>-74.756134000000003</v>
      </c>
      <c r="I353" s="23" t="s">
        <v>15</v>
      </c>
      <c r="J353" s="18" t="s">
        <v>17</v>
      </c>
      <c r="K353" s="24">
        <v>11200</v>
      </c>
      <c r="L353" s="12">
        <f>K353*0.3048</f>
        <v>3413.76</v>
      </c>
      <c r="M353" s="25">
        <v>580000</v>
      </c>
      <c r="N353" s="12">
        <f t="shared" si="99"/>
        <v>443441.89999999997</v>
      </c>
      <c r="O353" s="12"/>
      <c r="P353" s="12">
        <f>N353/L353</f>
        <v>129.89838184289462</v>
      </c>
      <c r="Q353" s="185">
        <f>P353/10</f>
        <v>12.989838184289463</v>
      </c>
      <c r="R353" s="26">
        <v>9338000</v>
      </c>
      <c r="S353" s="20">
        <v>0.96399999999999997</v>
      </c>
      <c r="T353" s="8">
        <f>+R353/S353</f>
        <v>9686721.9917012453</v>
      </c>
      <c r="U353" s="133">
        <f t="shared" si="101"/>
        <v>21.844399439252914</v>
      </c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</row>
    <row r="354" spans="1:42" x14ac:dyDescent="0.25">
      <c r="A354" s="51" t="s">
        <v>95</v>
      </c>
      <c r="B354" s="3" t="s">
        <v>13</v>
      </c>
      <c r="C354" s="21">
        <v>2013</v>
      </c>
      <c r="D354" s="21"/>
      <c r="E354" s="21"/>
      <c r="F354" s="21"/>
      <c r="G354" s="4">
        <v>39.050752000000003</v>
      </c>
      <c r="H354" s="4">
        <v>-74.756134000000003</v>
      </c>
      <c r="I354" s="23" t="s">
        <v>15</v>
      </c>
      <c r="J354" s="18" t="s">
        <v>17</v>
      </c>
      <c r="K354" s="6">
        <v>8750</v>
      </c>
      <c r="L354" s="12">
        <f>K354*0.3048</f>
        <v>2667</v>
      </c>
      <c r="M354" s="6">
        <v>100000</v>
      </c>
      <c r="N354" s="12">
        <f t="shared" si="99"/>
        <v>76455.5</v>
      </c>
      <c r="O354" s="12"/>
      <c r="P354" s="195">
        <f>SUM(N354:N355)/L354</f>
        <v>104.63538620172477</v>
      </c>
      <c r="Q354" s="205">
        <f>P354/10</f>
        <v>10.463538620172477</v>
      </c>
      <c r="R354" s="13">
        <v>2440250</v>
      </c>
      <c r="S354" s="20">
        <v>0.97799999999999998</v>
      </c>
      <c r="T354" s="8">
        <f>+R354/S354</f>
        <v>2495143.1492842538</v>
      </c>
      <c r="U354" s="133">
        <f t="shared" si="101"/>
        <v>32.635234211852044</v>
      </c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</row>
    <row r="355" spans="1:42" s="133" customFormat="1" x14ac:dyDescent="0.25">
      <c r="A355" s="51" t="s">
        <v>95</v>
      </c>
      <c r="B355" s="3" t="s">
        <v>13</v>
      </c>
      <c r="C355" s="21">
        <v>2013</v>
      </c>
      <c r="D355" s="21"/>
      <c r="E355" s="21">
        <v>1962</v>
      </c>
      <c r="F355" s="21"/>
      <c r="G355" s="4">
        <v>39.050752000000003</v>
      </c>
      <c r="H355" s="4">
        <v>-74.756134000000003</v>
      </c>
      <c r="I355" s="23" t="s">
        <v>15</v>
      </c>
      <c r="J355" s="18" t="s">
        <v>17</v>
      </c>
      <c r="K355" s="6"/>
      <c r="L355" s="12"/>
      <c r="M355" s="6">
        <v>265000</v>
      </c>
      <c r="N355" s="12">
        <f t="shared" si="99"/>
        <v>202607.07499999998</v>
      </c>
      <c r="O355" s="12"/>
      <c r="P355" s="195"/>
      <c r="Q355" s="205"/>
      <c r="R355" s="13">
        <v>3121700</v>
      </c>
      <c r="S355" s="20">
        <v>0.97799999999999998</v>
      </c>
      <c r="T355" s="8">
        <f>+R355/S355</f>
        <v>3191922.2903885483</v>
      </c>
      <c r="U355" s="133">
        <f t="shared" si="101"/>
        <v>15.754248909563245</v>
      </c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</row>
    <row r="356" spans="1:42" x14ac:dyDescent="0.25">
      <c r="A356" s="51" t="s">
        <v>95</v>
      </c>
      <c r="B356" s="3"/>
      <c r="C356" s="21">
        <v>2017</v>
      </c>
      <c r="D356" s="21"/>
      <c r="E356" s="21"/>
      <c r="F356" s="21"/>
      <c r="G356" s="4"/>
      <c r="H356" s="4"/>
      <c r="I356" s="23"/>
      <c r="J356" s="18"/>
      <c r="K356" s="6"/>
      <c r="L356" s="12">
        <v>3712</v>
      </c>
      <c r="M356" s="6">
        <v>714000</v>
      </c>
      <c r="N356" s="12">
        <f t="shared" si="99"/>
        <v>545892.27</v>
      </c>
      <c r="O356" s="12"/>
      <c r="P356" s="12">
        <f>N356/L356</f>
        <v>147.06149515086207</v>
      </c>
      <c r="Q356" s="185">
        <f>P356/10</f>
        <v>14.706149515086206</v>
      </c>
      <c r="R356" s="13">
        <v>6000000</v>
      </c>
      <c r="S356" s="133">
        <v>1.0213000000000001</v>
      </c>
      <c r="T356" s="8">
        <f>+R356/S356</f>
        <v>5874865.3676686566</v>
      </c>
      <c r="U356" s="133">
        <f t="shared" ref="U356" si="102">T356/N356</f>
        <v>10.761950096250047</v>
      </c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</row>
    <row r="357" spans="1:42" s="112" customFormat="1" ht="14.5" x14ac:dyDescent="0.35">
      <c r="A357" s="121" t="s">
        <v>114</v>
      </c>
      <c r="B357" s="104"/>
      <c r="C357" s="114">
        <f>MAX(C349:C356)-MIN(C349:C356)</f>
        <v>50</v>
      </c>
      <c r="D357" s="114">
        <f>COUNT(C349:C356)</f>
        <v>8</v>
      </c>
      <c r="E357" s="114">
        <f>MIN(C349:C356)</f>
        <v>1967</v>
      </c>
      <c r="F357" s="114">
        <f>MAX(C349:C356)</f>
        <v>2017</v>
      </c>
      <c r="G357" s="105">
        <v>39.050752000000003</v>
      </c>
      <c r="H357" s="105">
        <v>-74.756134000000003</v>
      </c>
      <c r="I357" s="106" t="e">
        <f>INDEX(I343:I356,MODE(MATCH(I343:I356,I343:I356,0)))</f>
        <v>#N/A</v>
      </c>
      <c r="J357" s="117"/>
      <c r="K357" s="107">
        <f>AVERAGE(K349:K356)</f>
        <v>9237.5</v>
      </c>
      <c r="L357" s="107">
        <f>AVERAGE(L349:L356)</f>
        <v>2994.8720000000003</v>
      </c>
      <c r="M357" s="107">
        <f>AVERAGE(M349:M356)</f>
        <v>656736</v>
      </c>
      <c r="N357" s="107">
        <f>AVERAGE(N349:N356)</f>
        <v>502110.79248</v>
      </c>
      <c r="O357" s="107"/>
      <c r="P357" s="107">
        <f>AVERAGE(P349:P356)</f>
        <v>229.05065817593533</v>
      </c>
      <c r="Q357" s="107">
        <f>AVERAGE(Q349:Q356)</f>
        <v>22.905065817593531</v>
      </c>
      <c r="R357" s="118">
        <f>MEDIAN(R349:R356)</f>
        <v>2780975</v>
      </c>
      <c r="S357" s="118">
        <f>MEDIAN(S349:S356)</f>
        <v>0.9325</v>
      </c>
      <c r="T357" s="107">
        <f>AVERAGE(T349:T356)</f>
        <v>4110537.1823074198</v>
      </c>
      <c r="U357" s="107">
        <f>AVERAGE(U349:U356)</f>
        <v>16.541748544468096</v>
      </c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</row>
    <row r="358" spans="1:42" x14ac:dyDescent="0.25">
      <c r="A358" s="2" t="s">
        <v>69</v>
      </c>
      <c r="B358" s="3" t="s">
        <v>13</v>
      </c>
      <c r="C358" s="3">
        <v>1966</v>
      </c>
      <c r="D358" s="3"/>
      <c r="E358" s="3"/>
      <c r="F358" s="3"/>
      <c r="G358" s="4">
        <v>38.993906000000003</v>
      </c>
      <c r="H358" s="4">
        <v>-74.794163999999995</v>
      </c>
      <c r="I358" s="14" t="s">
        <v>1</v>
      </c>
      <c r="J358" s="5" t="s">
        <v>14</v>
      </c>
      <c r="K358" s="6"/>
      <c r="L358" s="12"/>
      <c r="M358" s="7">
        <v>5000</v>
      </c>
      <c r="N358" s="12">
        <f t="shared" ref="N358:N363" si="103">M358*0.764555</f>
        <v>3822.7750000000001</v>
      </c>
      <c r="O358" s="12"/>
      <c r="P358" s="12"/>
      <c r="Q358" s="12"/>
      <c r="R358" s="8">
        <v>5698</v>
      </c>
      <c r="S358" s="9">
        <v>0.13600000000000001</v>
      </c>
      <c r="T358" s="8">
        <f>+R358/S358</f>
        <v>41897.058823529405</v>
      </c>
      <c r="U358" s="133">
        <f t="shared" ref="U358:U360" si="104">T358/N358</f>
        <v>10.959854771345267</v>
      </c>
      <c r="Y358" s="57"/>
      <c r="Z358" s="57"/>
      <c r="AA358" s="57"/>
      <c r="AB358" s="57"/>
      <c r="AC358" s="57"/>
      <c r="AD358" s="57"/>
      <c r="AE358" s="57"/>
      <c r="AF358" s="57"/>
      <c r="AG358" s="57"/>
      <c r="AH358" s="10"/>
      <c r="AI358" s="10"/>
      <c r="AJ358" s="10"/>
      <c r="AK358" s="10"/>
      <c r="AL358" s="10"/>
      <c r="AM358" s="10"/>
      <c r="AN358" s="10"/>
      <c r="AO358" s="10"/>
      <c r="AP358" s="10"/>
    </row>
    <row r="359" spans="1:42" x14ac:dyDescent="0.25">
      <c r="A359" s="2" t="s">
        <v>69</v>
      </c>
      <c r="B359" s="3" t="s">
        <v>13</v>
      </c>
      <c r="C359" s="3">
        <v>1989</v>
      </c>
      <c r="D359" s="3"/>
      <c r="E359" s="3"/>
      <c r="F359" s="3"/>
      <c r="G359" s="4">
        <v>38.993906000000003</v>
      </c>
      <c r="H359" s="4">
        <v>-74.794163999999995</v>
      </c>
      <c r="I359" s="14" t="s">
        <v>1</v>
      </c>
      <c r="J359" s="5" t="s">
        <v>14</v>
      </c>
      <c r="K359" s="6"/>
      <c r="L359" s="12"/>
      <c r="M359" s="7">
        <v>190000</v>
      </c>
      <c r="N359" s="12">
        <f t="shared" si="103"/>
        <v>145265.44999999998</v>
      </c>
      <c r="O359" s="12"/>
      <c r="P359" s="12"/>
      <c r="Q359" s="12"/>
      <c r="R359" s="8">
        <v>875000</v>
      </c>
      <c r="S359" s="9">
        <v>0.52100000000000002</v>
      </c>
      <c r="T359" s="8">
        <f>+R359/S359</f>
        <v>1679462.5719769674</v>
      </c>
      <c r="U359" s="133">
        <f t="shared" si="104"/>
        <v>11.561335279496726</v>
      </c>
      <c r="Y359" s="57"/>
      <c r="Z359" s="57"/>
      <c r="AA359" s="57"/>
      <c r="AB359" s="57"/>
      <c r="AC359" s="57"/>
      <c r="AD359" s="57"/>
      <c r="AE359" s="57"/>
      <c r="AF359" s="57"/>
      <c r="AG359" s="57"/>
      <c r="AH359" s="10"/>
      <c r="AI359" s="10"/>
      <c r="AJ359" s="10"/>
      <c r="AK359" s="10"/>
      <c r="AL359" s="10"/>
      <c r="AM359" s="10"/>
      <c r="AN359" s="10"/>
      <c r="AO359" s="10"/>
      <c r="AP359" s="10"/>
    </row>
    <row r="360" spans="1:42" x14ac:dyDescent="0.25">
      <c r="A360" s="2" t="s">
        <v>69</v>
      </c>
      <c r="B360" s="3" t="s">
        <v>13</v>
      </c>
      <c r="C360" s="3">
        <v>2009</v>
      </c>
      <c r="D360" s="3"/>
      <c r="E360" s="3"/>
      <c r="F360" s="3"/>
      <c r="G360" s="4">
        <v>38.993906000000003</v>
      </c>
      <c r="H360" s="4">
        <v>-74.794163999999995</v>
      </c>
      <c r="I360" s="4" t="s">
        <v>1</v>
      </c>
      <c r="J360" s="5" t="s">
        <v>14</v>
      </c>
      <c r="K360" s="6">
        <v>10400</v>
      </c>
      <c r="L360" s="12">
        <f>K360*0.3048</f>
        <v>3169.92</v>
      </c>
      <c r="M360" s="7">
        <v>1186400</v>
      </c>
      <c r="N360" s="12">
        <f t="shared" si="103"/>
        <v>907068.05200000003</v>
      </c>
      <c r="O360" s="12"/>
      <c r="P360" s="12">
        <f>N360/L360</f>
        <v>286.14856273975369</v>
      </c>
      <c r="Q360" s="183">
        <f t="shared" ref="Q360:Q362" si="105">P360/10</f>
        <v>28.61485627397537</v>
      </c>
      <c r="R360" s="8">
        <v>10640526</v>
      </c>
      <c r="S360" s="20">
        <v>0.90100000000000002</v>
      </c>
      <c r="T360" s="8">
        <f>+R360/S360</f>
        <v>11809684.794672586</v>
      </c>
      <c r="U360" s="133">
        <f t="shared" si="104"/>
        <v>13.019623796288865</v>
      </c>
      <c r="Y360" s="57"/>
      <c r="Z360" s="57"/>
      <c r="AA360" s="57"/>
      <c r="AB360" s="57"/>
      <c r="AC360" s="57"/>
      <c r="AD360" s="57"/>
      <c r="AE360" s="57"/>
      <c r="AF360" s="57"/>
      <c r="AG360" s="57"/>
      <c r="AH360" s="10"/>
      <c r="AI360" s="10"/>
      <c r="AJ360" s="10"/>
      <c r="AK360" s="10"/>
      <c r="AL360" s="10"/>
      <c r="AM360" s="10"/>
      <c r="AN360" s="10"/>
      <c r="AO360" s="10"/>
      <c r="AP360" s="10"/>
    </row>
    <row r="361" spans="1:42" x14ac:dyDescent="0.25">
      <c r="A361" s="2" t="s">
        <v>69</v>
      </c>
      <c r="B361" s="3" t="s">
        <v>13</v>
      </c>
      <c r="C361" s="21">
        <v>2010</v>
      </c>
      <c r="D361" s="21"/>
      <c r="E361" s="21"/>
      <c r="F361" s="21"/>
      <c r="G361" s="4">
        <v>38.993906000000003</v>
      </c>
      <c r="H361" s="4">
        <v>-74.794163999999995</v>
      </c>
      <c r="I361" s="23" t="s">
        <v>70</v>
      </c>
      <c r="J361" s="18" t="s">
        <v>17</v>
      </c>
      <c r="K361" s="24">
        <v>5200</v>
      </c>
      <c r="L361" s="12">
        <f>K361*0.3048</f>
        <v>1584.96</v>
      </c>
      <c r="M361" s="25">
        <v>464000</v>
      </c>
      <c r="N361" s="12">
        <f t="shared" si="103"/>
        <v>354753.52</v>
      </c>
      <c r="O361" s="12"/>
      <c r="P361" s="12">
        <f>N361/L361</f>
        <v>223.82490409852616</v>
      </c>
      <c r="Q361" s="183">
        <f t="shared" si="105"/>
        <v>22.382490409852615</v>
      </c>
      <c r="R361" s="26"/>
      <c r="S361" s="9">
        <v>0.91600000000000004</v>
      </c>
      <c r="T361" s="8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</row>
    <row r="362" spans="1:42" x14ac:dyDescent="0.25">
      <c r="A362" s="2" t="s">
        <v>69</v>
      </c>
      <c r="B362" s="3" t="s">
        <v>13</v>
      </c>
      <c r="C362" s="21">
        <v>2012</v>
      </c>
      <c r="D362" s="21"/>
      <c r="E362" s="21"/>
      <c r="F362" s="21"/>
      <c r="G362" s="4">
        <v>38.993906000000003</v>
      </c>
      <c r="H362" s="4">
        <v>-74.794163999999995</v>
      </c>
      <c r="I362" s="23" t="s">
        <v>70</v>
      </c>
      <c r="J362" s="18" t="s">
        <v>17</v>
      </c>
      <c r="K362" s="24">
        <v>1200</v>
      </c>
      <c r="L362" s="12">
        <f>K362*0.3048</f>
        <v>365.76</v>
      </c>
      <c r="M362" s="25">
        <v>96000</v>
      </c>
      <c r="N362" s="12">
        <f t="shared" si="103"/>
        <v>73397.279999999999</v>
      </c>
      <c r="O362" s="12"/>
      <c r="P362" s="12">
        <f>N362/L362</f>
        <v>200.67060367454067</v>
      </c>
      <c r="Q362" s="183">
        <f t="shared" si="105"/>
        <v>20.067060367454069</v>
      </c>
      <c r="R362" s="26"/>
      <c r="S362" s="20">
        <v>0.96399999999999997</v>
      </c>
      <c r="T362" s="8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</row>
    <row r="363" spans="1:42" x14ac:dyDescent="0.25">
      <c r="A363" s="2" t="s">
        <v>69</v>
      </c>
      <c r="B363" s="3" t="s">
        <v>13</v>
      </c>
      <c r="C363" s="21">
        <v>2013</v>
      </c>
      <c r="D363" s="21"/>
      <c r="E363" s="21"/>
      <c r="F363" s="21"/>
      <c r="G363" s="4">
        <v>38.993906000000003</v>
      </c>
      <c r="H363" s="4">
        <v>-74.794163999999995</v>
      </c>
      <c r="I363" s="23" t="s">
        <v>70</v>
      </c>
      <c r="J363" s="18" t="s">
        <v>17</v>
      </c>
      <c r="K363" s="24">
        <v>6400</v>
      </c>
      <c r="L363" s="12">
        <f>K363*0.3048</f>
        <v>1950.72</v>
      </c>
      <c r="M363" s="25">
        <v>150530</v>
      </c>
      <c r="N363" s="12">
        <f t="shared" si="103"/>
        <v>115088.46415</v>
      </c>
      <c r="O363" s="12"/>
      <c r="P363" s="12">
        <f>N363/L363</f>
        <v>58.997941349860561</v>
      </c>
      <c r="Q363" s="183">
        <f>P363/10</f>
        <v>5.8997941349860561</v>
      </c>
      <c r="R363" s="26"/>
      <c r="S363" s="20">
        <v>0.97799999999999998</v>
      </c>
      <c r="T363" s="8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</row>
    <row r="364" spans="1:42" s="133" customFormat="1" x14ac:dyDescent="0.25">
      <c r="A364" s="2" t="s">
        <v>69</v>
      </c>
      <c r="B364" s="3"/>
      <c r="C364" s="21">
        <v>2015</v>
      </c>
      <c r="D364" s="21"/>
      <c r="E364" s="21"/>
      <c r="F364" s="21"/>
      <c r="G364" s="4"/>
      <c r="H364" s="4"/>
      <c r="I364" s="23"/>
      <c r="J364" s="18"/>
      <c r="K364" s="24"/>
      <c r="M364" s="12">
        <v>35364</v>
      </c>
      <c r="N364" s="12">
        <f t="shared" ref="N364:N365" si="106">M364*0.764555</f>
        <v>27037.723020000001</v>
      </c>
      <c r="O364" s="12"/>
      <c r="P364" s="195">
        <f>AVERAGE(N364:N365)/L365</f>
        <v>61.60703710526316</v>
      </c>
      <c r="Q364" s="197">
        <f>P364/10</f>
        <v>6.1607037105263158</v>
      </c>
      <c r="R364" s="200">
        <v>22321000</v>
      </c>
      <c r="S364" s="198">
        <v>0.995</v>
      </c>
      <c r="T364" s="203"/>
      <c r="U364" s="198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</row>
    <row r="365" spans="1:42" s="133" customFormat="1" x14ac:dyDescent="0.25">
      <c r="A365" s="2" t="s">
        <v>69</v>
      </c>
      <c r="B365" s="3"/>
      <c r="C365" s="21">
        <v>2015</v>
      </c>
      <c r="D365" s="21"/>
      <c r="E365" s="21"/>
      <c r="F365" s="21"/>
      <c r="G365" s="4"/>
      <c r="H365" s="4"/>
      <c r="I365" s="23"/>
      <c r="J365" s="18"/>
      <c r="K365" s="24"/>
      <c r="L365" s="12">
        <v>418</v>
      </c>
      <c r="M365" s="12">
        <v>32000</v>
      </c>
      <c r="N365" s="12">
        <f t="shared" si="106"/>
        <v>24465.759999999998</v>
      </c>
      <c r="O365" s="12"/>
      <c r="P365" s="195"/>
      <c r="Q365" s="197"/>
      <c r="R365" s="201"/>
      <c r="S365" s="202"/>
      <c r="T365" s="204"/>
      <c r="U365" s="202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</row>
    <row r="366" spans="1:42" s="112" customFormat="1" ht="14.5" x14ac:dyDescent="0.35">
      <c r="A366" s="103" t="s">
        <v>116</v>
      </c>
      <c r="B366" s="104"/>
      <c r="C366" s="104">
        <f>MAX(C358:C365)-MIN(C358:C365)</f>
        <v>49</v>
      </c>
      <c r="D366" s="104">
        <f>COUNT(C358:C365)</f>
        <v>8</v>
      </c>
      <c r="E366" s="104">
        <f>MIN(C358:C365)</f>
        <v>1966</v>
      </c>
      <c r="F366" s="104">
        <f>MAX(C358:C365)</f>
        <v>2015</v>
      </c>
      <c r="G366" s="105">
        <v>38.993906000000003</v>
      </c>
      <c r="H366" s="105">
        <v>-74.794163999999995</v>
      </c>
      <c r="I366" s="106" t="e">
        <f>INDEX(I353:I365,MODE(MATCH(I353:I365,I353:I365,0)))</f>
        <v>#N/A</v>
      </c>
      <c r="J366" s="117"/>
      <c r="K366" s="107">
        <f>AVERAGE(K358:K365)</f>
        <v>5800</v>
      </c>
      <c r="L366" s="107">
        <f>AVERAGE(L358:L365)</f>
        <v>1497.8720000000001</v>
      </c>
      <c r="M366" s="107">
        <f>AVERAGE(M358:M365)</f>
        <v>269911.75</v>
      </c>
      <c r="N366" s="107">
        <f>AVERAGE(N358:N365)</f>
        <v>206362.37802124998</v>
      </c>
      <c r="O366" s="107"/>
      <c r="P366" s="107">
        <f>AVERAGE(P358:P365)</f>
        <v>166.24980979358884</v>
      </c>
      <c r="Q366" s="107">
        <f>AVERAGE(Q358:Q365)</f>
        <v>16.624980979358885</v>
      </c>
      <c r="R366" s="112">
        <f>MEDIAN(R362:R365)</f>
        <v>22321000</v>
      </c>
      <c r="S366" s="110">
        <f>AVERAGE(S358:S365)</f>
        <v>0.77300000000000002</v>
      </c>
      <c r="T366" s="107">
        <f>AVERAGE(T358:T365)</f>
        <v>4510348.1418243609</v>
      </c>
      <c r="U366" s="107">
        <f>AVERAGE(U358:U365)</f>
        <v>11.846937949043621</v>
      </c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</row>
    <row r="367" spans="1:42" s="131" customFormat="1" x14ac:dyDescent="0.25">
      <c r="A367" s="131" t="s">
        <v>97</v>
      </c>
      <c r="B367" s="131" t="s">
        <v>13</v>
      </c>
      <c r="C367" s="131">
        <v>1963</v>
      </c>
      <c r="D367" s="132"/>
      <c r="G367" s="131">
        <v>38.978994999999998</v>
      </c>
      <c r="H367" s="131">
        <v>-74.817971</v>
      </c>
      <c r="I367" s="131" t="s">
        <v>15</v>
      </c>
      <c r="J367" s="131" t="s">
        <v>17</v>
      </c>
      <c r="M367" s="131">
        <v>25000</v>
      </c>
      <c r="N367" s="131">
        <f>M367*0.764555</f>
        <v>19113.875</v>
      </c>
      <c r="O367" s="133"/>
      <c r="Q367" s="133"/>
      <c r="S367" s="131">
        <v>0.129</v>
      </c>
    </row>
    <row r="368" spans="1:42" s="131" customFormat="1" x14ac:dyDescent="0.25">
      <c r="A368" s="131" t="s">
        <v>97</v>
      </c>
      <c r="B368" s="131" t="s">
        <v>13</v>
      </c>
      <c r="C368" s="131">
        <v>1991</v>
      </c>
      <c r="D368" s="132"/>
      <c r="G368" s="131">
        <v>38.978994999999998</v>
      </c>
      <c r="H368" s="131">
        <v>-74.817971</v>
      </c>
      <c r="I368" s="131" t="s">
        <v>15</v>
      </c>
      <c r="J368" s="131" t="s">
        <v>19</v>
      </c>
      <c r="M368" s="131">
        <v>100000</v>
      </c>
      <c r="N368" s="131">
        <f>M368*0.764555</f>
        <v>76455.5</v>
      </c>
      <c r="O368" s="133"/>
      <c r="Q368" s="133"/>
      <c r="R368" s="131">
        <v>434783</v>
      </c>
      <c r="S368" s="131">
        <v>0.57099999999999995</v>
      </c>
      <c r="T368" s="131">
        <f>+R368/S368</f>
        <v>761441.33099824877</v>
      </c>
      <c r="U368" s="133">
        <f>T368/N368</f>
        <v>9.9592747545729061</v>
      </c>
    </row>
    <row r="369" spans="1:42" s="112" customFormat="1" ht="14.5" x14ac:dyDescent="0.35">
      <c r="A369" s="112" t="s">
        <v>119</v>
      </c>
      <c r="C369" s="112">
        <f>C368-C367</f>
        <v>28</v>
      </c>
      <c r="D369" s="112">
        <f>COUNT(C367:C368)</f>
        <v>2</v>
      </c>
      <c r="E369" s="112">
        <f>MIN(C367:C368)</f>
        <v>1963</v>
      </c>
      <c r="F369" s="112">
        <f>MAX(C367:C368)</f>
        <v>1991</v>
      </c>
      <c r="G369" s="112">
        <v>38.978994999999998</v>
      </c>
      <c r="H369" s="112">
        <v>-74.817971</v>
      </c>
      <c r="M369" s="112">
        <f>AVERAGE(M367:M368)</f>
        <v>62500</v>
      </c>
      <c r="N369" s="112">
        <f>AVERAGE(N367:N368)</f>
        <v>47784.6875</v>
      </c>
      <c r="P369" s="112" t="e">
        <f>N369/L369</f>
        <v>#DIV/0!</v>
      </c>
      <c r="Q369" s="112">
        <f>O369/M369</f>
        <v>0</v>
      </c>
      <c r="R369" s="112">
        <f>MEDIAN(R367:R368)</f>
        <v>434783</v>
      </c>
      <c r="S369" s="112">
        <f>AVERAGE(S367:S368)</f>
        <v>0.35</v>
      </c>
      <c r="T369" s="112">
        <f>AVERAGE(T367:T368)</f>
        <v>761441.33099824877</v>
      </c>
      <c r="U369" s="189">
        <f>AVERAGE(U367:U368)</f>
        <v>9.9592747545729061</v>
      </c>
    </row>
    <row r="370" spans="1:42" s="132" customFormat="1" x14ac:dyDescent="0.25">
      <c r="A370" s="132" t="s">
        <v>64</v>
      </c>
      <c r="B370" s="132" t="s">
        <v>13</v>
      </c>
      <c r="C370" s="132">
        <v>1969</v>
      </c>
      <c r="G370" s="132">
        <v>38.982363999999997</v>
      </c>
      <c r="H370" s="132">
        <v>-74.960832999999994</v>
      </c>
      <c r="I370" s="132" t="s">
        <v>14</v>
      </c>
      <c r="J370" s="132" t="s">
        <v>14</v>
      </c>
      <c r="M370" s="132">
        <v>61000</v>
      </c>
      <c r="N370" s="132">
        <f t="shared" ref="N370:N387" si="107">M370*0.764555</f>
        <v>46637.854999999996</v>
      </c>
      <c r="O370" s="133"/>
      <c r="Q370" s="133"/>
      <c r="R370" s="132">
        <v>89455</v>
      </c>
      <c r="S370" s="132">
        <v>0.154</v>
      </c>
      <c r="T370" s="132">
        <f t="shared" ref="T370:T387" si="108">+R370/S370</f>
        <v>580876.62337662338</v>
      </c>
      <c r="U370" s="133">
        <f t="shared" ref="U370:U371" si="109">T370/N370</f>
        <v>12.455045871569853</v>
      </c>
    </row>
    <row r="371" spans="1:42" s="132" customFormat="1" x14ac:dyDescent="0.25">
      <c r="A371" s="132" t="s">
        <v>64</v>
      </c>
      <c r="B371" s="132" t="s">
        <v>13</v>
      </c>
      <c r="C371" s="132">
        <v>1986</v>
      </c>
      <c r="G371" s="132">
        <v>38.982363999999997</v>
      </c>
      <c r="H371" s="132">
        <v>-74.960832999999994</v>
      </c>
      <c r="I371" s="132" t="s">
        <v>1</v>
      </c>
      <c r="J371" s="132" t="s">
        <v>14</v>
      </c>
      <c r="M371" s="132">
        <v>87000</v>
      </c>
      <c r="N371" s="132">
        <f t="shared" si="107"/>
        <v>66516.285000000003</v>
      </c>
      <c r="O371" s="133"/>
      <c r="Q371" s="133"/>
      <c r="R371" s="132">
        <v>337209</v>
      </c>
      <c r="S371" s="132">
        <v>0.46100000000000002</v>
      </c>
      <c r="T371" s="132">
        <f t="shared" si="108"/>
        <v>731472.88503253798</v>
      </c>
      <c r="U371" s="133">
        <f t="shared" si="109"/>
        <v>10.99689925606245</v>
      </c>
    </row>
    <row r="372" spans="1:42" s="112" customFormat="1" ht="14.5" x14ac:dyDescent="0.35">
      <c r="A372" s="103" t="s">
        <v>139</v>
      </c>
      <c r="B372" s="104"/>
      <c r="C372" s="104"/>
      <c r="D372" s="104">
        <f>COUNT(C370:C371)</f>
        <v>2</v>
      </c>
      <c r="E372" s="104">
        <f>MIN(C370:C371)</f>
        <v>1969</v>
      </c>
      <c r="F372" s="104"/>
      <c r="G372" s="105"/>
      <c r="H372" s="105"/>
      <c r="I372" s="106"/>
      <c r="J372" s="117"/>
      <c r="K372" s="107"/>
      <c r="L372" s="108"/>
      <c r="M372" s="109">
        <f>AVERAGE(M370:M371)</f>
        <v>74000</v>
      </c>
      <c r="N372" s="109">
        <f>AVERAGE(N370:N371)</f>
        <v>56577.07</v>
      </c>
      <c r="O372" s="109"/>
      <c r="P372" s="108"/>
      <c r="Q372" s="108"/>
      <c r="R372" s="109">
        <f>MEDIAN(R370:R371)</f>
        <v>213332</v>
      </c>
      <c r="S372" s="111"/>
      <c r="T372" s="109">
        <f>AVERAGE(T370:T371)</f>
        <v>656174.75420458068</v>
      </c>
      <c r="U372" s="112">
        <f>AVERAGE(U370:U371)</f>
        <v>11.725972563816152</v>
      </c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</row>
    <row r="373" spans="1:42" x14ac:dyDescent="0.25">
      <c r="A373" s="38" t="s">
        <v>38</v>
      </c>
      <c r="B373" s="39" t="s">
        <v>13</v>
      </c>
      <c r="C373" s="39">
        <v>1962</v>
      </c>
      <c r="D373" s="39"/>
      <c r="E373" s="39"/>
      <c r="F373" s="39"/>
      <c r="G373" s="40">
        <v>38.941653000000002</v>
      </c>
      <c r="H373" s="40">
        <v>-74.883330999999998</v>
      </c>
      <c r="I373" s="48" t="s">
        <v>15</v>
      </c>
      <c r="J373" s="41" t="s">
        <v>35</v>
      </c>
      <c r="K373" s="49">
        <v>8448</v>
      </c>
      <c r="L373" s="12">
        <f t="shared" ref="L373:L380" si="110">K373*0.3048</f>
        <v>2574.9504000000002</v>
      </c>
      <c r="M373" s="49">
        <v>156656</v>
      </c>
      <c r="N373" s="12">
        <f t="shared" si="107"/>
        <v>119772.12807999999</v>
      </c>
      <c r="O373" s="12"/>
      <c r="P373" s="12"/>
      <c r="Q373" s="12"/>
      <c r="R373" s="45">
        <v>358600</v>
      </c>
      <c r="S373" s="44">
        <v>0.127</v>
      </c>
      <c r="T373" s="45">
        <f t="shared" si="108"/>
        <v>2823622.0472440943</v>
      </c>
      <c r="U373" s="133">
        <f t="shared" ref="U373:U375" si="111">T373/N373</f>
        <v>23.574950971549061</v>
      </c>
      <c r="Y373" s="57"/>
      <c r="Z373" s="57"/>
      <c r="AA373" s="57"/>
      <c r="AB373" s="57"/>
      <c r="AC373" s="57"/>
      <c r="AD373" s="57"/>
      <c r="AE373" s="57"/>
      <c r="AF373" s="57"/>
      <c r="AG373" s="57"/>
      <c r="AH373" s="10"/>
      <c r="AI373" s="10"/>
      <c r="AJ373" s="10"/>
      <c r="AK373" s="10"/>
      <c r="AL373" s="10"/>
      <c r="AM373" s="10"/>
      <c r="AN373" s="10"/>
      <c r="AO373" s="10"/>
      <c r="AP373" s="10"/>
    </row>
    <row r="374" spans="1:42" x14ac:dyDescent="0.25">
      <c r="A374" s="2" t="s">
        <v>38</v>
      </c>
      <c r="B374" s="3" t="s">
        <v>13</v>
      </c>
      <c r="C374" s="11">
        <v>2004</v>
      </c>
      <c r="D374" s="11"/>
      <c r="E374" s="11"/>
      <c r="F374" s="11"/>
      <c r="G374" s="4">
        <v>38.941653000000002</v>
      </c>
      <c r="H374" s="4">
        <v>-74.883330999999998</v>
      </c>
      <c r="I374" s="14" t="s">
        <v>15</v>
      </c>
      <c r="J374" s="18" t="s">
        <v>16</v>
      </c>
      <c r="K374" s="6">
        <v>14000</v>
      </c>
      <c r="L374" s="12">
        <f t="shared" si="110"/>
        <v>4267.2</v>
      </c>
      <c r="M374" s="12">
        <v>290000</v>
      </c>
      <c r="N374" s="12">
        <f t="shared" si="107"/>
        <v>221720.94999999998</v>
      </c>
      <c r="O374" s="12"/>
      <c r="P374" s="12"/>
      <c r="Q374" s="12"/>
      <c r="R374" s="19">
        <v>2364000</v>
      </c>
      <c r="S374" s="9">
        <v>0.79300000000000004</v>
      </c>
      <c r="T374" s="8">
        <f t="shared" si="108"/>
        <v>2981084.4892812106</v>
      </c>
      <c r="U374" s="133">
        <f t="shared" si="111"/>
        <v>13.44520889560148</v>
      </c>
      <c r="Y374" s="57"/>
      <c r="Z374" s="57"/>
      <c r="AA374" s="57"/>
      <c r="AB374" s="57"/>
      <c r="AC374" s="57"/>
      <c r="AD374" s="57"/>
      <c r="AE374" s="57"/>
      <c r="AF374" s="57"/>
      <c r="AG374" s="57"/>
      <c r="AH374" s="10"/>
      <c r="AI374" s="10"/>
      <c r="AJ374" s="10"/>
      <c r="AK374" s="10"/>
      <c r="AL374" s="10"/>
      <c r="AM374" s="10"/>
      <c r="AN374" s="10"/>
      <c r="AO374" s="10"/>
      <c r="AP374" s="10"/>
    </row>
    <row r="375" spans="1:42" x14ac:dyDescent="0.25">
      <c r="A375" s="2" t="s">
        <v>38</v>
      </c>
      <c r="B375" s="3" t="s">
        <v>13</v>
      </c>
      <c r="C375" s="21">
        <v>2012</v>
      </c>
      <c r="D375" s="21"/>
      <c r="E375" s="21"/>
      <c r="F375" s="21"/>
      <c r="G375" s="4">
        <v>38.941653000000002</v>
      </c>
      <c r="H375" s="4">
        <v>-74.883330999999998</v>
      </c>
      <c r="I375" s="23" t="s">
        <v>15</v>
      </c>
      <c r="J375" s="18" t="s">
        <v>16</v>
      </c>
      <c r="K375" s="6">
        <v>13471</v>
      </c>
      <c r="L375" s="12">
        <f t="shared" si="110"/>
        <v>4105.9607999999998</v>
      </c>
      <c r="M375" s="25">
        <v>770000</v>
      </c>
      <c r="N375" s="12">
        <f t="shared" si="107"/>
        <v>588707.35</v>
      </c>
      <c r="O375" s="12"/>
      <c r="P375" s="12"/>
      <c r="Q375" s="12"/>
      <c r="R375" s="13">
        <v>9000000</v>
      </c>
      <c r="S375" s="20">
        <v>0.96399999999999997</v>
      </c>
      <c r="T375" s="8">
        <f t="shared" si="108"/>
        <v>9336099.5850622412</v>
      </c>
      <c r="U375" s="133">
        <f t="shared" si="111"/>
        <v>15.858642813041559</v>
      </c>
      <c r="Y375" s="57"/>
      <c r="Z375" s="57"/>
      <c r="AA375" s="57"/>
      <c r="AB375" s="57"/>
      <c r="AC375" s="57"/>
      <c r="AD375" s="57"/>
      <c r="AE375" s="57"/>
      <c r="AF375" s="57"/>
      <c r="AG375" s="57"/>
      <c r="AH375" s="10"/>
      <c r="AI375" s="10"/>
      <c r="AJ375" s="10"/>
      <c r="AK375" s="10"/>
      <c r="AL375" s="10"/>
      <c r="AM375" s="10"/>
      <c r="AN375" s="10"/>
      <c r="AO375" s="10"/>
      <c r="AP375" s="10"/>
    </row>
    <row r="376" spans="1:42" x14ac:dyDescent="0.25">
      <c r="A376" s="2" t="s">
        <v>38</v>
      </c>
      <c r="B376" s="3" t="s">
        <v>13</v>
      </c>
      <c r="C376" s="11">
        <v>2005</v>
      </c>
      <c r="D376" s="11"/>
      <c r="E376" s="11"/>
      <c r="F376" s="11"/>
      <c r="G376" s="4">
        <v>38.941653000000002</v>
      </c>
      <c r="H376" s="4">
        <v>-74.883330999999998</v>
      </c>
      <c r="I376" s="14" t="s">
        <v>15</v>
      </c>
      <c r="J376" s="50" t="s">
        <v>16</v>
      </c>
      <c r="K376" s="6">
        <v>12000</v>
      </c>
      <c r="L376" s="12">
        <f t="shared" si="110"/>
        <v>3657.6000000000004</v>
      </c>
      <c r="M376" s="12">
        <v>800673</v>
      </c>
      <c r="N376" s="12">
        <f t="shared" si="107"/>
        <v>612158.54551500001</v>
      </c>
      <c r="O376" s="12"/>
      <c r="P376" s="12"/>
      <c r="Q376" s="12"/>
      <c r="R376" s="13"/>
      <c r="S376" s="9">
        <v>0.82</v>
      </c>
      <c r="T376" s="8"/>
      <c r="Y376" s="57"/>
      <c r="Z376" s="57"/>
      <c r="AA376" s="57"/>
      <c r="AB376" s="57"/>
      <c r="AC376" s="57"/>
      <c r="AD376" s="57"/>
      <c r="AE376" s="57"/>
      <c r="AF376" s="57"/>
      <c r="AG376" s="57"/>
      <c r="AH376" s="10"/>
      <c r="AI376" s="10"/>
      <c r="AJ376" s="10"/>
      <c r="AK376" s="10"/>
      <c r="AL376" s="10"/>
      <c r="AM376" s="10"/>
      <c r="AN376" s="10"/>
      <c r="AO376" s="10"/>
      <c r="AP376" s="10"/>
    </row>
    <row r="377" spans="1:42" x14ac:dyDescent="0.25">
      <c r="A377" s="2" t="s">
        <v>38</v>
      </c>
      <c r="B377" s="3" t="s">
        <v>13</v>
      </c>
      <c r="C377" s="3">
        <v>1995</v>
      </c>
      <c r="D377" s="3"/>
      <c r="E377" s="3"/>
      <c r="F377" s="3"/>
      <c r="G377" s="4">
        <v>38.941653000000002</v>
      </c>
      <c r="H377" s="4">
        <v>-74.883330999999998</v>
      </c>
      <c r="I377" s="14" t="s">
        <v>15</v>
      </c>
      <c r="J377" s="18" t="s">
        <v>16</v>
      </c>
      <c r="K377" s="7">
        <v>4800</v>
      </c>
      <c r="L377" s="12">
        <f t="shared" si="110"/>
        <v>1463.04</v>
      </c>
      <c r="M377" s="7">
        <v>330000</v>
      </c>
      <c r="N377" s="12">
        <f t="shared" si="107"/>
        <v>252303.15</v>
      </c>
      <c r="O377" s="12"/>
      <c r="P377" s="12"/>
      <c r="Q377" s="12"/>
      <c r="R377" s="8">
        <v>2605000</v>
      </c>
      <c r="S377" s="20">
        <v>0.64100000000000001</v>
      </c>
      <c r="T377" s="8">
        <f t="shared" si="108"/>
        <v>4063962.5585023402</v>
      </c>
      <c r="U377" s="133">
        <f t="shared" ref="U377:U387" si="112">T377/N377</f>
        <v>16.107458660354975</v>
      </c>
      <c r="Y377" s="57"/>
      <c r="Z377" s="57"/>
      <c r="AA377" s="57"/>
      <c r="AB377" s="57"/>
      <c r="AC377" s="57"/>
      <c r="AD377" s="57"/>
      <c r="AE377" s="57"/>
      <c r="AF377" s="57"/>
      <c r="AG377" s="57"/>
      <c r="AH377" s="10"/>
      <c r="AI377" s="10"/>
      <c r="AJ377" s="10"/>
      <c r="AK377" s="10"/>
      <c r="AL377" s="10"/>
      <c r="AM377" s="10"/>
      <c r="AN377" s="10"/>
      <c r="AO377" s="10"/>
      <c r="AP377" s="10"/>
    </row>
    <row r="378" spans="1:42" x14ac:dyDescent="0.25">
      <c r="A378" s="2" t="s">
        <v>38</v>
      </c>
      <c r="B378" s="3" t="s">
        <v>13</v>
      </c>
      <c r="C378" s="3">
        <v>1993</v>
      </c>
      <c r="D378" s="3"/>
      <c r="E378" s="3"/>
      <c r="F378" s="3"/>
      <c r="G378" s="4">
        <v>38.941653000000002</v>
      </c>
      <c r="H378" s="4">
        <v>-74.883330999999998</v>
      </c>
      <c r="I378" s="14" t="s">
        <v>15</v>
      </c>
      <c r="J378" s="18" t="s">
        <v>16</v>
      </c>
      <c r="K378" s="7">
        <v>4800</v>
      </c>
      <c r="L378" s="12">
        <f t="shared" si="110"/>
        <v>1463.04</v>
      </c>
      <c r="M378" s="7">
        <v>415000</v>
      </c>
      <c r="N378" s="12">
        <f t="shared" si="107"/>
        <v>317290.32500000001</v>
      </c>
      <c r="O378" s="12"/>
      <c r="P378" s="12"/>
      <c r="Q378" s="12"/>
      <c r="R378" s="8">
        <v>2400000</v>
      </c>
      <c r="S378" s="9">
        <v>0.60599999999999998</v>
      </c>
      <c r="T378" s="8">
        <f t="shared" si="108"/>
        <v>3960396.0396039607</v>
      </c>
      <c r="U378" s="133">
        <f t="shared" si="112"/>
        <v>12.481931302519106</v>
      </c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</row>
    <row r="379" spans="1:42" x14ac:dyDescent="0.25">
      <c r="A379" s="2" t="s">
        <v>38</v>
      </c>
      <c r="B379" s="3" t="s">
        <v>13</v>
      </c>
      <c r="C379" s="21">
        <v>2009</v>
      </c>
      <c r="D379" s="21"/>
      <c r="E379" s="21"/>
      <c r="F379" s="21"/>
      <c r="G379" s="4">
        <v>38.941653000000002</v>
      </c>
      <c r="H379" s="4">
        <v>-74.883330999999998</v>
      </c>
      <c r="I379" s="23" t="s">
        <v>15</v>
      </c>
      <c r="J379" s="18" t="s">
        <v>16</v>
      </c>
      <c r="K379" s="6">
        <v>4400</v>
      </c>
      <c r="L379" s="12">
        <f t="shared" si="110"/>
        <v>1341.1200000000001</v>
      </c>
      <c r="M379" s="25">
        <v>425000</v>
      </c>
      <c r="N379" s="12">
        <f t="shared" si="107"/>
        <v>324935.875</v>
      </c>
      <c r="O379" s="12"/>
      <c r="P379" s="12"/>
      <c r="Q379" s="12"/>
      <c r="R379" s="26">
        <v>3375000</v>
      </c>
      <c r="S379" s="20">
        <v>0.90100000000000002</v>
      </c>
      <c r="T379" s="8">
        <f t="shared" si="108"/>
        <v>3745837.957824639</v>
      </c>
      <c r="U379" s="133">
        <f t="shared" si="112"/>
        <v>11.527929804071769</v>
      </c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</row>
    <row r="380" spans="1:42" x14ac:dyDescent="0.25">
      <c r="A380" s="2" t="s">
        <v>38</v>
      </c>
      <c r="B380" s="3" t="s">
        <v>13</v>
      </c>
      <c r="C380" s="3">
        <v>1991</v>
      </c>
      <c r="D380" s="3"/>
      <c r="E380" s="3"/>
      <c r="F380" s="3"/>
      <c r="G380" s="4">
        <v>38.941653000000002</v>
      </c>
      <c r="H380" s="4">
        <v>-74.883330999999998</v>
      </c>
      <c r="I380" s="14" t="s">
        <v>15</v>
      </c>
      <c r="J380" s="18" t="s">
        <v>16</v>
      </c>
      <c r="K380" s="7">
        <v>8000</v>
      </c>
      <c r="L380" s="12">
        <f t="shared" si="110"/>
        <v>2438.4</v>
      </c>
      <c r="M380" s="7">
        <v>1365000</v>
      </c>
      <c r="N380" s="12">
        <f t="shared" si="107"/>
        <v>1043617.575</v>
      </c>
      <c r="O380" s="12"/>
      <c r="P380" s="12"/>
      <c r="Q380" s="12"/>
      <c r="R380" s="8">
        <v>10526000</v>
      </c>
      <c r="S380" s="9">
        <v>0.57099999999999995</v>
      </c>
      <c r="T380" s="8">
        <f t="shared" si="108"/>
        <v>18434325.744308233</v>
      </c>
      <c r="U380" s="133">
        <f t="shared" si="112"/>
        <v>17.663870545978718</v>
      </c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</row>
    <row r="381" spans="1:42" x14ac:dyDescent="0.25">
      <c r="A381" s="2" t="s">
        <v>38</v>
      </c>
      <c r="B381" s="3" t="s">
        <v>13</v>
      </c>
      <c r="C381" s="11">
        <v>2007</v>
      </c>
      <c r="D381" s="11"/>
      <c r="E381" s="11"/>
      <c r="F381" s="11"/>
      <c r="G381" s="4">
        <v>38.941653000000002</v>
      </c>
      <c r="H381" s="4">
        <v>-74.883330999999998</v>
      </c>
      <c r="I381" s="14" t="s">
        <v>15</v>
      </c>
      <c r="J381" s="50" t="s">
        <v>16</v>
      </c>
      <c r="K381" s="6"/>
      <c r="L381" s="12"/>
      <c r="M381" s="12">
        <v>230000</v>
      </c>
      <c r="N381" s="12">
        <f t="shared" si="107"/>
        <v>175847.65</v>
      </c>
      <c r="O381" s="12"/>
      <c r="P381" s="12"/>
      <c r="Q381" s="12"/>
      <c r="R381" s="13">
        <v>3995500</v>
      </c>
      <c r="S381" s="20">
        <v>0.871</v>
      </c>
      <c r="T381" s="8">
        <f t="shared" si="108"/>
        <v>4587256.0275545353</v>
      </c>
      <c r="U381" s="133">
        <f t="shared" si="112"/>
        <v>26.086535859617889</v>
      </c>
      <c r="Y381" s="10"/>
      <c r="Z381" s="10"/>
      <c r="AA381" s="10"/>
      <c r="AB381" s="10"/>
      <c r="AC381" s="10"/>
      <c r="AD381" s="10"/>
      <c r="AE381" s="10"/>
      <c r="AF381" s="10"/>
      <c r="AG381" s="10"/>
      <c r="AH381" s="16"/>
      <c r="AI381" s="16"/>
      <c r="AJ381" s="16"/>
      <c r="AK381" s="16"/>
      <c r="AL381" s="16"/>
      <c r="AM381" s="16"/>
      <c r="AN381" s="16"/>
      <c r="AO381" s="16"/>
      <c r="AP381" s="16"/>
    </row>
    <row r="382" spans="1:42" x14ac:dyDescent="0.25">
      <c r="A382" s="2" t="s">
        <v>38</v>
      </c>
      <c r="B382" s="3" t="s">
        <v>13</v>
      </c>
      <c r="C382" s="3">
        <v>2003</v>
      </c>
      <c r="D382" s="3"/>
      <c r="E382" s="3"/>
      <c r="F382" s="3"/>
      <c r="G382" s="4">
        <v>38.941653000000002</v>
      </c>
      <c r="H382" s="4">
        <v>-74.883330999999998</v>
      </c>
      <c r="I382" s="14" t="s">
        <v>15</v>
      </c>
      <c r="J382" s="18" t="s">
        <v>16</v>
      </c>
      <c r="K382" s="6"/>
      <c r="L382" s="12"/>
      <c r="M382" s="7">
        <v>267000</v>
      </c>
      <c r="N382" s="12">
        <f t="shared" si="107"/>
        <v>204136.185</v>
      </c>
      <c r="O382" s="12"/>
      <c r="P382" s="12"/>
      <c r="Q382" s="12"/>
      <c r="R382" s="8">
        <v>2435000</v>
      </c>
      <c r="S382" s="20">
        <v>0.77500000000000002</v>
      </c>
      <c r="T382" s="8">
        <f t="shared" si="108"/>
        <v>3141935.4838709678</v>
      </c>
      <c r="U382" s="133">
        <f t="shared" si="112"/>
        <v>15.391369657814305</v>
      </c>
      <c r="Y382" s="10"/>
      <c r="Z382" s="10"/>
      <c r="AA382" s="10"/>
      <c r="AB382" s="10"/>
      <c r="AC382" s="10"/>
      <c r="AD382" s="10"/>
      <c r="AE382" s="10"/>
      <c r="AF382" s="10"/>
      <c r="AG382" s="10"/>
      <c r="AH382" s="16"/>
      <c r="AI382" s="16"/>
      <c r="AJ382" s="16"/>
      <c r="AK382" s="16"/>
      <c r="AL382" s="16"/>
      <c r="AM382" s="16"/>
      <c r="AN382" s="16"/>
      <c r="AO382" s="16"/>
      <c r="AP382" s="16"/>
    </row>
    <row r="383" spans="1:42" x14ac:dyDescent="0.25">
      <c r="A383" s="2" t="s">
        <v>38</v>
      </c>
      <c r="B383" s="3" t="s">
        <v>13</v>
      </c>
      <c r="C383" s="3">
        <v>1993</v>
      </c>
      <c r="D383" s="3"/>
      <c r="E383" s="3"/>
      <c r="F383" s="3"/>
      <c r="G383" s="4">
        <v>38.941653000000002</v>
      </c>
      <c r="H383" s="4">
        <v>-74.883330999999998</v>
      </c>
      <c r="I383" s="14" t="s">
        <v>15</v>
      </c>
      <c r="J383" s="18" t="s">
        <v>17</v>
      </c>
      <c r="K383" s="6"/>
      <c r="L383" s="12"/>
      <c r="M383" s="7">
        <v>300000</v>
      </c>
      <c r="N383" s="12">
        <f t="shared" si="107"/>
        <v>229366.5</v>
      </c>
      <c r="O383" s="12"/>
      <c r="P383" s="12"/>
      <c r="Q383" s="12"/>
      <c r="R383" s="8">
        <v>2200000</v>
      </c>
      <c r="S383" s="9">
        <v>0.60599999999999998</v>
      </c>
      <c r="T383" s="8">
        <f t="shared" si="108"/>
        <v>3630363.0363036306</v>
      </c>
      <c r="U383" s="133">
        <f t="shared" si="112"/>
        <v>15.827782332222144</v>
      </c>
      <c r="Y383" s="10"/>
      <c r="Z383" s="10"/>
      <c r="AA383" s="10"/>
      <c r="AB383" s="10"/>
      <c r="AC383" s="10"/>
      <c r="AD383" s="10"/>
      <c r="AE383" s="10"/>
      <c r="AF383" s="10"/>
      <c r="AG383" s="10"/>
      <c r="AH383" s="16"/>
      <c r="AI383" s="16"/>
      <c r="AJ383" s="16"/>
      <c r="AK383" s="16"/>
      <c r="AL383" s="16"/>
      <c r="AM383" s="16"/>
      <c r="AN383" s="16"/>
      <c r="AO383" s="16"/>
      <c r="AP383" s="16"/>
    </row>
    <row r="384" spans="1:42" x14ac:dyDescent="0.25">
      <c r="A384" s="2" t="s">
        <v>38</v>
      </c>
      <c r="B384" s="3" t="s">
        <v>13</v>
      </c>
      <c r="C384" s="11">
        <v>1997</v>
      </c>
      <c r="D384" s="11"/>
      <c r="E384" s="11"/>
      <c r="F384" s="11"/>
      <c r="G384" s="4">
        <v>38.941653000000002</v>
      </c>
      <c r="H384" s="4">
        <v>-74.883330999999998</v>
      </c>
      <c r="I384" s="14" t="s">
        <v>15</v>
      </c>
      <c r="J384" s="18" t="s">
        <v>16</v>
      </c>
      <c r="K384" s="6"/>
      <c r="L384" s="12"/>
      <c r="M384" s="12">
        <v>366000</v>
      </c>
      <c r="N384" s="12">
        <f t="shared" si="107"/>
        <v>279827.13</v>
      </c>
      <c r="O384" s="12"/>
      <c r="P384" s="12"/>
      <c r="Q384" s="12"/>
      <c r="R384" s="19">
        <v>2400000</v>
      </c>
      <c r="S384" s="9">
        <v>0.67600000000000005</v>
      </c>
      <c r="T384" s="8">
        <f t="shared" si="108"/>
        <v>3550295.8579881652</v>
      </c>
      <c r="U384" s="133">
        <f t="shared" si="112"/>
        <v>12.687461212171119</v>
      </c>
      <c r="Y384" s="10"/>
      <c r="Z384" s="10"/>
      <c r="AA384" s="10"/>
      <c r="AB384" s="10"/>
      <c r="AC384" s="10"/>
      <c r="AD384" s="10"/>
      <c r="AE384" s="10"/>
      <c r="AF384" s="10"/>
      <c r="AG384" s="10"/>
      <c r="AH384" s="16"/>
      <c r="AI384" s="16"/>
      <c r="AJ384" s="16"/>
      <c r="AK384" s="16"/>
      <c r="AL384" s="16"/>
      <c r="AM384" s="16"/>
      <c r="AN384" s="16"/>
      <c r="AO384" s="16"/>
      <c r="AP384" s="16"/>
    </row>
    <row r="385" spans="1:42" x14ac:dyDescent="0.25">
      <c r="A385" s="2" t="s">
        <v>38</v>
      </c>
      <c r="B385" s="3" t="s">
        <v>13</v>
      </c>
      <c r="C385" s="11">
        <v>1999</v>
      </c>
      <c r="D385" s="11"/>
      <c r="E385" s="11"/>
      <c r="F385" s="11"/>
      <c r="G385" s="4">
        <v>38.941653000000002</v>
      </c>
      <c r="H385" s="4">
        <v>-74.883330999999998</v>
      </c>
      <c r="I385" s="14" t="s">
        <v>15</v>
      </c>
      <c r="J385" s="18" t="s">
        <v>16</v>
      </c>
      <c r="K385" s="6"/>
      <c r="L385" s="12"/>
      <c r="M385" s="12">
        <v>400000</v>
      </c>
      <c r="N385" s="12">
        <f t="shared" si="107"/>
        <v>305822</v>
      </c>
      <c r="O385" s="12"/>
      <c r="P385" s="12"/>
      <c r="Q385" s="12"/>
      <c r="R385" s="19">
        <v>3400000</v>
      </c>
      <c r="S385" s="9">
        <v>0.69899999999999995</v>
      </c>
      <c r="T385" s="8">
        <f t="shared" si="108"/>
        <v>4864091.5593705298</v>
      </c>
      <c r="U385" s="133">
        <f t="shared" si="112"/>
        <v>15.904975964353545</v>
      </c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</row>
    <row r="386" spans="1:42" x14ac:dyDescent="0.25">
      <c r="A386" s="29" t="s">
        <v>38</v>
      </c>
      <c r="B386" s="3" t="s">
        <v>13</v>
      </c>
      <c r="C386" s="21">
        <v>2011</v>
      </c>
      <c r="D386" s="21"/>
      <c r="E386" s="21"/>
      <c r="F386" s="21"/>
      <c r="G386" s="4">
        <v>38.941653000000002</v>
      </c>
      <c r="H386" s="4">
        <v>-74.883330999999998</v>
      </c>
      <c r="I386" s="23" t="s">
        <v>15</v>
      </c>
      <c r="J386" s="18" t="s">
        <v>16</v>
      </c>
      <c r="K386" s="6"/>
      <c r="L386" s="12"/>
      <c r="M386" s="12">
        <v>440000</v>
      </c>
      <c r="N386" s="12">
        <f t="shared" si="107"/>
        <v>336404.2</v>
      </c>
      <c r="O386" s="12"/>
      <c r="P386" s="12"/>
      <c r="Q386" s="12"/>
      <c r="R386" s="13">
        <v>8320000</v>
      </c>
      <c r="S386" s="20">
        <v>0.96399999999999997</v>
      </c>
      <c r="T386" s="8">
        <f t="shared" si="108"/>
        <v>8630705.3941908721</v>
      </c>
      <c r="U386" s="133">
        <f t="shared" si="112"/>
        <v>25.6557599286539</v>
      </c>
      <c r="Y386" s="10"/>
      <c r="Z386" s="10"/>
      <c r="AA386" s="10"/>
      <c r="AB386" s="10"/>
      <c r="AC386" s="10"/>
      <c r="AD386" s="10"/>
      <c r="AE386" s="10"/>
      <c r="AF386" s="10"/>
      <c r="AG386" s="10"/>
      <c r="AH386" s="16"/>
      <c r="AI386" s="16"/>
      <c r="AJ386" s="16"/>
      <c r="AK386" s="16"/>
      <c r="AL386" s="16"/>
      <c r="AM386" s="16"/>
      <c r="AN386" s="16"/>
      <c r="AO386" s="16"/>
      <c r="AP386" s="16"/>
    </row>
    <row r="387" spans="1:42" x14ac:dyDescent="0.25">
      <c r="A387" s="51" t="s">
        <v>38</v>
      </c>
      <c r="B387" s="3" t="s">
        <v>13</v>
      </c>
      <c r="C387" s="52">
        <v>2014</v>
      </c>
      <c r="D387" s="52"/>
      <c r="E387" s="52"/>
      <c r="F387" s="52"/>
      <c r="G387" s="4">
        <v>38.941653000000002</v>
      </c>
      <c r="H387" s="4">
        <v>-74.883330999999998</v>
      </c>
      <c r="I387" s="14" t="s">
        <v>15</v>
      </c>
      <c r="J387" s="14" t="s">
        <v>17</v>
      </c>
      <c r="K387" s="6"/>
      <c r="L387" s="12"/>
      <c r="M387" s="6">
        <v>585000</v>
      </c>
      <c r="N387" s="12">
        <f t="shared" si="107"/>
        <v>447264.67499999999</v>
      </c>
      <c r="O387" s="12"/>
      <c r="P387" s="12"/>
      <c r="Q387" s="12"/>
      <c r="R387" s="13">
        <v>9744500</v>
      </c>
      <c r="S387" s="9">
        <v>0.99399999999999999</v>
      </c>
      <c r="T387" s="8">
        <f t="shared" si="108"/>
        <v>9803319.9195171036</v>
      </c>
      <c r="U387" s="133">
        <f t="shared" si="112"/>
        <v>21.918386287754792</v>
      </c>
      <c r="Y387" s="10"/>
      <c r="Z387" s="10"/>
      <c r="AA387" s="10"/>
      <c r="AB387" s="10"/>
      <c r="AC387" s="10"/>
      <c r="AD387" s="10"/>
      <c r="AE387" s="10"/>
      <c r="AF387" s="10"/>
      <c r="AG387" s="10"/>
      <c r="AH387" s="16"/>
      <c r="AI387" s="16"/>
      <c r="AJ387" s="16"/>
      <c r="AK387" s="16"/>
      <c r="AL387" s="16"/>
      <c r="AM387" s="16"/>
      <c r="AN387" s="16"/>
      <c r="AO387" s="16"/>
      <c r="AP387" s="16"/>
    </row>
    <row r="388" spans="1:42" s="112" customFormat="1" ht="14.5" x14ac:dyDescent="0.35">
      <c r="A388" s="121" t="s">
        <v>132</v>
      </c>
      <c r="B388" s="104"/>
      <c r="C388" s="114">
        <f>MAX(C373:C387)-MIN(C373:C387)</f>
        <v>52</v>
      </c>
      <c r="D388" s="114">
        <f>COUNT(C373:C387)</f>
        <v>15</v>
      </c>
      <c r="E388" s="114">
        <f>MIN(C373:C387)</f>
        <v>1962</v>
      </c>
      <c r="F388" s="114">
        <f>MAX(C373:C387)</f>
        <v>2014</v>
      </c>
      <c r="G388" s="105">
        <f>G387</f>
        <v>38.941653000000002</v>
      </c>
      <c r="H388" s="105">
        <f>H387</f>
        <v>-74.883330999999998</v>
      </c>
      <c r="I388" s="106" t="str">
        <f>INDEX(I378:I387,MODE(MATCH(I378:I387,I378:I387,0)))</f>
        <v>Federal</v>
      </c>
      <c r="J388" s="106"/>
      <c r="K388" s="107">
        <f>AVERAGE(K373:K387)</f>
        <v>8739.875</v>
      </c>
      <c r="L388" s="107">
        <f>AVERAGE(L373:L387)</f>
        <v>2663.9139</v>
      </c>
      <c r="M388" s="107">
        <f>AVERAGE(M373:M387)</f>
        <v>476021.93333333335</v>
      </c>
      <c r="N388" s="107">
        <f>AVERAGE(N373:N387)</f>
        <v>363944.94923966663</v>
      </c>
      <c r="O388" s="107"/>
      <c r="P388" s="108">
        <f>N388/L388</f>
        <v>136.62038748311898</v>
      </c>
      <c r="Q388" s="108"/>
      <c r="R388" s="118">
        <f>MEDIAN(R373:R387)</f>
        <v>2990000</v>
      </c>
      <c r="S388" s="118">
        <f>MEDIAN(S373:S387)</f>
        <v>0.77500000000000002</v>
      </c>
      <c r="T388" s="107">
        <f>AVERAGE(T373:T387)</f>
        <v>5968092.5500444667</v>
      </c>
      <c r="U388" s="112">
        <f>AVERAGE(U373:U387)</f>
        <v>17.438018873978884</v>
      </c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</row>
    <row r="389" spans="1:42" x14ac:dyDescent="0.25">
      <c r="A389" s="2" t="s">
        <v>36</v>
      </c>
      <c r="B389" s="3" t="s">
        <v>13</v>
      </c>
      <c r="C389" s="3">
        <v>1967</v>
      </c>
      <c r="D389" s="3"/>
      <c r="E389" s="3"/>
      <c r="F389" s="3"/>
      <c r="G389" s="4">
        <v>38.929501999999999</v>
      </c>
      <c r="H389" s="4">
        <v>-74.924211999999997</v>
      </c>
      <c r="I389" s="5" t="s">
        <v>14</v>
      </c>
      <c r="J389" s="5" t="s">
        <v>14</v>
      </c>
      <c r="K389" s="6"/>
      <c r="L389" s="12"/>
      <c r="M389" s="7">
        <v>2500</v>
      </c>
      <c r="N389" s="12">
        <f t="shared" ref="N389:N415" si="113">M389*0.764555</f>
        <v>1911.3875</v>
      </c>
      <c r="O389" s="12"/>
      <c r="P389" s="12"/>
      <c r="Q389" s="12"/>
      <c r="R389" s="13"/>
      <c r="S389" s="9">
        <v>0.14000000000000001</v>
      </c>
      <c r="T389" s="8"/>
      <c r="U389" s="133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</row>
    <row r="390" spans="1:42" x14ac:dyDescent="0.25">
      <c r="A390" s="2" t="s">
        <v>36</v>
      </c>
      <c r="B390" s="3" t="s">
        <v>13</v>
      </c>
      <c r="C390" s="3">
        <v>1967</v>
      </c>
      <c r="D390" s="3"/>
      <c r="E390" s="3"/>
      <c r="F390" s="3"/>
      <c r="G390" s="4">
        <v>38.929501999999999</v>
      </c>
      <c r="H390" s="4">
        <v>-74.924211999999997</v>
      </c>
      <c r="I390" s="5" t="s">
        <v>14</v>
      </c>
      <c r="J390" s="5" t="s">
        <v>14</v>
      </c>
      <c r="K390" s="6"/>
      <c r="L390" s="12"/>
      <c r="M390" s="7">
        <v>15000</v>
      </c>
      <c r="N390" s="12">
        <f t="shared" si="113"/>
        <v>11468.324999999999</v>
      </c>
      <c r="O390" s="12"/>
      <c r="P390" s="12"/>
      <c r="Q390" s="12"/>
      <c r="R390" s="13"/>
      <c r="S390" s="9">
        <v>0.14000000000000001</v>
      </c>
      <c r="T390" s="8"/>
      <c r="U390" s="133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</row>
    <row r="391" spans="1:42" x14ac:dyDescent="0.25">
      <c r="A391" s="2" t="s">
        <v>36</v>
      </c>
      <c r="B391" s="3" t="s">
        <v>13</v>
      </c>
      <c r="C391" s="3">
        <v>1967</v>
      </c>
      <c r="D391" s="3"/>
      <c r="E391" s="3"/>
      <c r="F391" s="3"/>
      <c r="G391" s="4">
        <v>38.929501999999999</v>
      </c>
      <c r="H391" s="4">
        <v>-74.924211999999997</v>
      </c>
      <c r="I391" s="14" t="s">
        <v>1</v>
      </c>
      <c r="J391" s="5" t="s">
        <v>14</v>
      </c>
      <c r="K391" s="6"/>
      <c r="L391" s="12"/>
      <c r="M391" s="7">
        <v>300000</v>
      </c>
      <c r="N391" s="12">
        <f t="shared" si="113"/>
        <v>229366.5</v>
      </c>
      <c r="O391" s="12"/>
      <c r="P391" s="12"/>
      <c r="Q391" s="12"/>
      <c r="R391" s="19">
        <v>161659</v>
      </c>
      <c r="S391" s="9">
        <v>0.14000000000000001</v>
      </c>
      <c r="T391" s="8">
        <f>+R391/S391</f>
        <v>1154707.1428571427</v>
      </c>
      <c r="U391">
        <f t="shared" ref="U391:U399" si="114">T391/N391</f>
        <v>5.0343321402957395</v>
      </c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</row>
    <row r="392" spans="1:42" x14ac:dyDescent="0.25">
      <c r="A392" s="2" t="s">
        <v>36</v>
      </c>
      <c r="B392" s="3" t="s">
        <v>13</v>
      </c>
      <c r="C392" s="3">
        <v>1969</v>
      </c>
      <c r="D392" s="3"/>
      <c r="E392" s="3"/>
      <c r="F392" s="3"/>
      <c r="G392" s="4">
        <v>38.929501999999999</v>
      </c>
      <c r="H392" s="4">
        <v>-74.924211999999997</v>
      </c>
      <c r="I392" s="14" t="s">
        <v>1</v>
      </c>
      <c r="J392" s="5" t="s">
        <v>14</v>
      </c>
      <c r="K392" s="6"/>
      <c r="L392" s="12"/>
      <c r="M392" s="7">
        <v>253851</v>
      </c>
      <c r="N392" s="12">
        <f t="shared" si="113"/>
        <v>194083.051305</v>
      </c>
      <c r="O392" s="12"/>
      <c r="P392" s="12"/>
      <c r="Q392" s="12"/>
      <c r="R392" s="8">
        <v>256495</v>
      </c>
      <c r="S392" s="9">
        <v>0.154</v>
      </c>
      <c r="T392" s="8">
        <f>+R392/S392</f>
        <v>1665551.9480519481</v>
      </c>
      <c r="U392">
        <f t="shared" si="114"/>
        <v>8.5816455216099534</v>
      </c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</row>
    <row r="393" spans="1:42" x14ac:dyDescent="0.25">
      <c r="A393" s="2" t="s">
        <v>36</v>
      </c>
      <c r="B393" s="3" t="s">
        <v>13</v>
      </c>
      <c r="C393" s="3">
        <v>1981</v>
      </c>
      <c r="D393" s="3"/>
      <c r="E393" s="3"/>
      <c r="F393" s="3"/>
      <c r="G393" s="4">
        <v>38.929501999999999</v>
      </c>
      <c r="H393" s="4">
        <v>-74.924211999999997</v>
      </c>
      <c r="I393" s="5" t="s">
        <v>14</v>
      </c>
      <c r="J393" s="5" t="s">
        <v>14</v>
      </c>
      <c r="K393" s="6"/>
      <c r="L393" s="12"/>
      <c r="M393" s="7">
        <v>36000</v>
      </c>
      <c r="N393" s="12">
        <f t="shared" si="113"/>
        <v>27523.98</v>
      </c>
      <c r="O393" s="12"/>
      <c r="P393" s="12"/>
      <c r="Q393" s="12"/>
      <c r="R393" s="8">
        <v>93000</v>
      </c>
      <c r="S393" s="9">
        <v>0.38200000000000001</v>
      </c>
      <c r="T393" s="8">
        <f>+R393/S393</f>
        <v>243455.49738219896</v>
      </c>
      <c r="U393" s="133">
        <f t="shared" si="114"/>
        <v>8.8452141507950142</v>
      </c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</row>
    <row r="394" spans="1:42" x14ac:dyDescent="0.25">
      <c r="A394" s="2" t="s">
        <v>36</v>
      </c>
      <c r="B394" s="3" t="s">
        <v>13</v>
      </c>
      <c r="C394" s="3">
        <v>1986</v>
      </c>
      <c r="D394" s="11"/>
      <c r="E394" s="11"/>
      <c r="F394" s="11"/>
      <c r="G394" s="4">
        <v>38.929501999999999</v>
      </c>
      <c r="H394" s="4">
        <v>-74.924211999999997</v>
      </c>
      <c r="I394" s="5" t="s">
        <v>15</v>
      </c>
      <c r="J394" s="18" t="s">
        <v>17</v>
      </c>
      <c r="K394" s="6"/>
      <c r="L394" s="12"/>
      <c r="M394" s="12">
        <v>15000</v>
      </c>
      <c r="N394" s="12">
        <f t="shared" si="113"/>
        <v>11468.324999999999</v>
      </c>
      <c r="O394" s="12"/>
      <c r="P394" s="12"/>
      <c r="Q394" s="12"/>
      <c r="R394" s="19">
        <v>272000</v>
      </c>
      <c r="S394" s="9">
        <v>0.46100000000000002</v>
      </c>
      <c r="T394" s="8">
        <f>+R394/S394</f>
        <v>590021.69197396957</v>
      </c>
      <c r="U394" s="133">
        <f t="shared" si="114"/>
        <v>51.447939605301528</v>
      </c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</row>
    <row r="395" spans="1:42" x14ac:dyDescent="0.25">
      <c r="A395" s="2" t="s">
        <v>36</v>
      </c>
      <c r="B395" s="3" t="s">
        <v>13</v>
      </c>
      <c r="C395" s="3">
        <v>1989</v>
      </c>
      <c r="D395" s="3"/>
      <c r="E395" s="3"/>
      <c r="F395" s="3"/>
      <c r="G395" s="4">
        <v>38.929501999999999</v>
      </c>
      <c r="H395" s="4">
        <v>-74.924211999999997</v>
      </c>
      <c r="I395" s="14" t="s">
        <v>15</v>
      </c>
      <c r="J395" s="18" t="s">
        <v>16</v>
      </c>
      <c r="K395" s="7">
        <v>3600</v>
      </c>
      <c r="L395" s="12">
        <f>K395*0.3048</f>
        <v>1097.28</v>
      </c>
      <c r="M395" s="7">
        <v>465000</v>
      </c>
      <c r="N395" s="12">
        <f t="shared" si="113"/>
        <v>355518.07500000001</v>
      </c>
      <c r="O395" s="12"/>
      <c r="P395" s="12">
        <f>N395/L395</f>
        <v>323.99941218285215</v>
      </c>
      <c r="Q395" s="12">
        <f>P395/10</f>
        <v>32.399941218285214</v>
      </c>
      <c r="R395" s="8">
        <v>3158000</v>
      </c>
      <c r="S395" s="9">
        <v>0.52100000000000002</v>
      </c>
      <c r="T395" s="8">
        <f>+R395/S395</f>
        <v>6061420.3454894433</v>
      </c>
      <c r="U395" s="133">
        <f t="shared" si="114"/>
        <v>17.04954198317327</v>
      </c>
      <c r="Y395" s="10"/>
      <c r="Z395" s="10"/>
      <c r="AA395" s="10"/>
      <c r="AB395" s="10"/>
      <c r="AC395" s="10"/>
      <c r="AD395" s="10"/>
      <c r="AE395" s="10"/>
      <c r="AF395" s="10"/>
      <c r="AG395" s="10"/>
      <c r="AH395" s="16"/>
      <c r="AI395" s="16"/>
      <c r="AJ395" s="16"/>
      <c r="AK395" s="16"/>
      <c r="AL395" s="16"/>
      <c r="AM395" s="16"/>
      <c r="AN395" s="16"/>
      <c r="AO395" s="16"/>
      <c r="AP395" s="16"/>
    </row>
    <row r="396" spans="1:42" x14ac:dyDescent="0.25">
      <c r="A396" s="2" t="s">
        <v>36</v>
      </c>
      <c r="B396" s="3" t="s">
        <v>13</v>
      </c>
      <c r="C396" s="3">
        <v>1992</v>
      </c>
      <c r="D396" s="3"/>
      <c r="E396" s="3"/>
      <c r="F396" s="3"/>
      <c r="G396" s="4">
        <v>38.929501999999999</v>
      </c>
      <c r="H396" s="4">
        <v>-74.924211999999997</v>
      </c>
      <c r="I396" s="14" t="s">
        <v>1</v>
      </c>
      <c r="J396" s="5" t="s">
        <v>14</v>
      </c>
      <c r="K396" s="6"/>
      <c r="L396" s="12"/>
      <c r="M396" s="7">
        <v>42000</v>
      </c>
      <c r="N396" s="12">
        <f t="shared" si="113"/>
        <v>32111.309999999998</v>
      </c>
      <c r="O396" s="12"/>
      <c r="P396" s="12"/>
      <c r="Q396" s="12"/>
      <c r="R396" s="8">
        <v>187500</v>
      </c>
      <c r="S396" s="9">
        <v>0.58799999999999997</v>
      </c>
      <c r="T396" s="8">
        <f>+R396/S397</f>
        <v>318877.55102040817</v>
      </c>
      <c r="U396" s="133">
        <f t="shared" si="114"/>
        <v>9.9303812588277527</v>
      </c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</row>
    <row r="397" spans="1:42" x14ac:dyDescent="0.25">
      <c r="A397" s="2" t="s">
        <v>36</v>
      </c>
      <c r="B397" s="3" t="s">
        <v>13</v>
      </c>
      <c r="C397" s="3">
        <v>1992</v>
      </c>
      <c r="D397" s="3"/>
      <c r="E397" s="3"/>
      <c r="F397" s="3"/>
      <c r="G397" s="4">
        <v>38.929501999999999</v>
      </c>
      <c r="H397" s="4">
        <v>-74.924211999999997</v>
      </c>
      <c r="I397" s="5" t="s">
        <v>14</v>
      </c>
      <c r="J397" s="5" t="s">
        <v>14</v>
      </c>
      <c r="K397" s="6"/>
      <c r="L397" s="12"/>
      <c r="M397" s="7">
        <v>200000</v>
      </c>
      <c r="N397" s="12">
        <f t="shared" si="113"/>
        <v>152911</v>
      </c>
      <c r="O397" s="12"/>
      <c r="P397" s="12"/>
      <c r="Q397" s="12"/>
      <c r="R397" s="8">
        <v>261905</v>
      </c>
      <c r="S397" s="9">
        <v>0.58799999999999997</v>
      </c>
      <c r="T397" s="8">
        <f>+R397/S397</f>
        <v>445416.66666666669</v>
      </c>
      <c r="U397" s="133">
        <f t="shared" si="114"/>
        <v>2.9129144840244763</v>
      </c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</row>
    <row r="398" spans="1:42" x14ac:dyDescent="0.25">
      <c r="A398" s="2" t="s">
        <v>36</v>
      </c>
      <c r="B398" s="3" t="s">
        <v>13</v>
      </c>
      <c r="C398" s="3">
        <v>1993</v>
      </c>
      <c r="D398" s="3"/>
      <c r="E398" s="3"/>
      <c r="F398" s="3"/>
      <c r="G398" s="4">
        <v>38.929501999999999</v>
      </c>
      <c r="H398" s="4">
        <v>-74.924211999999997</v>
      </c>
      <c r="I398" s="14" t="s">
        <v>15</v>
      </c>
      <c r="J398" s="23" t="s">
        <v>17</v>
      </c>
      <c r="K398" s="6"/>
      <c r="L398" s="12"/>
      <c r="M398" s="7">
        <v>300000</v>
      </c>
      <c r="N398" s="12">
        <f t="shared" si="113"/>
        <v>229366.5</v>
      </c>
      <c r="O398" s="12"/>
      <c r="P398" s="12"/>
      <c r="Q398" s="12"/>
      <c r="R398" s="8">
        <v>2135000</v>
      </c>
      <c r="S398" s="9">
        <v>0.60599999999999998</v>
      </c>
      <c r="T398" s="8">
        <f>+R398/S398</f>
        <v>3523102.310231023</v>
      </c>
      <c r="U398" s="133">
        <f t="shared" si="114"/>
        <v>15.360143308770125</v>
      </c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</row>
    <row r="399" spans="1:42" s="133" customFormat="1" x14ac:dyDescent="0.25">
      <c r="A399" s="2" t="s">
        <v>36</v>
      </c>
      <c r="B399" s="3" t="s">
        <v>13</v>
      </c>
      <c r="C399" s="3">
        <v>1999</v>
      </c>
      <c r="D399" s="11"/>
      <c r="E399" s="11"/>
      <c r="F399" s="11"/>
      <c r="G399" s="4">
        <v>38.929501999999999</v>
      </c>
      <c r="H399" s="4">
        <v>-74.924211999999997</v>
      </c>
      <c r="I399" s="5" t="s">
        <v>15</v>
      </c>
      <c r="J399" s="5" t="s">
        <v>37</v>
      </c>
      <c r="K399" s="12">
        <v>10032</v>
      </c>
      <c r="L399" s="12">
        <f t="shared" ref="L399:L404" si="115">K399*0.3048</f>
        <v>3057.7536</v>
      </c>
      <c r="M399" s="12">
        <v>2372000</v>
      </c>
      <c r="N399" s="12">
        <f t="shared" si="113"/>
        <v>1813524.46</v>
      </c>
      <c r="O399" s="12"/>
      <c r="P399" s="12">
        <f t="shared" ref="P399:P404" si="116">N399/L399</f>
        <v>593.09045045356174</v>
      </c>
      <c r="Q399" s="12">
        <f t="shared" ref="Q399:Q404" si="117">P399/10</f>
        <v>59.309045045356171</v>
      </c>
      <c r="R399" s="19">
        <v>73571000</v>
      </c>
      <c r="S399" s="9">
        <v>0.69899999999999995</v>
      </c>
      <c r="T399" s="8">
        <f>+R399/S399</f>
        <v>105251788.26895566</v>
      </c>
      <c r="U399" s="133">
        <f t="shared" si="114"/>
        <v>58.037148431378569</v>
      </c>
      <c r="Y399" s="10"/>
      <c r="Z399" s="10"/>
      <c r="AA399" s="10"/>
      <c r="AB399" s="10"/>
      <c r="AC399" s="10"/>
      <c r="AD399" s="10"/>
      <c r="AE399" s="10"/>
      <c r="AF399" s="10"/>
      <c r="AG399" s="10"/>
      <c r="AH399" s="16"/>
      <c r="AI399" s="16"/>
      <c r="AJ399" s="16"/>
      <c r="AK399" s="16"/>
      <c r="AL399" s="16"/>
      <c r="AM399" s="16"/>
      <c r="AN399" s="16"/>
      <c r="AO399" s="16"/>
      <c r="AP399" s="16"/>
    </row>
    <row r="400" spans="1:42" s="133" customFormat="1" x14ac:dyDescent="0.25">
      <c r="A400" s="2" t="s">
        <v>36</v>
      </c>
      <c r="B400" s="3" t="s">
        <v>13</v>
      </c>
      <c r="C400" s="188">
        <v>2001</v>
      </c>
      <c r="F400" s="139"/>
      <c r="G400" s="4">
        <v>38.929501999999999</v>
      </c>
      <c r="H400" s="4">
        <v>-74.924211999999997</v>
      </c>
      <c r="I400" s="14"/>
      <c r="J400" s="5"/>
      <c r="K400" s="140">
        <v>18500</v>
      </c>
      <c r="L400" s="12">
        <f t="shared" si="115"/>
        <v>5638.8</v>
      </c>
      <c r="M400" s="140">
        <v>30000</v>
      </c>
      <c r="N400" s="12">
        <f t="shared" si="113"/>
        <v>22936.649999999998</v>
      </c>
      <c r="O400" s="12"/>
      <c r="P400" s="12">
        <f t="shared" si="116"/>
        <v>4.0676473717812298</v>
      </c>
      <c r="Q400" s="12">
        <f t="shared" si="117"/>
        <v>0.406764737178123</v>
      </c>
      <c r="R400" s="19"/>
      <c r="S400" s="9">
        <v>0.746</v>
      </c>
      <c r="T400" s="8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</row>
    <row r="401" spans="1:42" s="133" customFormat="1" x14ac:dyDescent="0.25">
      <c r="A401" s="2" t="s">
        <v>36</v>
      </c>
      <c r="B401" s="3" t="s">
        <v>13</v>
      </c>
      <c r="C401" s="188">
        <v>2003</v>
      </c>
      <c r="G401" s="4">
        <v>38.929501999999999</v>
      </c>
      <c r="H401" s="4">
        <v>-74.924211999999997</v>
      </c>
      <c r="I401" s="14"/>
      <c r="J401" s="5"/>
      <c r="K401" s="140">
        <v>18500</v>
      </c>
      <c r="L401" s="12">
        <f t="shared" si="115"/>
        <v>5638.8</v>
      </c>
      <c r="M401" s="140">
        <v>267000</v>
      </c>
      <c r="N401" s="12">
        <f t="shared" si="113"/>
        <v>204136.185</v>
      </c>
      <c r="O401" s="12"/>
      <c r="P401" s="12">
        <f t="shared" si="116"/>
        <v>36.202061608852944</v>
      </c>
      <c r="Q401" s="12">
        <f t="shared" si="117"/>
        <v>3.6202061608852945</v>
      </c>
      <c r="R401" s="141">
        <v>2350765</v>
      </c>
      <c r="S401" s="20">
        <v>0.77500000000000002</v>
      </c>
      <c r="T401" s="8">
        <f t="shared" ref="T401:T415" si="118">+R401/S401</f>
        <v>3033245.1612903224</v>
      </c>
      <c r="U401" s="133">
        <f t="shared" ref="U401:U415" si="119">T401/N401</f>
        <v>14.858929401910409</v>
      </c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</row>
    <row r="402" spans="1:42" s="133" customFormat="1" x14ac:dyDescent="0.25">
      <c r="A402" s="2" t="s">
        <v>36</v>
      </c>
      <c r="B402" s="3" t="s">
        <v>13</v>
      </c>
      <c r="C402" s="188">
        <v>2004</v>
      </c>
      <c r="G402" s="4">
        <v>38.929501999999999</v>
      </c>
      <c r="H402" s="4">
        <v>-74.924211999999997</v>
      </c>
      <c r="I402" s="14"/>
      <c r="J402" s="5"/>
      <c r="K402" s="140">
        <v>18500</v>
      </c>
      <c r="L402" s="12">
        <f t="shared" si="115"/>
        <v>5638.8</v>
      </c>
      <c r="M402" s="140">
        <v>290000</v>
      </c>
      <c r="N402" s="12">
        <f t="shared" si="113"/>
        <v>221720.94999999998</v>
      </c>
      <c r="O402" s="12"/>
      <c r="P402" s="12">
        <f t="shared" si="116"/>
        <v>39.320591260551886</v>
      </c>
      <c r="Q402" s="12">
        <f t="shared" si="117"/>
        <v>3.9320591260551887</v>
      </c>
      <c r="R402" s="141">
        <v>2364000</v>
      </c>
      <c r="S402" s="9">
        <v>0.79300000000000004</v>
      </c>
      <c r="T402" s="8">
        <f t="shared" si="118"/>
        <v>2981084.4892812106</v>
      </c>
      <c r="U402" s="133">
        <f t="shared" si="119"/>
        <v>13.44520889560148</v>
      </c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</row>
    <row r="403" spans="1:42" s="133" customFormat="1" x14ac:dyDescent="0.25">
      <c r="A403" s="2" t="s">
        <v>36</v>
      </c>
      <c r="B403" s="3" t="s">
        <v>13</v>
      </c>
      <c r="C403" s="188">
        <v>2005</v>
      </c>
      <c r="G403" s="4">
        <v>38.929501999999999</v>
      </c>
      <c r="H403" s="4">
        <v>-74.924211999999997</v>
      </c>
      <c r="I403" s="14"/>
      <c r="J403" s="5"/>
      <c r="K403" s="140">
        <v>18500</v>
      </c>
      <c r="L403" s="12">
        <f t="shared" si="115"/>
        <v>5638.8</v>
      </c>
      <c r="M403" s="140">
        <v>1075000</v>
      </c>
      <c r="N403" s="12">
        <f t="shared" si="113"/>
        <v>821896.625</v>
      </c>
      <c r="O403" s="12"/>
      <c r="P403" s="12">
        <f t="shared" si="116"/>
        <v>145.75736415549406</v>
      </c>
      <c r="Q403" s="12">
        <f t="shared" si="117"/>
        <v>14.575736415549406</v>
      </c>
      <c r="R403" s="141">
        <v>12778106</v>
      </c>
      <c r="S403" s="9">
        <v>0.82</v>
      </c>
      <c r="T403" s="8">
        <f t="shared" si="118"/>
        <v>15583056.097560976</v>
      </c>
      <c r="U403" s="133">
        <f t="shared" si="119"/>
        <v>18.959873569940715</v>
      </c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</row>
    <row r="404" spans="1:42" s="133" customFormat="1" x14ac:dyDescent="0.25">
      <c r="A404" s="2" t="s">
        <v>36</v>
      </c>
      <c r="B404" s="3" t="s">
        <v>13</v>
      </c>
      <c r="C404" s="188">
        <v>2006</v>
      </c>
      <c r="G404" s="4">
        <v>38.929501999999999</v>
      </c>
      <c r="H404" s="4">
        <v>-74.924211999999997</v>
      </c>
      <c r="I404" s="14"/>
      <c r="J404" s="5"/>
      <c r="K404" s="140">
        <v>18500</v>
      </c>
      <c r="L404" s="12">
        <f t="shared" si="115"/>
        <v>5638.8</v>
      </c>
      <c r="M404" s="140">
        <v>182000</v>
      </c>
      <c r="N404" s="12">
        <f t="shared" si="113"/>
        <v>139149.01</v>
      </c>
      <c r="O404" s="12"/>
      <c r="P404" s="12">
        <f t="shared" si="116"/>
        <v>24.677060722139462</v>
      </c>
      <c r="Q404" s="12">
        <f t="shared" si="117"/>
        <v>2.4677060722139461</v>
      </c>
      <c r="R404" s="141">
        <v>3995500</v>
      </c>
      <c r="S404" s="9">
        <v>0.84699999999999998</v>
      </c>
      <c r="T404" s="8">
        <f t="shared" si="118"/>
        <v>4717237.3081463994</v>
      </c>
      <c r="U404" s="133">
        <f t="shared" si="119"/>
        <v>33.900617102100831</v>
      </c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</row>
    <row r="405" spans="1:42" s="133" customFormat="1" x14ac:dyDescent="0.25">
      <c r="A405" s="2" t="s">
        <v>36</v>
      </c>
      <c r="B405" s="3" t="s">
        <v>13</v>
      </c>
      <c r="C405" s="188">
        <v>2007</v>
      </c>
      <c r="G405" s="4">
        <v>38.929501999999999</v>
      </c>
      <c r="H405" s="4">
        <v>-74.924211999999997</v>
      </c>
      <c r="I405" s="14"/>
      <c r="J405" s="5"/>
      <c r="K405" s="139"/>
      <c r="L405" s="12"/>
      <c r="M405" s="140">
        <v>190000</v>
      </c>
      <c r="N405" s="12">
        <f t="shared" si="113"/>
        <v>145265.44999999998</v>
      </c>
      <c r="O405" s="12"/>
      <c r="P405" s="12"/>
      <c r="Q405" s="12"/>
      <c r="R405" s="141">
        <v>5135000</v>
      </c>
      <c r="S405" s="20">
        <v>0.871</v>
      </c>
      <c r="T405" s="8">
        <f t="shared" si="118"/>
        <v>5895522.3880597018</v>
      </c>
      <c r="U405" s="133">
        <f t="shared" si="119"/>
        <v>40.584477506934391</v>
      </c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</row>
    <row r="406" spans="1:42" s="133" customFormat="1" x14ac:dyDescent="0.25">
      <c r="A406" s="2" t="s">
        <v>36</v>
      </c>
      <c r="B406" s="3" t="s">
        <v>13</v>
      </c>
      <c r="C406" s="188">
        <v>2009</v>
      </c>
      <c r="G406" s="4">
        <v>38.929501999999999</v>
      </c>
      <c r="H406" s="4">
        <v>-74.924211999999997</v>
      </c>
      <c r="I406" s="14"/>
      <c r="J406" s="5"/>
      <c r="K406" s="139"/>
      <c r="L406" s="12"/>
      <c r="M406" s="140">
        <v>233650</v>
      </c>
      <c r="N406" s="12">
        <f t="shared" si="113"/>
        <v>178638.27575</v>
      </c>
      <c r="O406" s="12"/>
      <c r="P406" s="12"/>
      <c r="Q406" s="12"/>
      <c r="R406" s="141">
        <v>4709000</v>
      </c>
      <c r="S406" s="20">
        <v>0.90100000000000002</v>
      </c>
      <c r="T406" s="8">
        <f t="shared" si="118"/>
        <v>5226415.0943396222</v>
      </c>
      <c r="U406" s="133">
        <f t="shared" si="119"/>
        <v>29.256972350392953</v>
      </c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</row>
    <row r="407" spans="1:42" s="133" customFormat="1" x14ac:dyDescent="0.25">
      <c r="A407" s="2" t="s">
        <v>36</v>
      </c>
      <c r="B407" s="3" t="s">
        <v>13</v>
      </c>
      <c r="C407" s="188">
        <v>2009</v>
      </c>
      <c r="G407" s="4">
        <v>38.929501999999999</v>
      </c>
      <c r="H407" s="4">
        <v>-74.924211999999997</v>
      </c>
      <c r="I407" s="14"/>
      <c r="J407" s="5"/>
      <c r="K407" s="139"/>
      <c r="L407" s="12"/>
      <c r="M407" s="140">
        <v>233650</v>
      </c>
      <c r="N407" s="12">
        <f t="shared" si="113"/>
        <v>178638.27575</v>
      </c>
      <c r="O407" s="12"/>
      <c r="P407" s="12"/>
      <c r="Q407" s="12"/>
      <c r="R407" s="141">
        <v>4709000</v>
      </c>
      <c r="S407" s="20">
        <v>0.90100000000000002</v>
      </c>
      <c r="T407" s="8">
        <f t="shared" si="118"/>
        <v>5226415.0943396222</v>
      </c>
      <c r="U407" s="133">
        <f t="shared" si="119"/>
        <v>29.256972350392953</v>
      </c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</row>
    <row r="408" spans="1:42" s="133" customFormat="1" x14ac:dyDescent="0.25">
      <c r="A408" s="2" t="s">
        <v>36</v>
      </c>
      <c r="B408" s="3" t="s">
        <v>13</v>
      </c>
      <c r="C408" s="188">
        <v>2009</v>
      </c>
      <c r="G408" s="4">
        <v>38.929501999999999</v>
      </c>
      <c r="H408" s="4">
        <v>-74.924211999999997</v>
      </c>
      <c r="I408" s="14"/>
      <c r="J408" s="5"/>
      <c r="K408" s="140">
        <v>18500</v>
      </c>
      <c r="L408" s="12">
        <f>K408*0.3048</f>
        <v>5638.8</v>
      </c>
      <c r="M408" s="140">
        <v>70000</v>
      </c>
      <c r="N408" s="12">
        <f t="shared" si="113"/>
        <v>53518.85</v>
      </c>
      <c r="O408" s="12"/>
      <c r="P408" s="12">
        <f>SUM(N406:N409)/L408</f>
        <v>121.66333288997659</v>
      </c>
      <c r="Q408" s="191">
        <f>P408/10</f>
        <v>12.166333288997659</v>
      </c>
      <c r="R408" s="141">
        <v>4500000</v>
      </c>
      <c r="S408" s="20">
        <v>0.90100000000000002</v>
      </c>
      <c r="T408" s="8">
        <f t="shared" si="118"/>
        <v>4994450.6104328521</v>
      </c>
      <c r="U408" s="133">
        <f t="shared" si="119"/>
        <v>93.321336509152417</v>
      </c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</row>
    <row r="409" spans="1:42" s="133" customFormat="1" x14ac:dyDescent="0.25">
      <c r="A409" s="2" t="s">
        <v>36</v>
      </c>
      <c r="B409" s="3" t="s">
        <v>13</v>
      </c>
      <c r="C409" s="188">
        <v>2011</v>
      </c>
      <c r="G409" s="4">
        <v>38.929501999999999</v>
      </c>
      <c r="H409" s="4">
        <v>-74.924211999999997</v>
      </c>
      <c r="I409" s="14"/>
      <c r="J409" s="5"/>
      <c r="K409" s="140">
        <v>18500</v>
      </c>
      <c r="L409" s="12">
        <f>K409*0.3048</f>
        <v>5638.8</v>
      </c>
      <c r="M409" s="140">
        <v>360000</v>
      </c>
      <c r="N409" s="12">
        <f t="shared" si="113"/>
        <v>275239.8</v>
      </c>
      <c r="O409" s="12"/>
      <c r="P409" s="12">
        <f>N409/L409</f>
        <v>48.811768461374754</v>
      </c>
      <c r="Q409" s="190">
        <f>P409/10</f>
        <v>4.8811768461374756</v>
      </c>
      <c r="R409" s="141">
        <v>9640000</v>
      </c>
      <c r="S409" s="20">
        <v>0.96399999999999997</v>
      </c>
      <c r="T409" s="8">
        <f t="shared" si="118"/>
        <v>10000000</v>
      </c>
      <c r="U409" s="133">
        <f t="shared" si="119"/>
        <v>36.331954898964469</v>
      </c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</row>
    <row r="410" spans="1:42" s="133" customFormat="1" x14ac:dyDescent="0.25">
      <c r="A410" s="2" t="s">
        <v>36</v>
      </c>
      <c r="B410" s="3" t="s">
        <v>13</v>
      </c>
      <c r="C410" s="188">
        <v>2012</v>
      </c>
      <c r="G410" s="4">
        <v>38.929501999999999</v>
      </c>
      <c r="H410" s="4">
        <v>-74.924211999999997</v>
      </c>
      <c r="I410" s="14"/>
      <c r="J410" s="5"/>
      <c r="K410" s="139"/>
      <c r="L410" s="12"/>
      <c r="M410" s="140">
        <v>635000</v>
      </c>
      <c r="N410" s="12">
        <f t="shared" si="113"/>
        <v>485492.42499999999</v>
      </c>
      <c r="O410" s="12"/>
      <c r="P410" s="12"/>
      <c r="Q410" s="12"/>
      <c r="R410" s="141">
        <v>9146464</v>
      </c>
      <c r="S410" s="81">
        <v>0.96399999999999997</v>
      </c>
      <c r="T410" s="8">
        <f t="shared" si="118"/>
        <v>9488033.1950207464</v>
      </c>
      <c r="U410" s="133">
        <f t="shared" si="119"/>
        <v>19.543112737589563</v>
      </c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</row>
    <row r="411" spans="1:42" s="133" customFormat="1" x14ac:dyDescent="0.25">
      <c r="A411" s="2" t="s">
        <v>36</v>
      </c>
      <c r="B411" s="3" t="s">
        <v>13</v>
      </c>
      <c r="C411" s="188">
        <v>2013</v>
      </c>
      <c r="G411" s="4">
        <v>38.929501999999999</v>
      </c>
      <c r="H411" s="4">
        <v>-74.924211999999997</v>
      </c>
      <c r="I411" s="14"/>
      <c r="J411" s="5"/>
      <c r="K411" s="139"/>
      <c r="L411" s="12"/>
      <c r="M411" s="140">
        <v>345000</v>
      </c>
      <c r="N411" s="12">
        <f t="shared" si="113"/>
        <v>263771.47499999998</v>
      </c>
      <c r="O411" s="12"/>
      <c r="P411" s="12"/>
      <c r="Q411" s="12"/>
      <c r="R411" s="141">
        <v>8812564</v>
      </c>
      <c r="S411" s="81">
        <v>0.97799999999999998</v>
      </c>
      <c r="T411" s="8">
        <f t="shared" si="118"/>
        <v>9010801.6359918211</v>
      </c>
      <c r="U411" s="133">
        <f t="shared" si="119"/>
        <v>34.161395336595142</v>
      </c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</row>
    <row r="412" spans="1:42" s="133" customFormat="1" x14ac:dyDescent="0.25">
      <c r="A412" s="2" t="s">
        <v>36</v>
      </c>
      <c r="B412" s="3" t="s">
        <v>13</v>
      </c>
      <c r="C412" s="188">
        <v>2014</v>
      </c>
      <c r="G412" s="4">
        <v>38.929501999999999</v>
      </c>
      <c r="H412" s="4">
        <v>-74.924211999999997</v>
      </c>
      <c r="I412" s="14"/>
      <c r="J412" s="5"/>
      <c r="K412" s="139"/>
      <c r="L412" s="12"/>
      <c r="M412" s="140">
        <v>585000</v>
      </c>
      <c r="N412" s="12">
        <f t="shared" si="113"/>
        <v>447264.67499999999</v>
      </c>
      <c r="O412" s="12"/>
      <c r="P412" s="12"/>
      <c r="Q412" s="12"/>
      <c r="R412" s="141">
        <v>9744500</v>
      </c>
      <c r="S412" s="9">
        <v>0.99399999999999999</v>
      </c>
      <c r="T412" s="8">
        <f t="shared" si="118"/>
        <v>9803319.9195171036</v>
      </c>
      <c r="U412" s="133">
        <f t="shared" si="119"/>
        <v>21.918386287754792</v>
      </c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</row>
    <row r="413" spans="1:42" s="133" customFormat="1" x14ac:dyDescent="0.25">
      <c r="A413" s="2" t="s">
        <v>36</v>
      </c>
      <c r="B413" s="3" t="s">
        <v>13</v>
      </c>
      <c r="C413" s="188">
        <v>2017</v>
      </c>
      <c r="G413" s="4">
        <v>38.929501999999999</v>
      </c>
      <c r="H413" s="4">
        <v>-74.924211999999997</v>
      </c>
      <c r="I413" s="14"/>
      <c r="J413" s="5"/>
      <c r="K413" s="139"/>
      <c r="L413" s="12"/>
      <c r="M413" s="140">
        <v>304000</v>
      </c>
      <c r="N413" s="12">
        <f t="shared" si="113"/>
        <v>232424.72</v>
      </c>
      <c r="O413" s="12"/>
      <c r="P413" s="12"/>
      <c r="Q413" s="12"/>
      <c r="R413" s="141">
        <v>6150000</v>
      </c>
      <c r="S413" s="133">
        <v>1.0213000000000001</v>
      </c>
      <c r="T413" s="8">
        <f t="shared" si="118"/>
        <v>6021737.0018603737</v>
      </c>
      <c r="U413" s="133">
        <f t="shared" si="119"/>
        <v>25.908332822173019</v>
      </c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</row>
    <row r="414" spans="1:42" s="133" customFormat="1" x14ac:dyDescent="0.25">
      <c r="A414" s="2" t="s">
        <v>36</v>
      </c>
      <c r="B414" s="3" t="s">
        <v>13</v>
      </c>
      <c r="C414" s="188">
        <v>2017</v>
      </c>
      <c r="G414" s="4">
        <v>38.929501999999999</v>
      </c>
      <c r="H414" s="4">
        <v>-74.924211999999997</v>
      </c>
      <c r="I414" s="14"/>
      <c r="J414" s="5"/>
      <c r="K414" s="139"/>
      <c r="L414" s="12"/>
      <c r="M414" s="140">
        <v>648000</v>
      </c>
      <c r="N414" s="12">
        <f t="shared" si="113"/>
        <v>495431.64</v>
      </c>
      <c r="O414" s="12"/>
      <c r="P414" s="12"/>
      <c r="Q414" s="12"/>
      <c r="R414" s="141">
        <v>11950000</v>
      </c>
      <c r="S414" s="133">
        <v>1.0213000000000001</v>
      </c>
      <c r="T414" s="8">
        <f t="shared" si="118"/>
        <v>11700773.523940075</v>
      </c>
      <c r="U414" s="133">
        <f t="shared" si="119"/>
        <v>23.61733199748824</v>
      </c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</row>
    <row r="415" spans="1:42" x14ac:dyDescent="0.25">
      <c r="A415" s="2" t="s">
        <v>36</v>
      </c>
      <c r="B415" s="3" t="s">
        <v>13</v>
      </c>
      <c r="C415" s="188">
        <v>2017</v>
      </c>
      <c r="D415" s="133"/>
      <c r="E415" s="133"/>
      <c r="F415" s="133"/>
      <c r="G415" s="4">
        <v>38.929501999999999</v>
      </c>
      <c r="H415" s="4">
        <v>-74.924211999999997</v>
      </c>
      <c r="I415" s="14"/>
      <c r="J415" s="5"/>
      <c r="K415" s="139"/>
      <c r="L415" s="12"/>
      <c r="M415" s="140">
        <v>304000</v>
      </c>
      <c r="N415" s="12">
        <f t="shared" si="113"/>
        <v>232424.72</v>
      </c>
      <c r="O415" s="12"/>
      <c r="P415" s="12"/>
      <c r="Q415" s="12"/>
      <c r="R415" s="141">
        <v>6150000</v>
      </c>
      <c r="S415" s="133">
        <v>1.0213000000000001</v>
      </c>
      <c r="T415" s="8">
        <f t="shared" si="118"/>
        <v>6021737.0018603737</v>
      </c>
      <c r="U415" s="133">
        <f t="shared" si="119"/>
        <v>25.908332822173019</v>
      </c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</row>
    <row r="416" spans="1:42" s="112" customFormat="1" ht="14.5" x14ac:dyDescent="0.35">
      <c r="A416" s="112" t="s">
        <v>115</v>
      </c>
      <c r="C416" s="112">
        <f>MAX(C389:C415)-MIN(C389:C415)</f>
        <v>50</v>
      </c>
      <c r="D416" s="112">
        <f>COUNT(C389:C415)</f>
        <v>27</v>
      </c>
      <c r="E416" s="112">
        <f>MIN(C389:C415)</f>
        <v>1967</v>
      </c>
      <c r="F416" s="112">
        <f>MAX(C389:C415)</f>
        <v>2017</v>
      </c>
      <c r="G416" s="105">
        <v>38.929501999999999</v>
      </c>
      <c r="H416" s="105">
        <v>-74.924211999999997</v>
      </c>
      <c r="I416" s="112" t="e">
        <f>INDEX(I390:I415,MODE(MATCH(I390:I415,I390:I415,0)))</f>
        <v>#N/A</v>
      </c>
      <c r="K416" s="122">
        <f>AVERAGE(K389:K415)</f>
        <v>15903.555555555555</v>
      </c>
      <c r="L416" s="122">
        <f>AVERAGE(L389:L415)</f>
        <v>4847.4037333333335</v>
      </c>
      <c r="M416" s="122">
        <f>AVERAGE(M389:M415)</f>
        <v>361246.33333333331</v>
      </c>
      <c r="N416" s="122">
        <f>AVERAGE(N389:N415)</f>
        <v>276192.69038166659</v>
      </c>
      <c r="O416" s="122"/>
      <c r="P416" s="122">
        <f>AVERAGE(P389:P415)</f>
        <v>148.62107656739832</v>
      </c>
      <c r="Q416" s="122">
        <f>AVERAGE(Q389:Q415)</f>
        <v>14.862107656739827</v>
      </c>
      <c r="R416" s="129">
        <f>MEDIAN(R389:R415)</f>
        <v>4604500</v>
      </c>
      <c r="S416" s="129">
        <f>MEDIAN(S389:S415)</f>
        <v>0.79300000000000004</v>
      </c>
      <c r="T416" s="122">
        <f t="shared" ref="T416:U416" si="120">AVERAGE(T389:T415)</f>
        <v>9539923.7476779018</v>
      </c>
      <c r="U416" s="122">
        <f t="shared" si="120"/>
        <v>26.590520644722535</v>
      </c>
    </row>
    <row r="417" spans="1:42" x14ac:dyDescent="0.25">
      <c r="A417" s="29" t="s">
        <v>63</v>
      </c>
      <c r="B417" s="3" t="s">
        <v>13</v>
      </c>
      <c r="C417" s="21">
        <v>2011</v>
      </c>
      <c r="D417" s="21"/>
      <c r="E417" s="21"/>
      <c r="F417" s="21"/>
      <c r="G417" s="4">
        <v>38.931038000000001</v>
      </c>
      <c r="H417" s="4">
        <v>-74.958100000000002</v>
      </c>
      <c r="I417" s="23" t="s">
        <v>15</v>
      </c>
      <c r="J417" s="18" t="s">
        <v>16</v>
      </c>
      <c r="K417" s="24">
        <v>7000</v>
      </c>
      <c r="L417" s="12">
        <f>K417*0.3048</f>
        <v>2133.6</v>
      </c>
      <c r="M417" s="25">
        <v>300000</v>
      </c>
      <c r="N417" s="12">
        <f>M417*0.764555</f>
        <v>229366.5</v>
      </c>
      <c r="O417" s="12"/>
      <c r="P417" s="12">
        <f>N417/L417</f>
        <v>107.50210911136108</v>
      </c>
      <c r="Q417" s="191">
        <f>P417/10</f>
        <v>10.750210911136108</v>
      </c>
      <c r="R417" s="26">
        <v>9400000</v>
      </c>
      <c r="S417" s="20">
        <v>0.96399999999999997</v>
      </c>
      <c r="T417" s="8">
        <f>+R417/S417</f>
        <v>9751037.3443983402</v>
      </c>
      <c r="U417" s="133">
        <f t="shared" ref="U417:U418" si="121">T417/N417</f>
        <v>42.512909881775848</v>
      </c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</row>
    <row r="418" spans="1:42" x14ac:dyDescent="0.25">
      <c r="A418" s="29" t="s">
        <v>63</v>
      </c>
      <c r="B418" s="34" t="s">
        <v>13</v>
      </c>
      <c r="C418" s="21">
        <v>2013</v>
      </c>
      <c r="D418" s="21"/>
      <c r="E418" s="21"/>
      <c r="F418" s="21"/>
      <c r="G418" s="4">
        <v>38.931038000000001</v>
      </c>
      <c r="H418" s="4">
        <v>-74.958100000000002</v>
      </c>
      <c r="I418" s="23" t="s">
        <v>15</v>
      </c>
      <c r="J418" s="18" t="s">
        <v>16</v>
      </c>
      <c r="K418" s="24">
        <v>7000</v>
      </c>
      <c r="L418" s="12">
        <f>K418*0.3048</f>
        <v>2133.6</v>
      </c>
      <c r="M418" s="25">
        <v>300000</v>
      </c>
      <c r="N418" s="12">
        <f>M418*0.764555</f>
        <v>229366.5</v>
      </c>
      <c r="O418" s="12"/>
      <c r="P418" s="12">
        <f t="shared" ref="P418:P419" si="122">N418/L418</f>
        <v>107.50210911136108</v>
      </c>
      <c r="Q418" s="191">
        <f t="shared" ref="Q418:Q419" si="123">P418/10</f>
        <v>10.750210911136108</v>
      </c>
      <c r="R418" s="36">
        <v>7497000</v>
      </c>
      <c r="S418" s="20">
        <v>0.97799999999999998</v>
      </c>
      <c r="T418" s="8">
        <f>+R418/S418</f>
        <v>7665644.1717791408</v>
      </c>
      <c r="U418" s="133">
        <f t="shared" si="121"/>
        <v>33.42094059847075</v>
      </c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</row>
    <row r="419" spans="1:42" x14ac:dyDescent="0.25">
      <c r="A419" s="2" t="s">
        <v>63</v>
      </c>
      <c r="B419" s="3" t="s">
        <v>13</v>
      </c>
      <c r="C419" s="21">
        <v>2009</v>
      </c>
      <c r="D419" s="21"/>
      <c r="E419" s="21"/>
      <c r="F419" s="21"/>
      <c r="G419" s="4">
        <v>38.931038000000001</v>
      </c>
      <c r="H419" s="4">
        <v>-74.958100000000002</v>
      </c>
      <c r="I419" s="23" t="s">
        <v>15</v>
      </c>
      <c r="J419" s="18" t="s">
        <v>16</v>
      </c>
      <c r="K419" s="24">
        <v>7000</v>
      </c>
      <c r="L419" s="12">
        <f>K419*0.3048</f>
        <v>2133.6</v>
      </c>
      <c r="M419" s="25">
        <v>375000</v>
      </c>
      <c r="N419" s="12">
        <f>M419*0.764555</f>
        <v>286708.125</v>
      </c>
      <c r="O419" s="12"/>
      <c r="P419" s="12">
        <f t="shared" si="122"/>
        <v>134.37763638920134</v>
      </c>
      <c r="Q419" s="191">
        <f t="shared" si="123"/>
        <v>13.437763638920135</v>
      </c>
      <c r="R419" s="26"/>
      <c r="S419" s="20">
        <v>0.90100000000000002</v>
      </c>
      <c r="T419" s="8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</row>
    <row r="420" spans="1:42" x14ac:dyDescent="0.25">
      <c r="A420" s="2" t="s">
        <v>63</v>
      </c>
      <c r="B420" s="3" t="s">
        <v>13</v>
      </c>
      <c r="C420" s="21">
        <v>2005</v>
      </c>
      <c r="D420" s="21"/>
      <c r="E420" s="21"/>
      <c r="F420" s="21"/>
      <c r="G420" s="4">
        <v>38.931038000000001</v>
      </c>
      <c r="H420" s="4">
        <v>-74.958100000000002</v>
      </c>
      <c r="I420" s="23" t="s">
        <v>15</v>
      </c>
      <c r="J420" s="18" t="s">
        <v>16</v>
      </c>
      <c r="K420" s="24"/>
      <c r="L420" s="12"/>
      <c r="M420" s="25">
        <v>1406000</v>
      </c>
      <c r="N420" s="12">
        <f>M420*0.764555</f>
        <v>1074964.33</v>
      </c>
      <c r="O420" s="12"/>
      <c r="P420" s="12"/>
      <c r="Q420" s="191"/>
      <c r="R420" s="13"/>
      <c r="S420" s="9">
        <v>0.82</v>
      </c>
      <c r="T420" s="8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</row>
    <row r="421" spans="1:42" s="112" customFormat="1" ht="14.5" x14ac:dyDescent="0.35">
      <c r="A421" s="112" t="s">
        <v>118</v>
      </c>
      <c r="C421" s="112">
        <f>MAX(C417:C420)-MIN(C417:C420)</f>
        <v>8</v>
      </c>
      <c r="D421" s="112">
        <f>COUNT(C417:C420)</f>
        <v>4</v>
      </c>
      <c r="E421" s="112">
        <f>MIN(C417:C420)</f>
        <v>2005</v>
      </c>
      <c r="F421" s="112">
        <f>MAX(C417:C420)</f>
        <v>2013</v>
      </c>
      <c r="G421" s="105">
        <v>38.931038000000001</v>
      </c>
      <c r="H421" s="105">
        <v>-74.958100000000002</v>
      </c>
      <c r="I421" s="112" t="e">
        <f>INDEX(I395:I420,MODE(MATCH(I395:I420,I395:I420,0)))</f>
        <v>#N/A</v>
      </c>
      <c r="K421" s="122">
        <f>AVERAGE(K417:K420)</f>
        <v>7000</v>
      </c>
      <c r="L421" s="122">
        <f>AVERAGE(L417:L420)</f>
        <v>2133.6</v>
      </c>
      <c r="M421" s="122">
        <f>AVERAGE(M417:M420)</f>
        <v>595250</v>
      </c>
      <c r="N421" s="122">
        <f>AVERAGE(N417:N420)</f>
        <v>455101.36375000002</v>
      </c>
      <c r="O421" s="122"/>
      <c r="P421" s="122">
        <f>AVERAGE(P417:P420)</f>
        <v>116.46061820397449</v>
      </c>
      <c r="Q421" s="122">
        <f>AVERAGE(Q417:Q420)</f>
        <v>11.646061820397449</v>
      </c>
      <c r="R421" s="129">
        <f>MEDIAN(R417:R420)</f>
        <v>8448500</v>
      </c>
      <c r="S421" s="129">
        <f>MEDIAN(S417:S420)</f>
        <v>0.9325</v>
      </c>
      <c r="T421" s="129">
        <f>AVERAGE(T417:T420)</f>
        <v>8708340.7580887415</v>
      </c>
      <c r="U421" s="122">
        <f>AVERAGE(U417:U420)</f>
        <v>37.966925240123302</v>
      </c>
    </row>
    <row r="422" spans="1:42" x14ac:dyDescent="0.25">
      <c r="A422" s="2" t="s">
        <v>63</v>
      </c>
      <c r="B422" s="3" t="s">
        <v>13</v>
      </c>
      <c r="C422" s="11">
        <v>2004</v>
      </c>
      <c r="D422" s="11"/>
      <c r="E422" s="11"/>
      <c r="F422" s="11"/>
      <c r="G422" s="4">
        <v>38.931947999999998</v>
      </c>
      <c r="H422" s="4">
        <v>-74.965845000000002</v>
      </c>
      <c r="I422" s="5" t="s">
        <v>15</v>
      </c>
      <c r="J422" s="18" t="s">
        <v>16</v>
      </c>
      <c r="K422" s="6">
        <v>675</v>
      </c>
      <c r="L422" s="12">
        <f>K422*0.3048</f>
        <v>205.74</v>
      </c>
      <c r="M422" s="12">
        <v>9623</v>
      </c>
      <c r="N422" s="12">
        <f>M422*0.764555</f>
        <v>7357.3127649999997</v>
      </c>
      <c r="O422" s="12"/>
      <c r="P422" s="12">
        <f t="shared" ref="P422:P424" si="124">N422/L422</f>
        <v>35.760244799261201</v>
      </c>
      <c r="Q422" s="12">
        <f t="shared" ref="Q422:Q424" si="125">P422/10</f>
        <v>3.57602447992612</v>
      </c>
      <c r="R422" s="13"/>
      <c r="S422" s="9">
        <v>0.79300000000000004</v>
      </c>
      <c r="T422" s="8"/>
      <c r="Y422" s="10"/>
      <c r="Z422" s="10"/>
      <c r="AA422" s="10"/>
      <c r="AB422" s="10"/>
      <c r="AC422" s="10"/>
      <c r="AD422" s="10"/>
      <c r="AE422" s="10"/>
      <c r="AF422" s="10"/>
      <c r="AG422" s="10"/>
      <c r="AH422" s="16"/>
      <c r="AI422" s="16"/>
      <c r="AJ422" s="16"/>
      <c r="AK422" s="16"/>
      <c r="AL422" s="16"/>
      <c r="AM422" s="16"/>
      <c r="AN422" s="16"/>
      <c r="AO422" s="16"/>
      <c r="AP422" s="16"/>
    </row>
    <row r="423" spans="1:42" x14ac:dyDescent="0.25">
      <c r="A423" s="2" t="s">
        <v>63</v>
      </c>
      <c r="B423" s="3" t="s">
        <v>13</v>
      </c>
      <c r="C423" s="11">
        <v>2001</v>
      </c>
      <c r="D423" s="11"/>
      <c r="E423" s="11"/>
      <c r="F423" s="11"/>
      <c r="G423" s="4">
        <v>38.931947999999998</v>
      </c>
      <c r="H423" s="4">
        <v>-74.965845000000002</v>
      </c>
      <c r="I423" s="5" t="s">
        <v>15</v>
      </c>
      <c r="J423" s="18" t="s">
        <v>16</v>
      </c>
      <c r="K423" s="6">
        <v>1200</v>
      </c>
      <c r="L423" s="12">
        <f>K423*0.3048</f>
        <v>365.76</v>
      </c>
      <c r="M423" s="25">
        <v>30000</v>
      </c>
      <c r="N423" s="12">
        <f>M423*0.764555</f>
        <v>22936.649999999998</v>
      </c>
      <c r="O423" s="12"/>
      <c r="P423" s="12">
        <f t="shared" si="124"/>
        <v>62.709563648293958</v>
      </c>
      <c r="Q423" s="12">
        <f t="shared" si="125"/>
        <v>6.270956364829396</v>
      </c>
      <c r="R423" s="13"/>
      <c r="S423" s="9">
        <v>0.746</v>
      </c>
      <c r="T423" s="8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</row>
    <row r="424" spans="1:42" x14ac:dyDescent="0.25">
      <c r="A424" s="2" t="s">
        <v>38</v>
      </c>
      <c r="B424" s="3" t="s">
        <v>13</v>
      </c>
      <c r="C424" s="21">
        <v>2009</v>
      </c>
      <c r="D424" s="21"/>
      <c r="E424" s="21"/>
      <c r="F424" s="21"/>
      <c r="G424" s="4">
        <v>38.941653000000002</v>
      </c>
      <c r="H424" s="4">
        <v>-74.883330999999998</v>
      </c>
      <c r="I424" s="23" t="s">
        <v>15</v>
      </c>
      <c r="J424" s="18" t="s">
        <v>16</v>
      </c>
      <c r="K424" s="6">
        <v>4500</v>
      </c>
      <c r="L424" s="12">
        <f>K424*0.3048</f>
        <v>1371.6000000000001</v>
      </c>
      <c r="M424" s="25">
        <v>375000</v>
      </c>
      <c r="N424" s="12">
        <f>M424*0.764555</f>
        <v>286708.125</v>
      </c>
      <c r="O424" s="12"/>
      <c r="P424" s="12">
        <f t="shared" si="124"/>
        <v>209.03187882764652</v>
      </c>
      <c r="Q424" s="12">
        <f t="shared" si="125"/>
        <v>20.903187882764652</v>
      </c>
      <c r="R424" s="26">
        <v>4125000</v>
      </c>
      <c r="S424" s="20">
        <v>0.90100000000000002</v>
      </c>
      <c r="T424" s="8">
        <f>+R424/S424</f>
        <v>4578246.3928967817</v>
      </c>
      <c r="U424" s="133">
        <f>T424/N424</f>
        <v>15.968317580454972</v>
      </c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</row>
    <row r="425" spans="1:42" s="112" customFormat="1" ht="14.5" x14ac:dyDescent="0.35">
      <c r="A425" s="103" t="s">
        <v>117</v>
      </c>
      <c r="B425" s="104"/>
      <c r="C425" s="116">
        <f>C424-C423</f>
        <v>8</v>
      </c>
      <c r="D425" s="116">
        <f>COUNT(C422:C424,C417:C420)</f>
        <v>7</v>
      </c>
      <c r="E425" s="116">
        <f>MIN(C422:C424,C417:C420)</f>
        <v>2001</v>
      </c>
      <c r="F425" s="116">
        <f>MAX(C422:C424,C417:C420)</f>
        <v>2013</v>
      </c>
      <c r="G425" s="105">
        <v>38.931947999999998</v>
      </c>
      <c r="H425" s="105">
        <v>-74.965845000000002</v>
      </c>
      <c r="I425" s="117" t="e">
        <f>INDEX(I415:I424,MODE(MATCH(I415:I424,I415:I424,0)))</f>
        <v>#N/A</v>
      </c>
      <c r="J425" s="117"/>
      <c r="K425" s="107">
        <f>AVERAGE(K422:K424,K417:K420)</f>
        <v>4562.5</v>
      </c>
      <c r="L425" s="107">
        <f t="shared" ref="L425:N425" si="126">AVERAGE(L422:L424,L417:L420)</f>
        <v>1390.6499999999999</v>
      </c>
      <c r="M425" s="107">
        <f t="shared" si="126"/>
        <v>399374.71428571426</v>
      </c>
      <c r="N425" s="107">
        <f t="shared" si="126"/>
        <v>305343.93468071427</v>
      </c>
      <c r="O425" s="107"/>
      <c r="P425" s="107">
        <f>AVERAGE(P417:P420,P422:P424)</f>
        <v>109.48059031452085</v>
      </c>
      <c r="Q425" s="107">
        <f>AVERAGE(Q417:Q420,Q422:Q424)</f>
        <v>10.948059031452084</v>
      </c>
      <c r="R425" s="118">
        <f>MEDIAN(R422:R424,R417:R420)</f>
        <v>7497000</v>
      </c>
      <c r="S425" s="118">
        <f>MEDIAN(S422:S424)</f>
        <v>0.79300000000000004</v>
      </c>
      <c r="T425" s="118">
        <f>AVERAGE(T422:T424,T417:T420)</f>
        <v>7331642.636358087</v>
      </c>
      <c r="U425" s="118">
        <f>AVERAGE(U422:U424,U417:U420)</f>
        <v>30.634056020233857</v>
      </c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</row>
    <row r="426" spans="1:42" x14ac:dyDescent="0.25">
      <c r="T426" t="s">
        <v>163</v>
      </c>
      <c r="U426" s="138">
        <f>MEDIAN(U73:U425)</f>
        <v>14.134127092863981</v>
      </c>
    </row>
    <row r="427" spans="1:42" x14ac:dyDescent="0.25">
      <c r="T427" t="s">
        <v>164</v>
      </c>
      <c r="U427" s="126">
        <f>AVERAGE(U73:U425)</f>
        <v>19.079752709427698</v>
      </c>
    </row>
    <row r="430" spans="1:42" x14ac:dyDescent="0.25">
      <c r="T430" s="173"/>
    </row>
    <row r="539" spans="41:41" x14ac:dyDescent="0.25">
      <c r="AO539" t="e">
        <f>(AN539/$AN$538)*100</f>
        <v>#DIV/0!</v>
      </c>
    </row>
  </sheetData>
  <sortState ref="A389:AP415">
    <sortCondition ref="C389:C415"/>
  </sortState>
  <mergeCells count="23">
    <mergeCell ref="P62:P63"/>
    <mergeCell ref="Q62:Q63"/>
    <mergeCell ref="P224:P226"/>
    <mergeCell ref="Q224:Q226"/>
    <mergeCell ref="P294:P295"/>
    <mergeCell ref="Q294:Q295"/>
    <mergeCell ref="L303:L304"/>
    <mergeCell ref="P298:P300"/>
    <mergeCell ref="Q298:Q300"/>
    <mergeCell ref="P301:P302"/>
    <mergeCell ref="P303:P304"/>
    <mergeCell ref="Q301:Q302"/>
    <mergeCell ref="Q303:Q304"/>
    <mergeCell ref="R364:R365"/>
    <mergeCell ref="S364:S365"/>
    <mergeCell ref="T364:T365"/>
    <mergeCell ref="U364:U365"/>
    <mergeCell ref="P343:P344"/>
    <mergeCell ref="Q343:Q344"/>
    <mergeCell ref="P354:P355"/>
    <mergeCell ref="Q354:Q355"/>
    <mergeCell ref="P364:P365"/>
    <mergeCell ref="Q364:Q36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pane xSplit="1" topLeftCell="P1" activePane="topRight" state="frozen"/>
      <selection activeCell="V2" sqref="V2:V22"/>
      <selection pane="topRight" activeCell="AB2" sqref="AB2"/>
    </sheetView>
  </sheetViews>
  <sheetFormatPr defaultRowHeight="12.5" x14ac:dyDescent="0.25"/>
  <cols>
    <col min="1" max="1" width="19.6328125" customWidth="1"/>
    <col min="3" max="3" width="10.54296875" customWidth="1"/>
    <col min="4" max="4" width="11.6328125" style="136" customWidth="1"/>
    <col min="5" max="5" width="8.90625" style="136" customWidth="1"/>
    <col min="6" max="6" width="10.36328125" style="133" customWidth="1"/>
    <col min="7" max="7" width="11" style="133" customWidth="1"/>
    <col min="8" max="8" width="13.08984375" style="169" customWidth="1"/>
    <col min="9" max="9" width="14.90625" style="133" customWidth="1"/>
    <col min="10" max="11" width="8.90625" style="133"/>
    <col min="12" max="12" width="14.6328125" style="133" bestFit="1" customWidth="1"/>
    <col min="13" max="13" width="11.1796875" style="133" customWidth="1"/>
    <col min="14" max="14" width="10.54296875" style="133" customWidth="1"/>
    <col min="15" max="16" width="11.6328125" style="133" customWidth="1"/>
    <col min="17" max="17" width="8.90625" style="214"/>
    <col min="18" max="18" width="8.90625" style="133"/>
    <col min="19" max="19" width="10" style="133" customWidth="1"/>
    <col min="20" max="20" width="12.36328125" style="133" customWidth="1"/>
    <col min="21" max="22" width="8.90625" style="133"/>
    <col min="23" max="23" width="9.6328125" style="133" customWidth="1"/>
    <col min="24" max="24" width="10.26953125" style="133" customWidth="1"/>
    <col min="25" max="26" width="8.90625" style="133"/>
    <col min="28" max="28" width="8.90625" style="133"/>
    <col min="32" max="32" width="8.90625" style="133"/>
  </cols>
  <sheetData>
    <row r="1" spans="1:32" s="133" customFormat="1" ht="78" x14ac:dyDescent="0.3">
      <c r="A1" s="1" t="s">
        <v>0</v>
      </c>
      <c r="B1" s="1" t="s">
        <v>172</v>
      </c>
      <c r="C1" s="1" t="s">
        <v>245</v>
      </c>
      <c r="D1" s="168" t="s">
        <v>244</v>
      </c>
      <c r="E1" s="168" t="s">
        <v>241</v>
      </c>
      <c r="F1" s="167" t="s">
        <v>173</v>
      </c>
      <c r="G1" s="166" t="s">
        <v>174</v>
      </c>
      <c r="H1" s="167" t="s">
        <v>243</v>
      </c>
      <c r="I1" s="167" t="s">
        <v>242</v>
      </c>
      <c r="J1" s="167"/>
      <c r="K1" s="167" t="s">
        <v>248</v>
      </c>
      <c r="L1" s="167" t="s">
        <v>246</v>
      </c>
      <c r="M1" s="167" t="s">
        <v>247</v>
      </c>
      <c r="N1" s="167" t="s">
        <v>249</v>
      </c>
      <c r="O1" s="167" t="s">
        <v>250</v>
      </c>
      <c r="P1" s="167" t="s">
        <v>251</v>
      </c>
      <c r="Q1" s="217"/>
      <c r="R1" s="167"/>
      <c r="S1" s="167" t="s">
        <v>257</v>
      </c>
      <c r="T1" s="167" t="s">
        <v>256</v>
      </c>
      <c r="U1" s="167" t="s">
        <v>255</v>
      </c>
      <c r="V1" s="167" t="s">
        <v>254</v>
      </c>
      <c r="W1" s="167" t="s">
        <v>253</v>
      </c>
      <c r="X1" s="167" t="s">
        <v>252</v>
      </c>
      <c r="Z1" s="167" t="s">
        <v>176</v>
      </c>
      <c r="AA1" s="167" t="s">
        <v>177</v>
      </c>
      <c r="AB1" s="167" t="s">
        <v>258</v>
      </c>
      <c r="AE1" s="167"/>
    </row>
    <row r="2" spans="1:32" x14ac:dyDescent="0.25">
      <c r="A2" s="133" t="s">
        <v>159</v>
      </c>
      <c r="B2" s="133">
        <v>15</v>
      </c>
      <c r="C2" s="133">
        <v>1962</v>
      </c>
      <c r="D2" s="136">
        <v>2015</v>
      </c>
      <c r="E2" s="135">
        <f>($D$40-$C$40)/B2</f>
        <v>5.5333333333333332</v>
      </c>
      <c r="F2" s="133">
        <v>5.63</v>
      </c>
      <c r="G2" s="133">
        <v>5630</v>
      </c>
      <c r="H2" s="187">
        <v>18.541181964560842</v>
      </c>
      <c r="I2" s="126">
        <v>151042100.70572236</v>
      </c>
      <c r="K2" s="133">
        <v>98.899971957244347</v>
      </c>
      <c r="L2" s="126">
        <v>1525284.0394359068</v>
      </c>
      <c r="M2" s="126">
        <f>L2/E2</f>
        <v>275653.74206673016</v>
      </c>
      <c r="N2" s="133">
        <f>L2/G2</f>
        <v>270.92078853213263</v>
      </c>
      <c r="O2" s="133">
        <f>N2/10</f>
        <v>27.092078853213263</v>
      </c>
      <c r="P2" s="133">
        <f>N2/E2</f>
        <v>48.96158828893963</v>
      </c>
      <c r="R2" s="220" t="s">
        <v>240</v>
      </c>
      <c r="S2" s="133">
        <f>IF(I2&gt;I3,I2-I3,I3-I2)</f>
        <v>25432474.277461857</v>
      </c>
      <c r="T2" s="133">
        <f>IF(I2&gt;I3,P2-P3,P3-P2)</f>
        <v>-23.790166961033083</v>
      </c>
      <c r="U2" s="133">
        <f>IF(I2&gt;I3,K2-K3,K3-K2)</f>
        <v>-24.490482004582589</v>
      </c>
      <c r="V2" s="133" t="s">
        <v>201</v>
      </c>
      <c r="W2" s="133">
        <f>IF(I2&gt;I3,I2/I3,I3/I2)</f>
        <v>1.168380035490981</v>
      </c>
      <c r="X2" s="133">
        <f>IF(I2&gt;I3,E2/E3,E3/E2)</f>
        <v>2.5</v>
      </c>
      <c r="Z2">
        <v>99476358.030066133</v>
      </c>
      <c r="AA2" s="133">
        <f>IF(Z2&gt;Z3,Z2/Z3,Z3/Z2)</f>
        <v>1.1468915433365645</v>
      </c>
      <c r="AB2">
        <f>IF(Z2&gt;Z3,E2/E3,E3/E2)</f>
        <v>0.39999999999999997</v>
      </c>
      <c r="AE2" s="133"/>
      <c r="AF2"/>
    </row>
    <row r="3" spans="1:32" x14ac:dyDescent="0.25">
      <c r="A3" s="133" t="s">
        <v>158</v>
      </c>
      <c r="B3" s="133">
        <v>6</v>
      </c>
      <c r="C3" s="133">
        <v>1963</v>
      </c>
      <c r="D3" s="136">
        <v>2013</v>
      </c>
      <c r="E3" s="135">
        <f t="shared" ref="E3:E39" si="0">($D$40-$C$40)/B3</f>
        <v>13.833333333333334</v>
      </c>
      <c r="F3" s="133">
        <v>2.61</v>
      </c>
      <c r="G3" s="133">
        <v>2610</v>
      </c>
      <c r="H3" s="187">
        <v>26.621761117228978</v>
      </c>
      <c r="I3" s="126">
        <v>176474574.98318422</v>
      </c>
      <c r="K3" s="133">
        <v>74.409489952661758</v>
      </c>
      <c r="L3" s="126">
        <v>908814.16704406601</v>
      </c>
      <c r="M3" s="126">
        <f>L3/E3</f>
        <v>65697.409665836094</v>
      </c>
      <c r="N3" s="133">
        <f>L3/G3</f>
        <v>348.20466170270726</v>
      </c>
      <c r="O3" s="133">
        <f>N3/10</f>
        <v>34.820466170270727</v>
      </c>
      <c r="P3" s="133">
        <f>N3/E3</f>
        <v>25.171421327906547</v>
      </c>
      <c r="R3" s="220"/>
      <c r="S3" s="133">
        <f>IF(I3&gt;I4,I3-I4,I4-I3)</f>
        <v>187711983.97731662</v>
      </c>
      <c r="T3" s="133">
        <f>IF(I3&gt;I4,P3-P4,P4-P3)</f>
        <v>-13.25765440451225</v>
      </c>
      <c r="U3" s="133">
        <f>IF(I3&gt;I4,K3-K4,K4-K3)</f>
        <v>-6.1478209335665923</v>
      </c>
      <c r="V3" s="133" t="s">
        <v>202</v>
      </c>
      <c r="W3" s="133">
        <f>IF(I3&gt;I4,I3/I4,I4/I3)</f>
        <v>2.0636772123984612</v>
      </c>
      <c r="X3" s="133">
        <f>IF(I3&gt;I4,E3/E4,E4/E3)</f>
        <v>0.75</v>
      </c>
      <c r="Z3">
        <v>86735627.800225213</v>
      </c>
      <c r="AA3" s="133">
        <f t="shared" ref="AA3:AA16" si="1">IF(Z3&gt;Z4,Z3/Z4,Z4/Z3)</f>
        <v>2.1463434933634313</v>
      </c>
      <c r="AB3" s="133">
        <f>IF(Z3&gt;Z4,E3/E4,E4/E3)</f>
        <v>0.75</v>
      </c>
      <c r="AE3" s="133"/>
      <c r="AF3"/>
    </row>
    <row r="4" spans="1:32" x14ac:dyDescent="0.25">
      <c r="A4" s="133" t="s">
        <v>120</v>
      </c>
      <c r="B4" s="133">
        <v>8</v>
      </c>
      <c r="C4" s="133">
        <v>1943</v>
      </c>
      <c r="D4" s="136">
        <v>2014</v>
      </c>
      <c r="E4" s="135">
        <f t="shared" si="0"/>
        <v>10.375</v>
      </c>
      <c r="F4" s="133">
        <v>6.95</v>
      </c>
      <c r="G4" s="133">
        <v>6950</v>
      </c>
      <c r="H4" s="187">
        <v>24.729403582081741</v>
      </c>
      <c r="I4" s="126">
        <v>364186558.96050084</v>
      </c>
      <c r="K4" s="133">
        <v>68.261669019095166</v>
      </c>
      <c r="L4" s="126">
        <v>859057.05622000003</v>
      </c>
      <c r="M4" s="126">
        <f>L4/E4</f>
        <v>82800.680117590367</v>
      </c>
      <c r="N4" s="133">
        <f>L4/G4</f>
        <v>123.60533183021583</v>
      </c>
      <c r="O4" s="133">
        <f>N4/10</f>
        <v>12.360533183021584</v>
      </c>
      <c r="P4" s="133">
        <f>N4/E4</f>
        <v>11.913766923394297</v>
      </c>
      <c r="R4" s="220"/>
      <c r="S4" s="133">
        <f>IF(I4&gt;I5,I4-I5,I5-I4)</f>
        <v>36250957.019310892</v>
      </c>
      <c r="T4" s="133">
        <f>IF(I4&gt;I5,P4-P5,P5-P4)</f>
        <v>-3.6152087494118721</v>
      </c>
      <c r="U4" s="133">
        <f>IF(I4&gt;I5,K4-K5,K5-K4)</f>
        <v>-5.9308946207593749E-2</v>
      </c>
      <c r="V4" s="133" t="s">
        <v>203</v>
      </c>
      <c r="W4" s="133">
        <f>IF(I4&gt;I5,I4/I5,I5/I4)</f>
        <v>1.1105429139279972</v>
      </c>
      <c r="X4" s="133">
        <f>IF(I4&gt;I5,E4/E5,E5/E4)</f>
        <v>0.25</v>
      </c>
      <c r="Z4">
        <v>186164450.37180573</v>
      </c>
      <c r="AA4" s="133">
        <f t="shared" si="1"/>
        <v>1.6943151756083235</v>
      </c>
      <c r="AB4" s="133">
        <f>IF(Z4&gt;Z5,E4/E5,E5/E4)</f>
        <v>0.25</v>
      </c>
      <c r="AE4" s="133"/>
      <c r="AF4"/>
    </row>
    <row r="5" spans="1:32" s="133" customFormat="1" x14ac:dyDescent="0.25">
      <c r="A5" s="133" t="s">
        <v>175</v>
      </c>
      <c r="B5" s="133">
        <v>2</v>
      </c>
      <c r="C5" s="133">
        <v>2016</v>
      </c>
      <c r="D5" s="136">
        <v>2016</v>
      </c>
      <c r="E5" s="135">
        <f t="shared" si="0"/>
        <v>41.5</v>
      </c>
      <c r="F5" s="170">
        <v>2.61</v>
      </c>
      <c r="G5" s="133">
        <f>F5*1000</f>
        <v>2610</v>
      </c>
      <c r="H5" s="187">
        <v>36.717432892024647</v>
      </c>
      <c r="I5" s="126">
        <v>327935601.94118994</v>
      </c>
      <c r="K5" s="133">
        <v>68.32097796530276</v>
      </c>
      <c r="L5" s="126">
        <v>1682021</v>
      </c>
      <c r="M5" s="126">
        <f>L5/E5</f>
        <v>40530.626506024098</v>
      </c>
      <c r="N5" s="133">
        <f>L5/G5</f>
        <v>644.45249042145599</v>
      </c>
      <c r="O5" s="133">
        <f>N5/10</f>
        <v>64.445249042145605</v>
      </c>
      <c r="P5" s="133">
        <f>N5/E5</f>
        <v>15.528975672806169</v>
      </c>
      <c r="Q5" s="214"/>
      <c r="R5" s="220"/>
      <c r="S5" s="133">
        <f>IF(I5&gt;I6,I5-I6,I6-I5)</f>
        <v>252408743.5797787</v>
      </c>
      <c r="T5" s="133">
        <f>IF(I5&gt;I6,P5-P6,P6-P5)</f>
        <v>7.5606254555780312</v>
      </c>
      <c r="U5" s="133">
        <f>IF(I5&gt;I6,K5-K6,K6-K5)</f>
        <v>-9.6050585679104756</v>
      </c>
      <c r="V5" s="133" t="s">
        <v>204</v>
      </c>
      <c r="W5" s="133">
        <f>IF(I5&gt;I6,I5/I6,I6/I5)</f>
        <v>4.3419732934203612</v>
      </c>
      <c r="X5" s="133">
        <f>IF(I5&gt;I6,E5/E6,E6/E5)</f>
        <v>1</v>
      </c>
      <c r="Z5">
        <v>109875926.89475004</v>
      </c>
      <c r="AA5" s="133">
        <f t="shared" si="1"/>
        <v>1.7528719725417461</v>
      </c>
      <c r="AB5" s="133">
        <f>IF(Z5&gt;Z6,E5/E6,E6/E5)</f>
        <v>1</v>
      </c>
    </row>
    <row r="6" spans="1:32" x14ac:dyDescent="0.25">
      <c r="A6" s="133" t="s">
        <v>143</v>
      </c>
      <c r="B6" s="133">
        <v>2</v>
      </c>
      <c r="C6" s="133">
        <v>2001</v>
      </c>
      <c r="D6" s="136">
        <v>2014</v>
      </c>
      <c r="E6" s="135">
        <f t="shared" si="0"/>
        <v>41.5</v>
      </c>
      <c r="F6" s="133">
        <v>1.49</v>
      </c>
      <c r="G6" s="133">
        <v>1490</v>
      </c>
      <c r="H6" s="187">
        <v>20.47471892661553</v>
      </c>
      <c r="I6" s="126">
        <v>75526858.361411244</v>
      </c>
      <c r="K6" s="133">
        <v>77.926036533213235</v>
      </c>
      <c r="L6" s="126">
        <v>492722.93568230188</v>
      </c>
      <c r="M6" s="126">
        <f>L6/E6</f>
        <v>11872.841823669925</v>
      </c>
      <c r="N6" s="133">
        <f>L6/G6</f>
        <v>330.68653401496772</v>
      </c>
      <c r="O6" s="133">
        <f>N6/10</f>
        <v>33.068653401496775</v>
      </c>
      <c r="P6" s="133">
        <f>N6/E6</f>
        <v>7.9683502172281377</v>
      </c>
      <c r="R6" s="220"/>
      <c r="S6" s="133">
        <f>IF(I6&gt;I7,I6-I7,I7-I6)</f>
        <v>18839714.932042122</v>
      </c>
      <c r="T6" s="133">
        <f>IF(I6&gt;I7,P6-P7,P7-P6)</f>
        <v>3.1546253507179403</v>
      </c>
      <c r="U6" s="133">
        <f>IF(I6&gt;I7,K6-K7,K7-K6)</f>
        <v>33.542462452248813</v>
      </c>
      <c r="V6" s="133" t="s">
        <v>205</v>
      </c>
      <c r="W6" s="133">
        <f>IF(I6&gt;I7,I6/I7,I7/I6)</f>
        <v>1.2494439109580102</v>
      </c>
      <c r="X6" s="133">
        <f>IF(I6&gt;I7,E6/E7,E7/E6)</f>
        <v>0.5</v>
      </c>
      <c r="Z6">
        <v>62683372.554257244</v>
      </c>
      <c r="AA6" s="133">
        <f t="shared" si="1"/>
        <v>1.2988230465809265</v>
      </c>
      <c r="AB6" s="133">
        <f>IF(Z6&gt;Z7,E6/E7,E7/E6)</f>
        <v>0.5</v>
      </c>
      <c r="AE6" s="133"/>
      <c r="AF6"/>
    </row>
    <row r="7" spans="1:32" x14ac:dyDescent="0.25">
      <c r="A7" s="133" t="s">
        <v>142</v>
      </c>
      <c r="B7" s="133">
        <v>4</v>
      </c>
      <c r="C7" s="133">
        <v>1958</v>
      </c>
      <c r="D7" s="136">
        <v>2014</v>
      </c>
      <c r="E7" s="135">
        <f t="shared" si="0"/>
        <v>20.75</v>
      </c>
      <c r="F7" s="133">
        <v>1.46</v>
      </c>
      <c r="G7" s="133">
        <v>1460</v>
      </c>
      <c r="H7" s="187">
        <v>20.066643098120213</v>
      </c>
      <c r="I7" s="126">
        <v>94366573.293453366</v>
      </c>
      <c r="K7" s="133">
        <v>111.46849898546205</v>
      </c>
      <c r="L7" s="126">
        <v>336970.54483092646</v>
      </c>
      <c r="M7" s="126">
        <f>L7/E7</f>
        <v>16239.544329201275</v>
      </c>
      <c r="N7" s="133">
        <f>L7/G7</f>
        <v>230.80174303488113</v>
      </c>
      <c r="O7" s="133">
        <f>N7/10</f>
        <v>23.080174303488114</v>
      </c>
      <c r="P7" s="133">
        <f>N7/E7</f>
        <v>11.122975567946078</v>
      </c>
      <c r="R7" s="220"/>
      <c r="S7" s="133">
        <f>IF(I7&gt;I8,I7-I8,I8-I7)</f>
        <v>723624.3649751097</v>
      </c>
      <c r="T7" s="133">
        <f>IF(I7&gt;I8,P7-P8,P8-P7)</f>
        <v>-9.2336975582606122</v>
      </c>
      <c r="U7" s="133">
        <f>IF(I7&gt;I8,K7-K8,K8-K7)</f>
        <v>-3.4708615640558662</v>
      </c>
      <c r="V7" s="133" t="s">
        <v>206</v>
      </c>
      <c r="W7" s="133">
        <f>IF(I7&gt;I8,I7/I8,I8/I7)</f>
        <v>1.0077274837374866</v>
      </c>
      <c r="X7" s="133">
        <f>IF(I7&gt;I8,E7/E8,E8/E7)</f>
        <v>3.25</v>
      </c>
      <c r="Z7">
        <v>81414608.910887629</v>
      </c>
      <c r="AA7" s="133">
        <f t="shared" si="1"/>
        <v>1.1027534898512095</v>
      </c>
      <c r="AB7" s="133">
        <f>IF(Z7&gt;Z8,E7/E8,E8/E7)</f>
        <v>3.25</v>
      </c>
      <c r="AE7" s="133"/>
      <c r="AF7"/>
    </row>
    <row r="8" spans="1:32" x14ac:dyDescent="0.25">
      <c r="A8" s="133" t="s">
        <v>144</v>
      </c>
      <c r="B8" s="133">
        <v>13</v>
      </c>
      <c r="C8" s="133">
        <v>1947</v>
      </c>
      <c r="D8" s="136">
        <v>2014</v>
      </c>
      <c r="E8" s="135">
        <f t="shared" si="0"/>
        <v>6.384615384615385</v>
      </c>
      <c r="F8" s="126">
        <v>0.88983000000000001</v>
      </c>
      <c r="G8" s="133">
        <v>889.83</v>
      </c>
      <c r="H8" s="187">
        <v>28.223834921417662</v>
      </c>
      <c r="I8" s="126">
        <v>93642948.928478256</v>
      </c>
      <c r="K8" s="133">
        <v>114.93936054951791</v>
      </c>
      <c r="L8" s="126">
        <v>115650.78547500596</v>
      </c>
      <c r="M8" s="126">
        <f>L8/E8</f>
        <v>18113.978447892499</v>
      </c>
      <c r="N8" s="133">
        <f>L8/G8</f>
        <v>129.96952842116579</v>
      </c>
      <c r="O8" s="133">
        <f>N8/10</f>
        <v>12.996952842116579</v>
      </c>
      <c r="P8" s="133">
        <f>N8/E8</f>
        <v>20.35667312620669</v>
      </c>
      <c r="R8" s="220"/>
      <c r="S8" s="133">
        <f>IF(I8&gt;I9,I8-I9,I9-I8)</f>
        <v>19641099.92034632</v>
      </c>
      <c r="T8" s="133">
        <f>IF(I8&gt;I9,P8-P9,P9-P8)</f>
        <v>-13.828966100195601</v>
      </c>
      <c r="U8" s="133">
        <f>IF(I8&gt;I9,K8-K9,K9-K8)</f>
        <v>-47.87917143912793</v>
      </c>
      <c r="V8" s="133" t="s">
        <v>207</v>
      </c>
      <c r="W8" s="133">
        <f>IF(I8&gt;I9,I8/I9,I9/I8)</f>
        <v>1.2097445685456534</v>
      </c>
      <c r="X8" s="133">
        <f>IF(I8&gt;I9,E8/E9,E9/E8)</f>
        <v>1.625</v>
      </c>
      <c r="Z8">
        <v>73828475.411918759</v>
      </c>
      <c r="AA8" s="133">
        <f t="shared" si="1"/>
        <v>1.0465836270098365</v>
      </c>
      <c r="AB8" s="133">
        <f>IF(Z8&gt;Z9,E8/E9,E9/E8)</f>
        <v>1.625</v>
      </c>
      <c r="AE8" s="133"/>
      <c r="AF8"/>
    </row>
    <row r="9" spans="1:32" x14ac:dyDescent="0.25">
      <c r="A9" s="133" t="s">
        <v>145</v>
      </c>
      <c r="B9" s="133">
        <v>8</v>
      </c>
      <c r="C9" s="133">
        <v>1967</v>
      </c>
      <c r="D9" s="136">
        <v>2014</v>
      </c>
      <c r="E9" s="135">
        <f t="shared" si="0"/>
        <v>10.375</v>
      </c>
      <c r="F9" s="133">
        <v>2.2799999999999998</v>
      </c>
      <c r="G9" s="133">
        <v>2280</v>
      </c>
      <c r="H9" s="187">
        <v>21.277832873280374</v>
      </c>
      <c r="I9" s="126">
        <v>113284048.84882458</v>
      </c>
      <c r="K9" s="133">
        <v>67.060189110389985</v>
      </c>
      <c r="L9" s="126">
        <v>154412.90970029234</v>
      </c>
      <c r="M9" s="126">
        <f>L9/E9</f>
        <v>14883.172019305286</v>
      </c>
      <c r="N9" s="133">
        <f>L9/G9</f>
        <v>67.724960394865064</v>
      </c>
      <c r="O9" s="133">
        <f>N9/10</f>
        <v>6.7724960394865068</v>
      </c>
      <c r="P9" s="133">
        <f>N9/E9</f>
        <v>6.5277070260110905</v>
      </c>
      <c r="R9" s="220"/>
      <c r="S9" s="133">
        <f>IF(I9&gt;I10,I9-I10,I10-I9)</f>
        <v>394624481.25287038</v>
      </c>
      <c r="T9" s="133">
        <f>IF(I9&gt;I10,P9-P10,P10-P9)</f>
        <v>-0.13733239490135407</v>
      </c>
      <c r="U9" s="133">
        <f>IF(I9&gt;I10,K9-K10,K10-K9)</f>
        <v>14.407681529711354</v>
      </c>
      <c r="V9" s="133" t="s">
        <v>208</v>
      </c>
      <c r="W9" s="133">
        <f>IF(I9&gt;I10,I9/I10,I10/I9)</f>
        <v>4.4834955606105611</v>
      </c>
      <c r="X9" s="133">
        <f>IF(I9&gt;I10,E9/E10,E10/E9)</f>
        <v>1</v>
      </c>
      <c r="Z9">
        <v>77267673.573212475</v>
      </c>
      <c r="AA9" s="133">
        <f t="shared" si="1"/>
        <v>1.5520383739964434</v>
      </c>
      <c r="AB9" s="133">
        <f>IF(Z9&gt;Z10,E9/E10,E10/E9)</f>
        <v>1</v>
      </c>
      <c r="AE9" s="133"/>
      <c r="AF9"/>
    </row>
    <row r="10" spans="1:32" x14ac:dyDescent="0.25">
      <c r="A10" s="133" t="s">
        <v>146</v>
      </c>
      <c r="B10" s="133">
        <v>8</v>
      </c>
      <c r="C10" s="133">
        <v>1959</v>
      </c>
      <c r="D10" s="136">
        <v>2014</v>
      </c>
      <c r="E10" s="135">
        <f t="shared" si="0"/>
        <v>10.375</v>
      </c>
      <c r="F10" s="133">
        <v>3.18</v>
      </c>
      <c r="G10" s="133">
        <v>3180</v>
      </c>
      <c r="H10" s="187">
        <v>15.807807938388571</v>
      </c>
      <c r="I10" s="126">
        <v>507908530.10169494</v>
      </c>
      <c r="K10" s="133">
        <v>81.467870640101339</v>
      </c>
      <c r="L10" s="126">
        <v>210834.43501688796</v>
      </c>
      <c r="M10" s="126">
        <f>L10/E10</f>
        <v>20321.391326928959</v>
      </c>
      <c r="N10" s="133">
        <f>L10/G10</f>
        <v>66.300136797763514</v>
      </c>
      <c r="O10" s="133">
        <f>N10/10</f>
        <v>6.6300136797763516</v>
      </c>
      <c r="P10" s="133">
        <f>N10/E10</f>
        <v>6.3903746311097365</v>
      </c>
      <c r="R10" s="220"/>
      <c r="S10" s="133">
        <f>IF(I10&gt;I11,I10-I11,I11-I10)</f>
        <v>252054401.2710928</v>
      </c>
      <c r="T10" s="133">
        <f>IF(I10&gt;I11,P10-P11,P11-P10)</f>
        <v>-3.3061063886661977</v>
      </c>
      <c r="U10" s="133">
        <f>IF(I10&gt;I11,K10-K11,K11-K10)</f>
        <v>-44.648319516521568</v>
      </c>
      <c r="V10" s="133" t="s">
        <v>209</v>
      </c>
      <c r="W10" s="133">
        <f>IF(I10&gt;I11,I10/I11,I11/I10)</f>
        <v>1.9851488518990246</v>
      </c>
      <c r="X10" s="133">
        <f>IF(I10&gt;I11,E10/E11,E11/E10)</f>
        <v>0.75</v>
      </c>
      <c r="Z10">
        <v>119922394.45505665</v>
      </c>
      <c r="AA10" s="133">
        <f t="shared" si="1"/>
        <v>1.0582999185729374</v>
      </c>
      <c r="AB10" s="133">
        <f>IF(Z10&gt;Z11,E10/E11,E11/E10)</f>
        <v>1.3333333333333335</v>
      </c>
      <c r="AE10" s="133"/>
      <c r="AF10"/>
    </row>
    <row r="11" spans="1:32" x14ac:dyDescent="0.25">
      <c r="A11" s="133" t="s">
        <v>147</v>
      </c>
      <c r="B11" s="133">
        <v>6</v>
      </c>
      <c r="C11" s="133">
        <v>1962</v>
      </c>
      <c r="D11" s="136">
        <v>2014</v>
      </c>
      <c r="E11" s="135">
        <f t="shared" si="0"/>
        <v>13.833333333333334</v>
      </c>
      <c r="F11" s="133">
        <v>1.69</v>
      </c>
      <c r="G11" s="133">
        <v>1690</v>
      </c>
      <c r="H11" s="187">
        <v>18.35270859804621</v>
      </c>
      <c r="I11" s="126">
        <v>255854128.83060214</v>
      </c>
      <c r="K11" s="133">
        <v>126.11619015662291</v>
      </c>
      <c r="L11" s="126">
        <v>226687.56544066174</v>
      </c>
      <c r="M11" s="126">
        <f>L11/E11</f>
        <v>16387.052923421328</v>
      </c>
      <c r="N11" s="133">
        <f>L11/G11</f>
        <v>134.13465410690043</v>
      </c>
      <c r="O11" s="133">
        <f>N11/10</f>
        <v>13.413465410690042</v>
      </c>
      <c r="P11" s="133">
        <f>N11/E11</f>
        <v>9.6964810197759341</v>
      </c>
      <c r="R11" s="220"/>
      <c r="S11" s="133">
        <f>IF(I11&gt;I12,I11-I12,I12-I11)</f>
        <v>117141701.20612523</v>
      </c>
      <c r="T11" s="133">
        <f>IF(I11&gt;I12,P11-P12,P12-P11)</f>
        <v>4.2637554111713127</v>
      </c>
      <c r="U11" s="133">
        <f>IF(I11&gt;I12,K11-K12,K12-K11)</f>
        <v>58.275586344555478</v>
      </c>
      <c r="V11" s="133" t="s">
        <v>210</v>
      </c>
      <c r="W11" s="133">
        <f>IF(I11&gt;I12,I11/I12,I12/I11)</f>
        <v>1.8444931951104766</v>
      </c>
      <c r="X11" s="133">
        <f>IF(I11&gt;I12,E11/E12,E12/E11)</f>
        <v>0.33333333333333337</v>
      </c>
      <c r="Z11">
        <v>126913860.28685813</v>
      </c>
      <c r="AA11" s="133">
        <f t="shared" si="1"/>
        <v>1.5761157156215613</v>
      </c>
      <c r="AB11" s="133">
        <f>IF(Z11&gt;Z12,E11/E12,E12/E11)</f>
        <v>0.33333333333333337</v>
      </c>
      <c r="AE11" s="133"/>
      <c r="AF11"/>
    </row>
    <row r="12" spans="1:32" x14ac:dyDescent="0.25">
      <c r="A12" s="133" t="s">
        <v>150</v>
      </c>
      <c r="B12" s="133">
        <v>2</v>
      </c>
      <c r="C12" s="133">
        <v>1999</v>
      </c>
      <c r="D12" s="136">
        <v>2014</v>
      </c>
      <c r="E12" s="135">
        <f t="shared" si="0"/>
        <v>41.5</v>
      </c>
      <c r="F12" s="133">
        <v>1.64</v>
      </c>
      <c r="G12" s="133">
        <v>1640</v>
      </c>
      <c r="H12" s="187">
        <v>21.277832873280374</v>
      </c>
      <c r="I12" s="126">
        <v>138712427.62447691</v>
      </c>
      <c r="K12" s="133">
        <v>67.840603812067428</v>
      </c>
      <c r="L12" s="126">
        <v>369751.30492163054</v>
      </c>
      <c r="M12" s="126">
        <f>L12/E12</f>
        <v>8909.6699981115798</v>
      </c>
      <c r="N12" s="133">
        <f>L12/G12</f>
        <v>225.45811275709178</v>
      </c>
      <c r="O12" s="133">
        <f>N12/10</f>
        <v>22.545811275709177</v>
      </c>
      <c r="P12" s="133">
        <f>N12/E12</f>
        <v>5.4327256086046214</v>
      </c>
      <c r="R12" s="220"/>
      <c r="S12" s="133">
        <f>IF(I12&gt;I13,I12-I13,I13-I12)</f>
        <v>4995734.433676511</v>
      </c>
      <c r="T12" s="133">
        <f>IF(I12&gt;I13,P12-P13,P13-P12)</f>
        <v>2.0601633757733344</v>
      </c>
      <c r="U12" s="133">
        <f>IF(I12&gt;I13,K12-K13,K13-K12)</f>
        <v>16.921579282523055</v>
      </c>
      <c r="V12" s="133" t="s">
        <v>211</v>
      </c>
      <c r="W12" s="133">
        <f>IF(I12&gt;I13,I12/I13,I13/I12)</f>
        <v>1.0360150457982107</v>
      </c>
      <c r="X12" s="133">
        <f>IF(I12&gt;I13,E12/E13,E13/E12)</f>
        <v>0.33333333333333337</v>
      </c>
      <c r="Z12">
        <v>80523186.86309655</v>
      </c>
      <c r="AA12" s="133">
        <f t="shared" si="1"/>
        <v>1.4789510523247382</v>
      </c>
      <c r="AB12" s="133">
        <f>IF(Z12&gt;Z13,E12/E13,E13/E12)</f>
        <v>0.33333333333333337</v>
      </c>
      <c r="AE12" s="133"/>
      <c r="AF12"/>
    </row>
    <row r="13" spans="1:32" x14ac:dyDescent="0.25">
      <c r="A13" t="s">
        <v>168</v>
      </c>
      <c r="B13">
        <v>6</v>
      </c>
      <c r="C13">
        <v>1962</v>
      </c>
      <c r="D13" s="136">
        <v>2019</v>
      </c>
      <c r="E13" s="135">
        <f t="shared" si="0"/>
        <v>13.833333333333334</v>
      </c>
      <c r="F13" s="133">
        <v>2.97</v>
      </c>
      <c r="G13" s="133">
        <f>F13*1000</f>
        <v>2970</v>
      </c>
      <c r="H13" s="187">
        <v>9.4247676079985645</v>
      </c>
      <c r="I13" s="126">
        <v>143708162.05815342</v>
      </c>
      <c r="K13" s="133">
        <v>84.762183094590483</v>
      </c>
      <c r="L13" s="126">
        <v>307845.34392316832</v>
      </c>
      <c r="M13" s="126">
        <f>L13/E13</f>
        <v>22253.880283602528</v>
      </c>
      <c r="N13" s="133">
        <f>L13/G13</f>
        <v>103.65163095056172</v>
      </c>
      <c r="O13" s="133">
        <f>N13/10</f>
        <v>10.365163095056172</v>
      </c>
      <c r="P13" s="133">
        <f>N13/E13</f>
        <v>7.4928889843779558</v>
      </c>
      <c r="R13" s="220"/>
      <c r="Z13">
        <v>119089851.94771819</v>
      </c>
      <c r="AA13" s="133">
        <f t="shared" si="1"/>
        <v>1.1019205341296729</v>
      </c>
      <c r="AB13" s="133">
        <f>IF(Z13&gt;Z14,E13/E14,E14/E13)</f>
        <v>3</v>
      </c>
      <c r="AE13" s="133"/>
      <c r="AF13"/>
    </row>
    <row r="14" spans="1:32" x14ac:dyDescent="0.25">
      <c r="A14" t="s">
        <v>169</v>
      </c>
      <c r="B14">
        <v>2</v>
      </c>
      <c r="C14">
        <v>1963</v>
      </c>
      <c r="D14" s="136">
        <v>2019</v>
      </c>
      <c r="E14" s="135">
        <f t="shared" si="0"/>
        <v>41.5</v>
      </c>
      <c r="F14" s="133">
        <v>1.98</v>
      </c>
      <c r="G14" s="133">
        <f>F14*1000</f>
        <v>1980</v>
      </c>
      <c r="H14" s="187"/>
      <c r="I14" s="126"/>
      <c r="L14" s="126">
        <v>233923.24779999998</v>
      </c>
      <c r="M14" s="126">
        <f>L14/E14</f>
        <v>5636.7047662650602</v>
      </c>
      <c r="N14" s="133">
        <f>L14/G14</f>
        <v>118.14305444444443</v>
      </c>
      <c r="O14" s="133">
        <f>N14/10</f>
        <v>11.814305444444443</v>
      </c>
      <c r="P14" s="133">
        <f>N14/E14</f>
        <v>2.8468205890227574</v>
      </c>
      <c r="R14" s="220"/>
      <c r="Z14">
        <v>131227553.26765329</v>
      </c>
      <c r="AA14" s="133">
        <f t="shared" si="1"/>
        <v>1.2883443130232304</v>
      </c>
      <c r="AB14" s="133">
        <f>IF(Z14&gt;Z15,E14/E15,E15/E14)</f>
        <v>2</v>
      </c>
      <c r="AE14" s="133"/>
      <c r="AF14"/>
    </row>
    <row r="15" spans="1:32" x14ac:dyDescent="0.25">
      <c r="A15" t="s">
        <v>148</v>
      </c>
      <c r="B15">
        <v>4</v>
      </c>
      <c r="C15">
        <v>1953</v>
      </c>
      <c r="D15" s="136">
        <v>2019</v>
      </c>
      <c r="E15" s="135">
        <f t="shared" si="0"/>
        <v>20.75</v>
      </c>
      <c r="F15" s="133">
        <v>2.34</v>
      </c>
      <c r="G15" s="133">
        <v>2340</v>
      </c>
      <c r="H15" s="187">
        <v>12.914343590014219</v>
      </c>
      <c r="I15" s="126">
        <v>232551547.85555351</v>
      </c>
      <c r="K15" s="133">
        <v>63.204070727242673</v>
      </c>
      <c r="L15" s="126">
        <v>149088.22499999998</v>
      </c>
      <c r="M15" s="126">
        <f>L15/E15</f>
        <v>7184.9746987951794</v>
      </c>
      <c r="N15" s="133">
        <f>L15/G15</f>
        <v>63.712916666666658</v>
      </c>
      <c r="O15" s="133">
        <f>N15/10</f>
        <v>6.3712916666666661</v>
      </c>
      <c r="P15" s="133">
        <f>N15/E15</f>
        <v>3.0705020080321281</v>
      </c>
      <c r="R15" s="220"/>
      <c r="S15" s="133">
        <f>IF(I15&gt;I16,I15-I16,I16-I15)</f>
        <v>175795821.73253888</v>
      </c>
      <c r="T15" s="133">
        <f>IF(I15&gt;I16,P15-P16,P16-P15)</f>
        <v>-11.548663969001684</v>
      </c>
      <c r="U15" s="133">
        <f>IF(I15&gt;I16,K15-K16,K16-K15)</f>
        <v>-15.402510276603458</v>
      </c>
      <c r="V15" s="133" t="s">
        <v>212</v>
      </c>
      <c r="W15" s="133">
        <f>IF(I15&gt;I16,I15/I16,I16/I15)</f>
        <v>4.0974111995591773</v>
      </c>
      <c r="X15" s="133">
        <f>IF(I15&gt;I16,E15/E16,E16/E15)</f>
        <v>3</v>
      </c>
      <c r="Z15">
        <v>101857517.38967554</v>
      </c>
      <c r="AA15" s="133">
        <f t="shared" si="1"/>
        <v>3.2655660763112788</v>
      </c>
      <c r="AB15" s="133">
        <f>IF(Z15&gt;Z16,E15/E16,E16/E15)</f>
        <v>3</v>
      </c>
      <c r="AE15" s="133"/>
      <c r="AF15"/>
    </row>
    <row r="16" spans="1:32" x14ac:dyDescent="0.25">
      <c r="A16" t="s">
        <v>170</v>
      </c>
      <c r="B16">
        <v>12</v>
      </c>
      <c r="C16">
        <v>1961</v>
      </c>
      <c r="D16" s="136">
        <v>2019</v>
      </c>
      <c r="E16" s="135">
        <f t="shared" si="0"/>
        <v>6.916666666666667</v>
      </c>
      <c r="F16" s="133">
        <v>1.27</v>
      </c>
      <c r="G16" s="133">
        <f>F16*1000</f>
        <v>1270</v>
      </c>
      <c r="H16" s="187">
        <v>9.9989581883336083</v>
      </c>
      <c r="I16" s="126">
        <v>56755726.123014629</v>
      </c>
      <c r="K16" s="133">
        <v>78.606581003846131</v>
      </c>
      <c r="L16" s="126">
        <v>128417.19046992784</v>
      </c>
      <c r="M16" s="126">
        <f>L16/E16</f>
        <v>18566.340790832939</v>
      </c>
      <c r="N16" s="133">
        <f>L16/G16</f>
        <v>101.11589800781719</v>
      </c>
      <c r="O16" s="133">
        <f>N16/10</f>
        <v>10.111589800781719</v>
      </c>
      <c r="P16" s="133">
        <f>N16/E16</f>
        <v>14.619165977033811</v>
      </c>
      <c r="R16" s="220"/>
      <c r="S16" s="133">
        <f>IF(I16&gt;I17,I16-I17,I17-I16)</f>
        <v>99357508.531725824</v>
      </c>
      <c r="T16" s="133">
        <f>IF(I16&gt;I17,P16-P17,P17-P16)</f>
        <v>-9.417194048434526</v>
      </c>
      <c r="U16" s="133">
        <f>IF(I16&gt;I17,K16-K17,K17-K16)</f>
        <v>25.318853913322641</v>
      </c>
      <c r="V16" s="133" t="s">
        <v>213</v>
      </c>
      <c r="W16" s="133">
        <f>IF(I16&gt;I17,I16/I17,I17/I16)</f>
        <v>2.7506164631983459</v>
      </c>
      <c r="X16" s="133">
        <f>IF(I16&gt;I17,E16/E17,E17/E16)</f>
        <v>4</v>
      </c>
      <c r="Z16">
        <v>31191381.527557958</v>
      </c>
      <c r="AA16" s="133">
        <f t="shared" si="1"/>
        <v>3.6097693684373833</v>
      </c>
      <c r="AB16" s="133">
        <f>IF(Z16&gt;Z17,E16/E17,E17/E16)</f>
        <v>4</v>
      </c>
      <c r="AE16" s="133"/>
      <c r="AF16"/>
    </row>
    <row r="17" spans="1:32" x14ac:dyDescent="0.25">
      <c r="A17" t="s">
        <v>149</v>
      </c>
      <c r="B17">
        <v>3</v>
      </c>
      <c r="C17">
        <v>1963</v>
      </c>
      <c r="D17" s="136">
        <v>2019</v>
      </c>
      <c r="E17" s="135">
        <f t="shared" si="0"/>
        <v>27.666666666666668</v>
      </c>
      <c r="F17" s="133">
        <v>2.7</v>
      </c>
      <c r="G17" s="133">
        <v>2700</v>
      </c>
      <c r="H17" s="187">
        <v>11.641488225610599</v>
      </c>
      <c r="I17" s="126">
        <v>156113234.65474045</v>
      </c>
      <c r="K17" s="133">
        <v>103.92543491716877</v>
      </c>
      <c r="L17" s="126">
        <v>388587.30306636664</v>
      </c>
      <c r="M17" s="126">
        <f>L17/E17</f>
        <v>14045.324207218071</v>
      </c>
      <c r="N17" s="133">
        <f>L17/G17</f>
        <v>143.92122335791356</v>
      </c>
      <c r="O17" s="133">
        <f>N17/10</f>
        <v>14.392122335791356</v>
      </c>
      <c r="P17" s="133">
        <f>N17/E17</f>
        <v>5.2019719285992849</v>
      </c>
      <c r="R17" s="220"/>
      <c r="Z17">
        <v>112593693.59742235</v>
      </c>
      <c r="AA17" s="133"/>
      <c r="AE17" s="133"/>
      <c r="AF17"/>
    </row>
    <row r="18" spans="1:32" x14ac:dyDescent="0.25">
      <c r="A18" t="s">
        <v>107</v>
      </c>
      <c r="B18">
        <v>6</v>
      </c>
      <c r="C18">
        <v>1962</v>
      </c>
      <c r="D18" s="136">
        <v>2018</v>
      </c>
      <c r="E18" s="135">
        <f t="shared" si="0"/>
        <v>13.833333333333334</v>
      </c>
      <c r="F18" s="133">
        <v>2.92</v>
      </c>
      <c r="G18" s="133">
        <v>2920</v>
      </c>
      <c r="H18" s="187">
        <v>14.881260826099814</v>
      </c>
      <c r="I18" s="126">
        <v>186061150.30869806</v>
      </c>
      <c r="K18" s="133">
        <v>334.6163846907844</v>
      </c>
      <c r="L18" s="126">
        <v>416395.49974426458</v>
      </c>
      <c r="M18" s="126">
        <f>L18/E18</f>
        <v>30100.87949958539</v>
      </c>
      <c r="N18" s="133">
        <f>L18/G18</f>
        <v>142.60119854255638</v>
      </c>
      <c r="O18" s="133">
        <f>N18/10</f>
        <v>14.260119854255638</v>
      </c>
      <c r="P18" s="133">
        <f>N18/E18</f>
        <v>10.308520376570339</v>
      </c>
      <c r="R18" s="220"/>
      <c r="S18" s="133">
        <f>IF(I18&gt;I19,I18-I19,I19-I18)</f>
        <v>75069976.882060736</v>
      </c>
      <c r="T18" s="133">
        <f>IF(I18&gt;I19,P18-P19,P19-P18)</f>
        <v>0.46387554331506742</v>
      </c>
      <c r="U18" s="133">
        <f>IF(I18&gt;I19,K18-K19,K19-K18)</f>
        <v>-257.04743904042635</v>
      </c>
      <c r="V18" s="133" t="s">
        <v>214</v>
      </c>
      <c r="W18" s="133">
        <f>IF(I18&gt;I19,I18/I19,I19/I18)</f>
        <v>1.4034693795964956</v>
      </c>
      <c r="X18" s="133">
        <f>IF(I18&gt;I19,E18/E19,E19/E18)</f>
        <v>1.2</v>
      </c>
      <c r="Z18">
        <v>104965966.1196918</v>
      </c>
      <c r="AA18" s="133">
        <f t="shared" ref="AA18:AA30" si="2">IF(Z18&gt;Z19,Z18/Z19,Z19/Z18)</f>
        <v>1.4257595253012028</v>
      </c>
      <c r="AB18" s="133">
        <f>IF(Z18&gt;Z19,E18/E19,E19/E18)</f>
        <v>1.2</v>
      </c>
      <c r="AE18" s="133"/>
      <c r="AF18"/>
    </row>
    <row r="19" spans="1:32" x14ac:dyDescent="0.25">
      <c r="A19" t="s">
        <v>122</v>
      </c>
      <c r="B19">
        <v>5</v>
      </c>
      <c r="C19">
        <v>1962</v>
      </c>
      <c r="D19" s="136">
        <v>2018</v>
      </c>
      <c r="E19" s="135">
        <f t="shared" si="0"/>
        <v>16.600000000000001</v>
      </c>
      <c r="F19" s="133">
        <v>3.38</v>
      </c>
      <c r="G19" s="133">
        <v>3380</v>
      </c>
      <c r="H19" s="187">
        <v>21.127287346351771</v>
      </c>
      <c r="I19" s="126">
        <f>($J$19/15670)*G19</f>
        <v>261131127.19075879</v>
      </c>
      <c r="J19" s="133">
        <v>1210628628.1299379</v>
      </c>
      <c r="K19" s="133">
        <v>77.56894565035806</v>
      </c>
      <c r="L19" s="126">
        <v>604417.59027293045</v>
      </c>
      <c r="M19" s="126">
        <f>L19/E19</f>
        <v>36410.698209212678</v>
      </c>
      <c r="N19" s="133">
        <f>L19/G19</f>
        <v>178.82177227009777</v>
      </c>
      <c r="O19" s="133">
        <f>N19/10</f>
        <v>17.882177227009777</v>
      </c>
      <c r="P19" s="133">
        <f>N19/E19</f>
        <v>10.772395919885406</v>
      </c>
      <c r="R19" s="220"/>
      <c r="S19" s="133">
        <f>IF(I19&gt;I20,I19-I20,I20-I19)</f>
        <v>2660820.0384993255</v>
      </c>
      <c r="T19" s="133">
        <f>IF(I19&gt;I20,P19-P20,P20-P19)</f>
        <v>20.209719675603786</v>
      </c>
      <c r="U19" s="133">
        <f>IF(I19&gt;I20,K19-K20,K20-K19)</f>
        <v>6.340499648786647</v>
      </c>
      <c r="V19" s="133" t="s">
        <v>215</v>
      </c>
      <c r="W19" s="133">
        <f>IF(I19&gt;I20,I19/I20,I20/I19)</f>
        <v>1.0101895935085348</v>
      </c>
      <c r="X19" s="133">
        <f>IF(I19&gt;I20,E19/E20,E20/E19)</f>
        <v>0.26315789473684209</v>
      </c>
      <c r="Z19">
        <v>149656226.02759391</v>
      </c>
      <c r="AA19" s="133">
        <f t="shared" si="2"/>
        <v>1.0414477064328533</v>
      </c>
      <c r="AB19" s="133">
        <f>IF(Z19&gt;Z20,E19/E20,E20/E19)</f>
        <v>0.26315789473684209</v>
      </c>
      <c r="AE19" s="133"/>
      <c r="AF19"/>
    </row>
    <row r="20" spans="1:32" x14ac:dyDescent="0.25">
      <c r="A20" t="s">
        <v>102</v>
      </c>
      <c r="B20">
        <v>19</v>
      </c>
      <c r="C20">
        <v>1954</v>
      </c>
      <c r="D20" s="136">
        <v>2018</v>
      </c>
      <c r="E20" s="135">
        <f t="shared" si="0"/>
        <v>4.3684210526315788</v>
      </c>
      <c r="F20" s="133">
        <v>3.17</v>
      </c>
      <c r="G20" s="133">
        <v>3170</v>
      </c>
      <c r="H20" s="187">
        <v>15.972441061064293</v>
      </c>
      <c r="I20" s="126">
        <v>263791947.22925812</v>
      </c>
      <c r="K20" s="133">
        <v>83.909445299144707</v>
      </c>
      <c r="L20" s="126">
        <v>429037.07549100847</v>
      </c>
      <c r="M20" s="126">
        <f>L20/E20</f>
        <v>98213.306437700739</v>
      </c>
      <c r="N20" s="133">
        <f>L20/G20</f>
        <v>135.34292602240015</v>
      </c>
      <c r="O20" s="133">
        <f>N20/10</f>
        <v>13.534292602240015</v>
      </c>
      <c r="P20" s="133">
        <f>N20/E20</f>
        <v>30.982115595489191</v>
      </c>
      <c r="R20" s="220"/>
      <c r="S20" s="133">
        <f>IF(I20&gt;I21,I20-I21,I21-I20)</f>
        <v>65417166.016222656</v>
      </c>
      <c r="T20" s="133">
        <f>IF(I20&gt;I21,P20-P21,P21-P20)</f>
        <v>12.136520147882699</v>
      </c>
      <c r="U20" s="133">
        <f>IF(I20&gt;I21,K20-K21,K21-K20)</f>
        <v>4.8825224933963085</v>
      </c>
      <c r="V20" s="133" t="s">
        <v>216</v>
      </c>
      <c r="W20" s="133">
        <f>IF(I20&gt;I21,I20/I21,I21/I20)</f>
        <v>1.3297655358015035</v>
      </c>
      <c r="X20" s="133">
        <f>IF(I20&gt;I21,E20/E21,E21/E20)</f>
        <v>0.42105263157894735</v>
      </c>
      <c r="Z20">
        <v>155859133.34983438</v>
      </c>
      <c r="AA20" s="133">
        <f t="shared" si="2"/>
        <v>1.3895881915524648</v>
      </c>
      <c r="AB20" s="133">
        <f>IF(Z20&gt;Z21,E20/E21,E21/E20)</f>
        <v>0.42105263157894735</v>
      </c>
      <c r="AE20" s="133"/>
      <c r="AF20"/>
    </row>
    <row r="21" spans="1:32" x14ac:dyDescent="0.25">
      <c r="A21" t="s">
        <v>104</v>
      </c>
      <c r="B21">
        <v>8</v>
      </c>
      <c r="C21">
        <v>1962</v>
      </c>
      <c r="D21" s="136">
        <v>2018</v>
      </c>
      <c r="E21" s="135">
        <f t="shared" si="0"/>
        <v>10.375</v>
      </c>
      <c r="F21" s="133">
        <v>2.27</v>
      </c>
      <c r="G21" s="133">
        <v>2270</v>
      </c>
      <c r="H21" s="187">
        <v>20.251408100189757</v>
      </c>
      <c r="I21" s="126">
        <v>198374781.21303546</v>
      </c>
      <c r="K21" s="133">
        <v>79.026922805748399</v>
      </c>
      <c r="L21" s="126">
        <v>443837.32978544239</v>
      </c>
      <c r="M21" s="126">
        <f>L21/E21</f>
        <v>42779.501666066739</v>
      </c>
      <c r="N21" s="133">
        <f>L21/G21</f>
        <v>195.52305276891735</v>
      </c>
      <c r="O21" s="133">
        <f>N21/10</f>
        <v>19.552305276891737</v>
      </c>
      <c r="P21" s="133">
        <f>N21/E21</f>
        <v>18.845595447606492</v>
      </c>
      <c r="R21" s="220"/>
      <c r="S21" s="133">
        <f>IF(I21&gt;I22,I21-I22,I22-I21)</f>
        <v>40128042.899238974</v>
      </c>
      <c r="T21" s="133">
        <f>IF(I21&gt;I22,P21-P22,P22-P21)</f>
        <v>6.8886066662663925</v>
      </c>
      <c r="U21" s="133">
        <f>IF(I21&gt;I22,K21-K22,K22-K21)</f>
        <v>3.5187991948202892</v>
      </c>
      <c r="V21" s="133" t="s">
        <v>217</v>
      </c>
      <c r="W21" s="133">
        <f>IF(I21&gt;I22,I21/I22,I22/I21)</f>
        <v>1.253578957309482</v>
      </c>
      <c r="X21" s="133">
        <f>IF(I21&gt;I22,E21/E22,E22/E21)</f>
        <v>0.625</v>
      </c>
      <c r="Z21">
        <v>112162102.62675495</v>
      </c>
      <c r="AA21" s="133">
        <f t="shared" si="2"/>
        <v>1.2542612325623548</v>
      </c>
      <c r="AB21" s="133">
        <f>IF(Z21&gt;Z22,E21/E22,E22/E21)</f>
        <v>0.625</v>
      </c>
      <c r="AE21" s="133"/>
      <c r="AF21"/>
    </row>
    <row r="22" spans="1:32" x14ac:dyDescent="0.25">
      <c r="A22" t="s">
        <v>105</v>
      </c>
      <c r="B22">
        <v>5</v>
      </c>
      <c r="C22">
        <v>1956</v>
      </c>
      <c r="D22" s="136">
        <v>2018</v>
      </c>
      <c r="E22" s="135">
        <f t="shared" si="0"/>
        <v>16.600000000000001</v>
      </c>
      <c r="F22" s="133">
        <v>2.16</v>
      </c>
      <c r="G22" s="133">
        <v>2160</v>
      </c>
      <c r="H22" s="187">
        <v>13.598121282995031</v>
      </c>
      <c r="I22" s="126">
        <v>158246738.31379649</v>
      </c>
      <c r="K22" s="133">
        <v>75.508123610928109</v>
      </c>
      <c r="L22" s="126">
        <v>428729.78974373068</v>
      </c>
      <c r="M22" s="126">
        <f>L22/E22</f>
        <v>25827.095767694616</v>
      </c>
      <c r="N22" s="133">
        <f>L22/G22</f>
        <v>198.48601377024568</v>
      </c>
      <c r="O22" s="133">
        <f>N22/10</f>
        <v>19.848601377024568</v>
      </c>
      <c r="P22" s="133">
        <f>N22/E22</f>
        <v>11.956988781340099</v>
      </c>
      <c r="R22" s="220"/>
      <c r="S22" s="133">
        <f>IF(I22&gt;I23,I22-I23,I23-I22)</f>
        <v>348563970.08010221</v>
      </c>
      <c r="T22" s="133">
        <f>IF(I22&gt;I23,P22-P23,P23-P22)</f>
        <v>3.4547898132491319</v>
      </c>
      <c r="U22" s="133">
        <f>IF(I22&gt;I23,K22-K23,K23-K22)</f>
        <v>-7.0012069369772689</v>
      </c>
      <c r="V22" s="133" t="s">
        <v>218</v>
      </c>
      <c r="W22" s="133">
        <f>IF(I22&gt;I23,I22/I23,I23/I22)</f>
        <v>3.2026613236660513</v>
      </c>
      <c r="X22" s="133">
        <f>IF(I22&gt;I23,E22/E23,E23/E22)</f>
        <v>0.27777777777777773</v>
      </c>
      <c r="Z22">
        <v>89424834.089479744</v>
      </c>
      <c r="AA22" s="133">
        <f t="shared" si="2"/>
        <v>3.1837991918933763</v>
      </c>
      <c r="AB22" s="133">
        <f>IF(Z22&gt;Z23,E22/E23,E23/E22)</f>
        <v>0.27777777777777773</v>
      </c>
      <c r="AE22" s="133"/>
      <c r="AF22"/>
    </row>
    <row r="23" spans="1:32" x14ac:dyDescent="0.25">
      <c r="A23" t="s">
        <v>124</v>
      </c>
      <c r="B23">
        <v>18</v>
      </c>
      <c r="C23">
        <v>1956</v>
      </c>
      <c r="D23" s="136">
        <v>2018</v>
      </c>
      <c r="E23" s="135">
        <f t="shared" si="0"/>
        <v>4.6111111111111107</v>
      </c>
      <c r="F23" s="133">
        <v>6.56</v>
      </c>
      <c r="G23" s="133">
        <v>6560</v>
      </c>
      <c r="H23" s="187">
        <v>16.46675132611924</v>
      </c>
      <c r="I23" s="126">
        <f>($J$19/15670)*G23</f>
        <v>506810708.39389873</v>
      </c>
      <c r="K23" s="133">
        <v>68.50691667395084</v>
      </c>
      <c r="L23" s="126">
        <v>466189.17828788579</v>
      </c>
      <c r="M23" s="126">
        <f>L23/E23</f>
        <v>101101.26758050536</v>
      </c>
      <c r="N23" s="133">
        <f>L23/G23</f>
        <v>71.065423519494786</v>
      </c>
      <c r="O23" s="133">
        <f>N23/10</f>
        <v>7.1065423519494786</v>
      </c>
      <c r="P23" s="133">
        <f>N23/E23</f>
        <v>15.411778594589231</v>
      </c>
      <c r="R23" s="220"/>
      <c r="S23" s="133">
        <f>IF(I23&gt;I24,I23-I24,I24-I23)</f>
        <v>282829842.92935491</v>
      </c>
      <c r="T23" s="133">
        <f>IF(I23&gt;I24,P23-P24,P24-P23)</f>
        <v>5.8610684846897954</v>
      </c>
      <c r="U23" s="133">
        <f>IF(I23&gt;I24,K23-K24,K24-K23)</f>
        <v>11.762732820279126</v>
      </c>
      <c r="V23" s="133" t="s">
        <v>219</v>
      </c>
      <c r="W23" s="133">
        <f>IF(I23&gt;I24,I23/I24,I24/I23)</f>
        <v>2.2627410932748933</v>
      </c>
      <c r="X23" s="133">
        <f>IF(I23&gt;I24,E23/E24,E24/E23)</f>
        <v>0.33333333333333331</v>
      </c>
      <c r="Z23">
        <v>284710714.50928485</v>
      </c>
      <c r="AA23" s="133">
        <f t="shared" si="2"/>
        <v>2.3122586021066569</v>
      </c>
      <c r="AB23" s="133">
        <f>IF(Z23&gt;Z24,E23/E24,E24/E23)</f>
        <v>0.33333333333333331</v>
      </c>
      <c r="AE23" s="133"/>
      <c r="AF23"/>
    </row>
    <row r="24" spans="1:32" x14ac:dyDescent="0.25">
      <c r="A24" t="s">
        <v>103</v>
      </c>
      <c r="B24">
        <v>6</v>
      </c>
      <c r="C24">
        <v>1962</v>
      </c>
      <c r="D24" s="136">
        <v>2018</v>
      </c>
      <c r="E24" s="135">
        <f t="shared" si="0"/>
        <v>13.833333333333334</v>
      </c>
      <c r="F24" s="133">
        <v>3.06</v>
      </c>
      <c r="G24" s="133">
        <v>3060</v>
      </c>
      <c r="H24" s="187">
        <v>21.127287346351771</v>
      </c>
      <c r="I24" s="126">
        <v>223980865.46454385</v>
      </c>
      <c r="K24" s="133">
        <v>56.744183853671714</v>
      </c>
      <c r="L24" s="126">
        <v>404281.55895204312</v>
      </c>
      <c r="M24" s="126">
        <f>L24/E24</f>
        <v>29225.172936292274</v>
      </c>
      <c r="N24" s="133">
        <f>L24/G24</f>
        <v>132.11815652027553</v>
      </c>
      <c r="O24" s="133">
        <f>N24/10</f>
        <v>13.211815652027553</v>
      </c>
      <c r="P24" s="133">
        <f>N24/E24</f>
        <v>9.5507101098994358</v>
      </c>
      <c r="R24" s="220"/>
      <c r="S24" s="133">
        <f>IF(I24&gt;I25,I24-I25,I25-I24)</f>
        <v>62512209.89392674</v>
      </c>
      <c r="T24" s="133">
        <f>IF(I24&gt;I25,P24-P25,P25-P24)</f>
        <v>-16.558364565728347</v>
      </c>
      <c r="U24" s="133">
        <f>IF(I24&gt;I25,K24-K25,K25-K24)</f>
        <v>-37.825203056629846</v>
      </c>
      <c r="V24" s="133" t="s">
        <v>220</v>
      </c>
      <c r="W24" s="133">
        <f>IF(I24&gt;I25,I24/I25,I25/I24)</f>
        <v>1.3871476459193499</v>
      </c>
      <c r="X24" s="133">
        <f>IF(I24&gt;I25,E24/E25,E25/E24)</f>
        <v>0.5</v>
      </c>
      <c r="Z24">
        <v>123131000.2479351</v>
      </c>
      <c r="AA24" s="133">
        <f t="shared" si="2"/>
        <v>1.1189020770561469</v>
      </c>
      <c r="AB24" s="133">
        <f>IF(Z24&gt;Z25,E24/E25,E25/E24)</f>
        <v>0.5</v>
      </c>
      <c r="AE24" s="133"/>
      <c r="AF24"/>
    </row>
    <row r="25" spans="1:32" x14ac:dyDescent="0.25">
      <c r="A25" t="s">
        <v>152</v>
      </c>
      <c r="B25">
        <v>3</v>
      </c>
      <c r="C25">
        <v>1962</v>
      </c>
      <c r="D25" s="136">
        <v>2018</v>
      </c>
      <c r="E25" s="135">
        <f t="shared" si="0"/>
        <v>27.666666666666668</v>
      </c>
      <c r="F25" s="133">
        <v>2.09</v>
      </c>
      <c r="G25" s="133">
        <f>F25*1000</f>
        <v>2090</v>
      </c>
      <c r="H25" s="187">
        <v>21.127287346351771</v>
      </c>
      <c r="I25" s="126">
        <f>($J$19/15670)*G25</f>
        <v>161468655.57061711</v>
      </c>
      <c r="K25" s="133">
        <v>94.56938691030156</v>
      </c>
      <c r="L25" s="126">
        <v>1509713.7279937172</v>
      </c>
      <c r="M25" s="126">
        <f>L25/E25</f>
        <v>54567.966072062067</v>
      </c>
      <c r="N25" s="133">
        <f>L25/G25</f>
        <v>722.35106602570204</v>
      </c>
      <c r="O25" s="133">
        <f>N25/10</f>
        <v>72.235106602570198</v>
      </c>
      <c r="P25" s="133">
        <f>N25/E25</f>
        <v>26.109074675627785</v>
      </c>
      <c r="R25" s="220"/>
      <c r="Z25">
        <v>110046270.15430622</v>
      </c>
      <c r="AA25" s="133">
        <f t="shared" si="2"/>
        <v>1.0594474941628871</v>
      </c>
      <c r="AB25" s="133">
        <f>IF(Z25&gt;Z26,E25/E26,E26/E25)</f>
        <v>3.333333333333333</v>
      </c>
      <c r="AE25" s="133"/>
      <c r="AF25"/>
    </row>
    <row r="26" spans="1:32" x14ac:dyDescent="0.25">
      <c r="A26" t="s">
        <v>106</v>
      </c>
      <c r="B26">
        <v>10</v>
      </c>
      <c r="C26">
        <v>1962</v>
      </c>
      <c r="D26" s="136">
        <v>2018</v>
      </c>
      <c r="E26" s="135">
        <f t="shared" si="0"/>
        <v>8.3000000000000007</v>
      </c>
      <c r="F26" s="133">
        <v>6.64</v>
      </c>
      <c r="G26" s="133">
        <v>6640</v>
      </c>
      <c r="H26" s="187">
        <v>18.839363532563038</v>
      </c>
      <c r="I26" s="126">
        <v>344656768.45333791</v>
      </c>
      <c r="K26" s="133">
        <v>168.17403366987452</v>
      </c>
      <c r="L26" s="126">
        <v>578417.73944350006</v>
      </c>
      <c r="M26" s="126">
        <f>L26/E26</f>
        <v>69688.884270301205</v>
      </c>
      <c r="N26" s="133">
        <f>L26/G26</f>
        <v>87.111105337876509</v>
      </c>
      <c r="O26" s="133">
        <f>N26/10</f>
        <v>8.7111105337876502</v>
      </c>
      <c r="P26" s="133">
        <f>N26/E26</f>
        <v>10.4953138961297</v>
      </c>
      <c r="R26" s="220"/>
      <c r="V26" s="133" t="s">
        <v>221</v>
      </c>
      <c r="Z26">
        <v>103871377.07212031</v>
      </c>
      <c r="AA26" s="133">
        <f t="shared" si="2"/>
        <v>2.2310849109323656</v>
      </c>
      <c r="AB26" s="133">
        <f>IF(Z26&gt;Z27,E26/E27,E27/E26)</f>
        <v>2.1</v>
      </c>
      <c r="AE26" s="133"/>
      <c r="AF26"/>
    </row>
    <row r="27" spans="1:32" x14ac:dyDescent="0.25">
      <c r="A27" t="s">
        <v>108</v>
      </c>
      <c r="B27">
        <v>21</v>
      </c>
      <c r="C27">
        <v>1936</v>
      </c>
      <c r="D27" s="136">
        <v>2018</v>
      </c>
      <c r="E27" s="135">
        <f t="shared" si="0"/>
        <v>3.9523809523809526</v>
      </c>
      <c r="F27" s="133">
        <v>5.45</v>
      </c>
      <c r="G27" s="133">
        <v>5450</v>
      </c>
      <c r="H27" s="187">
        <v>11.709887314632542</v>
      </c>
      <c r="I27" s="126">
        <v>321989746.17350495</v>
      </c>
      <c r="K27" s="133">
        <v>123.82224039629308</v>
      </c>
      <c r="L27" s="126">
        <v>617790.97642067214</v>
      </c>
      <c r="M27" s="126">
        <f>L27/E27</f>
        <v>156308.5602992062</v>
      </c>
      <c r="N27" s="133">
        <f>L27/G27</f>
        <v>113.35614246250866</v>
      </c>
      <c r="O27" s="133">
        <f>N27/10</f>
        <v>11.335614246250866</v>
      </c>
      <c r="P27" s="133">
        <f>N27/E27</f>
        <v>28.680469779670865</v>
      </c>
      <c r="R27" s="220"/>
      <c r="V27" s="133" t="s">
        <v>222</v>
      </c>
      <c r="Z27">
        <v>46556442.815398134</v>
      </c>
      <c r="AA27" s="133">
        <f t="shared" si="2"/>
        <v>1.3587833487096344</v>
      </c>
      <c r="AB27" s="133">
        <f>IF(Z27&gt;Z28,E27/E28,E28/E27)</f>
        <v>4.2</v>
      </c>
      <c r="AE27" s="133"/>
      <c r="AF27"/>
    </row>
    <row r="28" spans="1:32" x14ac:dyDescent="0.25">
      <c r="A28" t="s">
        <v>109</v>
      </c>
      <c r="B28" s="133">
        <v>5</v>
      </c>
      <c r="C28" s="169">
        <v>2004</v>
      </c>
      <c r="D28" s="136">
        <v>2018</v>
      </c>
      <c r="E28" s="135">
        <f t="shared" si="0"/>
        <v>16.600000000000001</v>
      </c>
      <c r="F28" s="169">
        <v>2.66</v>
      </c>
      <c r="G28">
        <v>2660</v>
      </c>
      <c r="H28" s="187">
        <v>20.085902055831415</v>
      </c>
      <c r="I28" s="126">
        <v>183697813.87496671</v>
      </c>
      <c r="K28" s="133">
        <v>99.102950280040702</v>
      </c>
      <c r="L28" s="126">
        <v>696778.73720543296</v>
      </c>
      <c r="M28" s="126">
        <f>L28/E28</f>
        <v>41974.622723218847</v>
      </c>
      <c r="N28" s="133">
        <f>L28/G28</f>
        <v>261.94689368625302</v>
      </c>
      <c r="O28" s="133">
        <f>N28/10</f>
        <v>26.194689368625301</v>
      </c>
      <c r="P28" s="133">
        <f>N28/E28</f>
        <v>15.779933354593554</v>
      </c>
      <c r="R28" s="220"/>
      <c r="S28" s="133">
        <f>IF(I28&gt;I29,I28-I29,I29-I28)</f>
        <v>126550589.45041093</v>
      </c>
      <c r="T28" s="133">
        <f>IF(I28&gt;I29,P28-P29,P29-P28)</f>
        <v>-13.262654787778791</v>
      </c>
      <c r="U28" s="133">
        <f>IF(I28&gt;I29,K28-K29,K29-K28)</f>
        <v>-23.489313673290638</v>
      </c>
      <c r="V28" s="133" t="s">
        <v>223</v>
      </c>
      <c r="W28" s="133">
        <f>IF(I28&gt;I29,I28/I29,I29/I28)</f>
        <v>1.6889063445063486</v>
      </c>
      <c r="X28" s="133">
        <f>IF(I28&gt;I29,E28/E29,E29/E28)</f>
        <v>2.5</v>
      </c>
      <c r="Z28">
        <v>63260119.272715271</v>
      </c>
      <c r="AA28" s="133">
        <f t="shared" si="2"/>
        <v>2.267494560159947</v>
      </c>
      <c r="AB28" s="133">
        <f>IF(Z28&gt;Z29,E28/E29,E29/E28)</f>
        <v>2.5</v>
      </c>
      <c r="AE28" s="133"/>
      <c r="AF28"/>
    </row>
    <row r="29" spans="1:32" x14ac:dyDescent="0.25">
      <c r="A29" t="s">
        <v>125</v>
      </c>
      <c r="B29" s="169">
        <v>2</v>
      </c>
      <c r="C29" s="169">
        <v>2004</v>
      </c>
      <c r="D29" s="136">
        <v>2018</v>
      </c>
      <c r="E29" s="135">
        <f t="shared" si="0"/>
        <v>41.5</v>
      </c>
      <c r="F29" s="170">
        <v>2.62</v>
      </c>
      <c r="G29" s="133">
        <f>F29*1000</f>
        <v>2620</v>
      </c>
      <c r="H29" s="187">
        <v>22.531756441401921</v>
      </c>
      <c r="I29" s="126">
        <v>310248403.32537764</v>
      </c>
      <c r="K29" s="133">
        <v>75.613636606750063</v>
      </c>
      <c r="L29" s="126">
        <v>273703.69856976921</v>
      </c>
      <c r="M29" s="126">
        <f>L29/E29</f>
        <v>6595.2698450546795</v>
      </c>
      <c r="N29" s="133">
        <f>L29/G29</f>
        <v>104.46706052281267</v>
      </c>
      <c r="O29" s="133">
        <f>N29/10</f>
        <v>10.446706052281268</v>
      </c>
      <c r="P29" s="133">
        <f>N29/E29</f>
        <v>2.5172785668147633</v>
      </c>
      <c r="R29" s="220"/>
      <c r="S29" s="133">
        <f>IF(I29&gt;I30,I29-I30,I30-I29)</f>
        <v>1684043.6722154021</v>
      </c>
      <c r="T29" s="133">
        <f>IF(I29&gt;I30,P29-P30,P30-P29)</f>
        <v>0.76897697222634931</v>
      </c>
      <c r="U29" s="133">
        <f>IF(I29&gt;I30,K29-K30,K30-K29)</f>
        <v>13.540706475256307</v>
      </c>
      <c r="V29" s="133" t="s">
        <v>224</v>
      </c>
      <c r="W29" s="133">
        <f>IF(I29&gt;I30,I29/I30,I30/I29)</f>
        <v>1.0054576739650305</v>
      </c>
      <c r="X29" s="133">
        <f>IF(I29&gt;I30,E29/E30,E30/E29)</f>
        <v>0.5</v>
      </c>
      <c r="Z29">
        <v>143441976.32595131</v>
      </c>
      <c r="AA29" s="133">
        <f t="shared" si="2"/>
        <v>1.2995780640346193</v>
      </c>
      <c r="AB29" s="133">
        <f>IF(Z29&gt;Z30,E29/E30,E30/E29)</f>
        <v>0.5</v>
      </c>
      <c r="AE29" s="133"/>
      <c r="AF29"/>
    </row>
    <row r="30" spans="1:32" x14ac:dyDescent="0.25">
      <c r="A30" t="s">
        <v>153</v>
      </c>
      <c r="B30">
        <v>1</v>
      </c>
      <c r="C30" s="170">
        <v>1990</v>
      </c>
      <c r="D30" s="136">
        <v>1990</v>
      </c>
      <c r="E30" s="135">
        <f t="shared" si="0"/>
        <v>83</v>
      </c>
      <c r="F30" s="170">
        <v>2.27</v>
      </c>
      <c r="G30" s="133">
        <f>F30*1000</f>
        <v>2270</v>
      </c>
      <c r="H30" s="187">
        <v>15.613496109206118</v>
      </c>
      <c r="I30" s="126">
        <v>308564359.65316224</v>
      </c>
      <c r="K30" s="133">
        <v>62.072930131493756</v>
      </c>
      <c r="L30" s="126">
        <v>329397.50343640306</v>
      </c>
      <c r="M30" s="126">
        <f>L30/E30</f>
        <v>3968.6446197156997</v>
      </c>
      <c r="N30" s="133">
        <f>L30/G30</f>
        <v>145.10903235083836</v>
      </c>
      <c r="O30" s="133">
        <f>N30/10</f>
        <v>14.510903235083836</v>
      </c>
      <c r="P30" s="133">
        <f>N30/E30</f>
        <v>1.7483015945884139</v>
      </c>
      <c r="R30" s="220"/>
      <c r="S30" s="133">
        <f>IF(I30&gt;I31,I30-I31,I31-I30)</f>
        <v>786364717.6174078</v>
      </c>
      <c r="T30" s="133">
        <f>IF(I30&gt;I31,P30-P31,P31-P30)</f>
        <v>24.207678503125894</v>
      </c>
      <c r="U30" s="133">
        <f>IF(I30&gt;I31,K30-K31,K31-K30)</f>
        <v>88.272680034387776</v>
      </c>
      <c r="V30" s="133" t="s">
        <v>225</v>
      </c>
      <c r="W30" s="133">
        <f>IF(I30&gt;I31,I30/I31,I31/I30)</f>
        <v>3.5484625589984238</v>
      </c>
      <c r="X30" s="133">
        <f>IF(I30&gt;I31,E30/E31,E31/E30)</f>
        <v>2.3809523809523812E-2</v>
      </c>
      <c r="Z30">
        <v>110375806.03709711</v>
      </c>
      <c r="AA30" s="133">
        <f t="shared" si="2"/>
        <v>4.5168644861715466</v>
      </c>
      <c r="AB30" s="133">
        <f>IF(Z30&gt;Z31,E30/E31,E31/E30)</f>
        <v>2.3809523809523812E-2</v>
      </c>
      <c r="AE30" s="133"/>
      <c r="AF30"/>
    </row>
    <row r="31" spans="1:32" x14ac:dyDescent="0.25">
      <c r="A31" t="s">
        <v>110</v>
      </c>
      <c r="B31">
        <v>42</v>
      </c>
      <c r="C31">
        <v>1952</v>
      </c>
      <c r="D31" s="136">
        <v>2017</v>
      </c>
      <c r="E31" s="135">
        <f t="shared" si="0"/>
        <v>1.9761904761904763</v>
      </c>
      <c r="F31" s="133">
        <v>11.47</v>
      </c>
      <c r="G31" s="133">
        <v>11470</v>
      </c>
      <c r="H31" s="187">
        <v>11.960051892378859</v>
      </c>
      <c r="I31" s="126">
        <v>1094929077.27057</v>
      </c>
      <c r="K31" s="133">
        <v>150.34561016588154</v>
      </c>
      <c r="L31" s="126">
        <v>588341.72887678572</v>
      </c>
      <c r="M31" s="126">
        <f>L31/E31</f>
        <v>297715.09172078315</v>
      </c>
      <c r="N31" s="133">
        <f>L31/G31</f>
        <v>51.293960669292566</v>
      </c>
      <c r="O31" s="133">
        <f>N31/10</f>
        <v>5.1293960669292566</v>
      </c>
      <c r="P31" s="133">
        <f>N31/E31</f>
        <v>25.95598009771431</v>
      </c>
      <c r="R31" s="220"/>
      <c r="Z31">
        <v>498552558.42152297</v>
      </c>
      <c r="AA31" s="133">
        <f t="shared" ref="AA31:AA35" si="3">IF(Z31&gt;Z32,Z31/Z32,Z32/Z31)</f>
        <v>10.004636357178063</v>
      </c>
      <c r="AB31" s="133">
        <f>IF(Z31&gt;Z32,E31/E32,E32/E31)</f>
        <v>0.2857142857142857</v>
      </c>
      <c r="AE31" s="133"/>
      <c r="AF31"/>
    </row>
    <row r="32" spans="1:32" x14ac:dyDescent="0.25">
      <c r="A32" t="s">
        <v>111</v>
      </c>
      <c r="B32">
        <v>12</v>
      </c>
      <c r="C32">
        <v>1950</v>
      </c>
      <c r="D32" s="136">
        <v>2015</v>
      </c>
      <c r="E32" s="135">
        <f t="shared" si="0"/>
        <v>6.916666666666667</v>
      </c>
      <c r="F32" s="133">
        <v>2.72</v>
      </c>
      <c r="G32" s="133">
        <v>2720</v>
      </c>
      <c r="H32" s="187">
        <v>18.362877545342474</v>
      </c>
      <c r="I32" s="126"/>
      <c r="L32" s="126">
        <v>685281.27381450008</v>
      </c>
      <c r="M32" s="126">
        <f>L32/E32</f>
        <v>99076.810671975909</v>
      </c>
      <c r="N32" s="133">
        <f>L32/G32</f>
        <v>251.94164478474266</v>
      </c>
      <c r="O32" s="133">
        <f>N32/10</f>
        <v>25.194164478474267</v>
      </c>
      <c r="P32" s="133">
        <f>N32/E32</f>
        <v>36.425298041167615</v>
      </c>
      <c r="R32" s="220"/>
      <c r="Z32">
        <v>49832151.876647137</v>
      </c>
      <c r="AA32" s="133">
        <f t="shared" si="3"/>
        <v>7.5693545959737429</v>
      </c>
      <c r="AB32" s="133">
        <f>IF(Z32&gt;Z33,E32/E33,E33/E32)</f>
        <v>1</v>
      </c>
      <c r="AE32" s="133"/>
      <c r="AF32"/>
    </row>
    <row r="33" spans="1:32" x14ac:dyDescent="0.25">
      <c r="A33" t="s">
        <v>112</v>
      </c>
      <c r="B33">
        <v>12</v>
      </c>
      <c r="C33">
        <v>1962</v>
      </c>
      <c r="D33" s="136">
        <v>2016</v>
      </c>
      <c r="E33" s="135">
        <f t="shared" si="0"/>
        <v>6.916666666666667</v>
      </c>
      <c r="F33" s="133">
        <v>7.78</v>
      </c>
      <c r="G33" s="133">
        <v>7780</v>
      </c>
      <c r="H33" s="187">
        <v>13.908966427683994</v>
      </c>
      <c r="I33" s="126">
        <v>689434843.20422494</v>
      </c>
      <c r="K33" s="133">
        <v>107.53929245423964</v>
      </c>
      <c r="L33" s="126">
        <v>385292.7810276674</v>
      </c>
      <c r="M33" s="126">
        <f>L33/E33</f>
        <v>55704.980389542274</v>
      </c>
      <c r="N33" s="133">
        <f>L33/G33</f>
        <v>49.523493705355705</v>
      </c>
      <c r="O33" s="133">
        <f>N33/10</f>
        <v>4.9523493705355701</v>
      </c>
      <c r="P33" s="133">
        <f>N33/E33</f>
        <v>7.1600231863164874</v>
      </c>
      <c r="R33" s="220"/>
      <c r="S33" s="133">
        <f>IF(I33&gt;I34,I33-I34,I34-I33)</f>
        <v>319336325.89537311</v>
      </c>
      <c r="T33" s="133">
        <f>IF(I33&gt;I34,P33-P34,P34-P33)</f>
        <v>2.5334420850567332</v>
      </c>
      <c r="U33" s="133">
        <f>IF(I33&gt;I34,K33-K34,K34-K33)</f>
        <v>-0.95553901876868963</v>
      </c>
      <c r="V33" s="133" t="s">
        <v>226</v>
      </c>
      <c r="W33" s="133">
        <f>IF(I33&gt;I34,I33/I34,I34/I33)</f>
        <v>1.4631856498740652</v>
      </c>
      <c r="X33" s="133">
        <f>IF(I33&gt;I34,E33/E34,E34/E33)</f>
        <v>0.79999999999999993</v>
      </c>
      <c r="Z33">
        <v>377197227.83476061</v>
      </c>
      <c r="AA33" s="133">
        <f t="shared" si="3"/>
        <v>1.3394384444850131</v>
      </c>
      <c r="AB33" s="133">
        <f>IF(Z33&gt;Z34,E33/E34,E34/E33)</f>
        <v>0.79999999999999993</v>
      </c>
      <c r="AE33" s="133"/>
      <c r="AF33"/>
    </row>
    <row r="34" spans="1:32" x14ac:dyDescent="0.25">
      <c r="A34" t="s">
        <v>113</v>
      </c>
      <c r="B34">
        <v>15</v>
      </c>
      <c r="C34">
        <v>1962</v>
      </c>
      <c r="D34" s="136">
        <v>2019</v>
      </c>
      <c r="E34" s="135">
        <f t="shared" si="0"/>
        <v>5.5333333333333332</v>
      </c>
      <c r="F34" s="133">
        <v>7.09</v>
      </c>
      <c r="G34" s="133">
        <v>7090</v>
      </c>
      <c r="H34" s="187">
        <v>17.446416013521738</v>
      </c>
      <c r="I34" s="126">
        <v>1008771169.0995981</v>
      </c>
      <c r="K34" s="133">
        <v>106.58375343547095</v>
      </c>
      <c r="L34" s="126">
        <v>380287.56721633329</v>
      </c>
      <c r="M34" s="126">
        <f>L34/E34</f>
        <v>68726.668774036138</v>
      </c>
      <c r="N34" s="133">
        <f>L34/G34</f>
        <v>53.637174501598487</v>
      </c>
      <c r="O34" s="133">
        <f>N34/10</f>
        <v>5.3637174501598484</v>
      </c>
      <c r="P34" s="133">
        <f>N34/E34</f>
        <v>9.6934652713732206</v>
      </c>
      <c r="R34" s="220"/>
      <c r="S34" s="133">
        <f>IF(I34&gt;I35,I34-I35,I35-I34)</f>
        <v>408654007.33572948</v>
      </c>
      <c r="T34" s="133">
        <f>IF(I34&gt;I35,P34-P35,P35-P34)</f>
        <v>-3.4935159171629397</v>
      </c>
      <c r="U34" s="133">
        <f>IF(I34&gt;I35,K34-K35,K35-K34)</f>
        <v>-7.7069306582148585</v>
      </c>
      <c r="V34" s="133" t="s">
        <v>227</v>
      </c>
      <c r="W34" s="133">
        <f>IF(I34&gt;I35,I34/I35,I35/I34)</f>
        <v>1.6809570420126143</v>
      </c>
      <c r="X34" s="133">
        <f>IF(I34&gt;I35,E34/E35,E35/E34)</f>
        <v>0.53333333333333333</v>
      </c>
      <c r="Z34">
        <v>505232468.11505085</v>
      </c>
      <c r="AA34" s="133">
        <f t="shared" si="3"/>
        <v>1.6831369880226899</v>
      </c>
      <c r="AB34" s="133">
        <f>IF(Z34&gt;Z35,E34/E35,E35/E34)</f>
        <v>0.53333333333333333</v>
      </c>
      <c r="AE34" s="133"/>
      <c r="AF34"/>
    </row>
    <row r="35" spans="1:32" x14ac:dyDescent="0.25">
      <c r="A35" t="s">
        <v>114</v>
      </c>
      <c r="B35">
        <v>8</v>
      </c>
      <c r="C35">
        <v>1967</v>
      </c>
      <c r="D35" s="136">
        <v>2017</v>
      </c>
      <c r="E35" s="135">
        <f t="shared" si="0"/>
        <v>10.375</v>
      </c>
      <c r="F35" s="133">
        <v>3.67</v>
      </c>
      <c r="G35" s="133">
        <v>3670</v>
      </c>
      <c r="H35" s="187">
        <v>16.541748544468096</v>
      </c>
      <c r="I35" s="126">
        <v>600117161.76386857</v>
      </c>
      <c r="K35" s="133">
        <v>114.29068409368581</v>
      </c>
      <c r="L35" s="126">
        <v>502110.79248</v>
      </c>
      <c r="M35" s="126">
        <f>L35/E35</f>
        <v>48396.220961927713</v>
      </c>
      <c r="N35" s="133">
        <f>L35/G35</f>
        <v>136.81492983106267</v>
      </c>
      <c r="O35" s="133">
        <f>N35/10</f>
        <v>13.681492983106267</v>
      </c>
      <c r="P35" s="133">
        <f>N35/E35</f>
        <v>13.18698118853616</v>
      </c>
      <c r="R35" s="220"/>
      <c r="S35" s="133">
        <f>IF(I35&gt;I36,I35-I36,I36-I35)</f>
        <v>348048006.14502347</v>
      </c>
      <c r="T35" s="133">
        <f>IF(I35&gt;I36,P35-P36,P36-P35)</f>
        <v>7.4216624381607463</v>
      </c>
      <c r="U35" s="133">
        <f>IF(I35&gt;I36,K35-K36,K36-K35)</f>
        <v>-41.586166950039868</v>
      </c>
      <c r="V35" s="133" t="s">
        <v>228</v>
      </c>
      <c r="W35" s="133">
        <f>IF(I35&gt;I36,I35/I36,I36/I35)</f>
        <v>2.3807639625345849</v>
      </c>
      <c r="X35" s="133">
        <f>IF(I35&gt;I36,E35/E36,E36/E35)</f>
        <v>1</v>
      </c>
      <c r="Z35">
        <v>300173112.29586023</v>
      </c>
      <c r="AA35" s="133">
        <f t="shared" si="3"/>
        <v>2.8336873702442582</v>
      </c>
      <c r="AB35" s="133">
        <f>IF(Z35&gt;Z36,E35/E36,E36/E35)</f>
        <v>1</v>
      </c>
      <c r="AE35" s="133"/>
      <c r="AF35"/>
    </row>
    <row r="36" spans="1:32" x14ac:dyDescent="0.25">
      <c r="A36" t="s">
        <v>116</v>
      </c>
      <c r="B36">
        <v>8</v>
      </c>
      <c r="C36">
        <v>1966</v>
      </c>
      <c r="D36" s="136">
        <v>2015</v>
      </c>
      <c r="E36" s="135">
        <f t="shared" si="0"/>
        <v>10.375</v>
      </c>
      <c r="F36" s="133">
        <v>3.45</v>
      </c>
      <c r="G36" s="133">
        <v>3450</v>
      </c>
      <c r="H36" s="187">
        <v>11.846937949043621</v>
      </c>
      <c r="I36" s="126">
        <v>252069155.61884508</v>
      </c>
      <c r="K36" s="133">
        <v>155.87685104372568</v>
      </c>
      <c r="L36" s="126">
        <v>206362.37802124998</v>
      </c>
      <c r="M36" s="126">
        <f>L36/E36</f>
        <v>19890.349688795181</v>
      </c>
      <c r="N36" s="133">
        <f>L36/G36</f>
        <v>59.815182035144922</v>
      </c>
      <c r="O36" s="133">
        <f>N36/10</f>
        <v>5.9815182035144918</v>
      </c>
      <c r="P36" s="133">
        <f>N36/E36</f>
        <v>5.765318750375414</v>
      </c>
      <c r="R36" s="220"/>
      <c r="S36" s="133">
        <f>IF(I36&gt;I37,I36-I37,I37-I36)</f>
        <v>139257317.20573682</v>
      </c>
      <c r="T36" s="133">
        <f>IF(I36&gt;I37,P36-P37,P37-P36)</f>
        <v>5.2272634919585688</v>
      </c>
      <c r="U36" s="133">
        <f>IF(I36&gt;I37,K36-K37,K37-K36)</f>
        <v>-244.74171557137768</v>
      </c>
      <c r="V36" s="133" t="s">
        <v>229</v>
      </c>
      <c r="W36" s="133">
        <f>IF(I36&gt;I37,I36/I37,I37/I36)</f>
        <v>2.2344211313690971</v>
      </c>
      <c r="X36" s="133">
        <f>IF(I36&gt;I37,E36/E37,E37/E36)</f>
        <v>0.25</v>
      </c>
      <c r="Z36">
        <v>105930214.97286269</v>
      </c>
      <c r="AA36" s="133">
        <f>IF(Z36&gt;Z37,Z36/Z37,Z37/Z36)</f>
        <v>1.7933602588737387</v>
      </c>
      <c r="AB36" s="133">
        <f>IF(Z36&gt;Z37,E36/E37,E37/E36)</f>
        <v>0.25</v>
      </c>
      <c r="AE36" s="133"/>
      <c r="AF36"/>
    </row>
    <row r="37" spans="1:32" s="169" customFormat="1" x14ac:dyDescent="0.25">
      <c r="A37" s="169" t="s">
        <v>119</v>
      </c>
      <c r="B37" s="169">
        <v>2</v>
      </c>
      <c r="C37" s="169">
        <v>1963</v>
      </c>
      <c r="D37" s="136">
        <v>1991</v>
      </c>
      <c r="E37" s="135">
        <f t="shared" si="0"/>
        <v>41.5</v>
      </c>
      <c r="F37" s="170">
        <v>2.14</v>
      </c>
      <c r="G37" s="169">
        <v>2140</v>
      </c>
      <c r="H37" s="187">
        <v>9.9592747545729061</v>
      </c>
      <c r="I37" s="187">
        <v>112811838.41310824</v>
      </c>
      <c r="K37" s="169">
        <v>400.61856661510336</v>
      </c>
      <c r="L37" s="187">
        <v>47784.6875</v>
      </c>
      <c r="M37" s="187">
        <f>L37/E37</f>
        <v>1151.4382530120481</v>
      </c>
      <c r="N37" s="169">
        <f>L37/G37</f>
        <v>22.329293224299064</v>
      </c>
      <c r="O37" s="169">
        <f>N37/10</f>
        <v>2.2329293224299063</v>
      </c>
      <c r="P37" s="169">
        <f>N37/E37</f>
        <v>0.53805525841684487</v>
      </c>
      <c r="Q37" s="216"/>
      <c r="R37" s="220"/>
      <c r="Z37" s="169">
        <v>59068006.246212177</v>
      </c>
    </row>
    <row r="38" spans="1:32" s="133" customFormat="1" x14ac:dyDescent="0.25">
      <c r="A38" s="170" t="s">
        <v>232</v>
      </c>
      <c r="B38" s="133">
        <v>27</v>
      </c>
      <c r="C38" s="133">
        <v>1967</v>
      </c>
      <c r="D38" s="136">
        <v>2017</v>
      </c>
      <c r="E38" s="135">
        <f t="shared" si="0"/>
        <v>3.074074074074074</v>
      </c>
      <c r="F38" s="170">
        <v>4.1059999999999999</v>
      </c>
      <c r="G38" s="170">
        <v>4106</v>
      </c>
      <c r="H38" s="187">
        <v>26.590520644722535</v>
      </c>
      <c r="I38" s="126">
        <v>308602653.23406065</v>
      </c>
      <c r="K38" s="133">
        <v>105.53529278913753</v>
      </c>
      <c r="L38" s="126">
        <v>276192.69038166659</v>
      </c>
      <c r="M38" s="187">
        <f>L38/E38</f>
        <v>89845.81494343371</v>
      </c>
      <c r="N38" s="170">
        <f>L38/G38</f>
        <v>67.265633312631905</v>
      </c>
      <c r="O38" s="170">
        <f>N38/10</f>
        <v>6.7265633312631907</v>
      </c>
      <c r="P38" s="170">
        <f>N38/E38</f>
        <v>21.881591559530861</v>
      </c>
      <c r="Q38" s="214"/>
      <c r="R38" s="220"/>
    </row>
    <row r="39" spans="1:32" s="130" customFormat="1" x14ac:dyDescent="0.25">
      <c r="A39" s="130" t="s">
        <v>117</v>
      </c>
      <c r="B39" s="130">
        <v>7</v>
      </c>
      <c r="C39" s="130">
        <v>2001</v>
      </c>
      <c r="D39" s="171">
        <v>2013</v>
      </c>
      <c r="E39" s="172">
        <f t="shared" si="0"/>
        <v>11.857142857142858</v>
      </c>
      <c r="F39" s="130">
        <v>1.712</v>
      </c>
      <c r="G39" s="130">
        <v>1712</v>
      </c>
      <c r="H39" s="127">
        <v>30.634056020233857</v>
      </c>
      <c r="I39" s="127">
        <v>116868953.73091957</v>
      </c>
      <c r="L39" s="127">
        <v>305343.93468071427</v>
      </c>
      <c r="M39" s="127">
        <f>L39/E39</f>
        <v>25751.898105602406</v>
      </c>
      <c r="N39" s="130">
        <f>L39/G39</f>
        <v>178.35510203312751</v>
      </c>
      <c r="O39" s="130">
        <f>N39/10</f>
        <v>17.835510203312751</v>
      </c>
      <c r="P39" s="130">
        <f>N39/E39</f>
        <v>15.041996557010753</v>
      </c>
      <c r="Q39" s="218"/>
      <c r="R39" s="221"/>
    </row>
    <row r="40" spans="1:32" s="211" customFormat="1" x14ac:dyDescent="0.25">
      <c r="C40" s="211">
        <f>MIN(C2:C38)</f>
        <v>1936</v>
      </c>
      <c r="D40" s="212">
        <f>MAX(D2:D38)</f>
        <v>2019</v>
      </c>
      <c r="E40" s="212"/>
      <c r="H40" s="213"/>
    </row>
    <row r="41" spans="1:32" s="214" customFormat="1" x14ac:dyDescent="0.25">
      <c r="D41" s="216"/>
      <c r="E41" s="215"/>
      <c r="H41" s="216"/>
    </row>
    <row r="42" spans="1:32" s="210" customFormat="1" ht="50.5" x14ac:dyDescent="0.3">
      <c r="A42" s="134" t="s">
        <v>234</v>
      </c>
      <c r="B42" s="206" t="s">
        <v>235</v>
      </c>
      <c r="C42" s="206"/>
      <c r="D42" s="206"/>
      <c r="E42" s="207"/>
      <c r="F42" s="208" t="s">
        <v>236</v>
      </c>
      <c r="G42" s="206"/>
      <c r="H42" s="209" t="s">
        <v>235</v>
      </c>
      <c r="I42" s="210" t="s">
        <v>237</v>
      </c>
      <c r="K42" s="210" t="s">
        <v>238</v>
      </c>
      <c r="L42" s="206" t="s">
        <v>235</v>
      </c>
      <c r="M42" s="206"/>
      <c r="N42" s="206"/>
      <c r="O42" s="206"/>
      <c r="P42" s="206"/>
      <c r="Q42" s="219"/>
      <c r="S42" s="210" t="s">
        <v>237</v>
      </c>
      <c r="T42" s="210" t="s">
        <v>235</v>
      </c>
      <c r="U42" s="210" t="s">
        <v>238</v>
      </c>
      <c r="Z42" s="206" t="s">
        <v>239</v>
      </c>
      <c r="AA42" s="206"/>
      <c r="AB42" s="206"/>
    </row>
  </sheetData>
  <mergeCells count="5">
    <mergeCell ref="R2:R39"/>
    <mergeCell ref="B42:E42"/>
    <mergeCell ref="F42:G42"/>
    <mergeCell ref="Z42:AB42"/>
    <mergeCell ref="L42:P4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topLeftCell="Q1" workbookViewId="0">
      <selection activeCell="U3" sqref="U3"/>
    </sheetView>
  </sheetViews>
  <sheetFormatPr defaultRowHeight="12.5" x14ac:dyDescent="0.25"/>
  <cols>
    <col min="1" max="1" width="22.08984375" style="133" customWidth="1"/>
    <col min="2" max="3" width="20" style="133" customWidth="1"/>
    <col min="4" max="4" width="25.1796875" style="137" customWidth="1"/>
    <col min="5" max="5" width="25.1796875" style="136" customWidth="1"/>
    <col min="6" max="6" width="20" style="136" customWidth="1"/>
    <col min="7" max="11" width="20" style="169" customWidth="1"/>
    <col min="12" max="12" width="25.36328125" style="169" customWidth="1"/>
    <col min="13" max="14" width="16.54296875" style="169" customWidth="1"/>
    <col min="15" max="15" width="19" style="133" customWidth="1"/>
    <col min="16" max="16" width="30.08984375" style="169" customWidth="1"/>
    <col min="17" max="17" width="30.453125" style="169" customWidth="1"/>
    <col min="18" max="18" width="27.90625" style="169" customWidth="1"/>
    <col min="19" max="22" width="20.54296875" style="169" customWidth="1"/>
    <col min="23" max="23" width="24.36328125" style="169" customWidth="1"/>
    <col min="24" max="16384" width="8.7265625" style="133"/>
  </cols>
  <sheetData>
    <row r="1" spans="1:23" s="130" customFormat="1" x14ac:dyDescent="0.25">
      <c r="A1" s="130" t="s">
        <v>181</v>
      </c>
      <c r="B1" s="130" t="s">
        <v>259</v>
      </c>
      <c r="C1" s="130" t="s">
        <v>260</v>
      </c>
      <c r="D1" s="222" t="s">
        <v>261</v>
      </c>
      <c r="E1" s="171" t="s">
        <v>262</v>
      </c>
      <c r="F1" s="171" t="s">
        <v>263</v>
      </c>
      <c r="G1" s="171" t="s">
        <v>264</v>
      </c>
      <c r="H1" s="171" t="s">
        <v>265</v>
      </c>
      <c r="I1" s="171" t="s">
        <v>266</v>
      </c>
      <c r="J1" s="171" t="s">
        <v>267</v>
      </c>
      <c r="K1" s="171" t="s">
        <v>200</v>
      </c>
      <c r="L1" s="130" t="s">
        <v>268</v>
      </c>
      <c r="M1" s="130" t="s">
        <v>269</v>
      </c>
      <c r="N1" s="130" t="s">
        <v>270</v>
      </c>
      <c r="O1" s="130" t="s">
        <v>271</v>
      </c>
      <c r="P1" s="170" t="s">
        <v>272</v>
      </c>
      <c r="Q1" s="170" t="s">
        <v>273</v>
      </c>
      <c r="R1" s="170" t="s">
        <v>173</v>
      </c>
      <c r="S1" s="170" t="s">
        <v>174</v>
      </c>
      <c r="T1" s="170" t="s">
        <v>99</v>
      </c>
      <c r="U1" s="170" t="s">
        <v>100</v>
      </c>
      <c r="V1" s="169" t="s">
        <v>274</v>
      </c>
      <c r="W1" s="130" t="s">
        <v>275</v>
      </c>
    </row>
    <row r="2" spans="1:23" x14ac:dyDescent="0.25">
      <c r="A2" s="133" t="s">
        <v>86</v>
      </c>
      <c r="B2" s="133">
        <v>455000</v>
      </c>
      <c r="C2" s="133">
        <f>W2</f>
        <v>8.497566634024329</v>
      </c>
      <c r="D2" s="133">
        <f>B2*C2</f>
        <v>3866392.8184810695</v>
      </c>
      <c r="E2" s="126">
        <f>B2*C2/(C2^0.2)</f>
        <v>2520269.9411675804</v>
      </c>
      <c r="F2" s="126">
        <f>B2*C2/(C2^0.4)</f>
        <v>1642813.0494118177</v>
      </c>
      <c r="G2" s="223">
        <f>B2*C2/(C2^0.5)</f>
        <v>1326351.6624217299</v>
      </c>
      <c r="H2" s="187">
        <f>B2*C2/(C2^0.55)</f>
        <v>1191774.1388288792</v>
      </c>
      <c r="I2" s="126">
        <f>B2*C2/(C2^0.6)</f>
        <v>1070851.447788744</v>
      </c>
      <c r="J2" s="126">
        <f>B2*C2/(C2^0.65)</f>
        <v>962198.10941534548</v>
      </c>
      <c r="K2" s="126">
        <f>B2*C2/(C2^0.8)</f>
        <v>698023.93135470536</v>
      </c>
      <c r="L2" s="224">
        <f>K2*(S2/Q2)</f>
        <v>99476358.030066133</v>
      </c>
      <c r="M2" s="133">
        <v>1.89</v>
      </c>
      <c r="N2" s="133">
        <v>1890000</v>
      </c>
      <c r="O2" s="133">
        <v>1211</v>
      </c>
      <c r="P2" s="133">
        <f>N2/O2</f>
        <v>1560.6936416184972</v>
      </c>
      <c r="Q2" s="133">
        <f>SQRT(P2)</f>
        <v>39.505615317553243</v>
      </c>
      <c r="R2" s="133">
        <v>5.63</v>
      </c>
      <c r="S2" s="133">
        <f>R2*1000</f>
        <v>5630</v>
      </c>
      <c r="T2" s="133">
        <v>1605565.5</v>
      </c>
      <c r="U2" s="126">
        <f>T2/S2/83</f>
        <v>3.4359081084551351</v>
      </c>
      <c r="V2" s="133">
        <f>N2/S2</f>
        <v>335.70159857904088</v>
      </c>
      <c r="W2" s="133">
        <f>V2/Q2</f>
        <v>8.497566634024329</v>
      </c>
    </row>
    <row r="3" spans="1:23" x14ac:dyDescent="0.25">
      <c r="A3" s="133" t="s">
        <v>68</v>
      </c>
      <c r="B3" s="133">
        <v>637800</v>
      </c>
      <c r="C3" s="133">
        <f t="shared" ref="C3:C37" si="0">W3</f>
        <v>28.458652338280945</v>
      </c>
      <c r="D3" s="133">
        <f t="shared" ref="D3:D37" si="1">B3*C3</f>
        <v>18150928.461355586</v>
      </c>
      <c r="E3" s="126">
        <f t="shared" ref="E3:E37" si="2">B3*C3/(C3^0.2)</f>
        <v>9290861.350494625</v>
      </c>
      <c r="F3" s="126">
        <f t="shared" ref="F3:F37" si="3">B3*C3/(C3^0.4)</f>
        <v>4755685.3533909023</v>
      </c>
      <c r="G3" s="187">
        <f t="shared" ref="G3:G37" si="4">B3*C3/(C3^0.5)</f>
        <v>3402449.4371926519</v>
      </c>
      <c r="H3" s="187">
        <f t="shared" ref="H3:H37" si="5">B3*C3/(C3^0.55)</f>
        <v>2877934.8846788076</v>
      </c>
      <c r="I3" s="126">
        <f t="shared" ref="I3:I37" si="6">B3*C3/(C3^0.6)</f>
        <v>2434278.4083472192</v>
      </c>
      <c r="J3" s="126">
        <f t="shared" ref="J3:J37" si="7">B3*C3/(C3^0.65)</f>
        <v>2059015.0947792598</v>
      </c>
      <c r="K3" s="126">
        <f t="shared" ref="K3:K37" si="8">B3*C3/(C3^0.8)</f>
        <v>1246026.7929879581</v>
      </c>
      <c r="L3" s="224">
        <f t="shared" ref="L3:L37" si="9">K3*(S3/Q3)</f>
        <v>86735627.800225213</v>
      </c>
      <c r="M3" s="133">
        <v>2.7850000000000001</v>
      </c>
      <c r="N3" s="133">
        <v>2785000</v>
      </c>
      <c r="O3" s="133">
        <v>1981</v>
      </c>
      <c r="P3" s="133">
        <f t="shared" ref="P3:P18" si="10">N3/O3</f>
        <v>1405.8556284704694</v>
      </c>
      <c r="Q3" s="133">
        <f t="shared" ref="Q3:Q37" si="11">SQRT(P3)</f>
        <v>37.494741344226782</v>
      </c>
      <c r="R3" s="133">
        <v>2.61</v>
      </c>
      <c r="S3" s="133">
        <f t="shared" ref="S3:S37" si="12">R3*1000</f>
        <v>2610</v>
      </c>
      <c r="T3" s="133">
        <v>1350586.4075</v>
      </c>
      <c r="U3" s="126">
        <f t="shared" ref="U3:U37" si="13">T3/S3/83</f>
        <v>6.2345308013663852</v>
      </c>
      <c r="V3" s="133">
        <f t="shared" ref="V3:V18" si="14">N3/S3</f>
        <v>1067.0498084291187</v>
      </c>
      <c r="W3" s="133">
        <f t="shared" ref="W3:W37" si="15">V3/Q3</f>
        <v>28.458652338280945</v>
      </c>
    </row>
    <row r="4" spans="1:23" x14ac:dyDescent="0.25">
      <c r="A4" s="133" t="s">
        <v>62</v>
      </c>
      <c r="B4" s="133">
        <v>362800</v>
      </c>
      <c r="C4" s="133">
        <f t="shared" si="0"/>
        <v>63.303171706135856</v>
      </c>
      <c r="D4" s="133">
        <f t="shared" si="1"/>
        <v>22966390.69498609</v>
      </c>
      <c r="E4" s="126">
        <f t="shared" si="2"/>
        <v>10018614.236364795</v>
      </c>
      <c r="F4" s="126">
        <f t="shared" si="3"/>
        <v>4370413.8168738987</v>
      </c>
      <c r="G4" s="187">
        <f t="shared" si="4"/>
        <v>2886556.1737373057</v>
      </c>
      <c r="H4" s="187">
        <f t="shared" si="5"/>
        <v>2345895.9202691666</v>
      </c>
      <c r="I4" s="126">
        <f t="shared" si="6"/>
        <v>1906502.8835417866</v>
      </c>
      <c r="J4" s="126">
        <f t="shared" si="7"/>
        <v>1549409.423303016</v>
      </c>
      <c r="K4" s="126">
        <f t="shared" si="8"/>
        <v>831672.55945411604</v>
      </c>
      <c r="L4" s="224">
        <f t="shared" si="9"/>
        <v>186164450.37180573</v>
      </c>
      <c r="M4" s="133">
        <v>13.66</v>
      </c>
      <c r="N4" s="133">
        <v>13660000</v>
      </c>
      <c r="O4" s="133">
        <v>14170</v>
      </c>
      <c r="P4" s="133">
        <f t="shared" si="10"/>
        <v>964.00846859562455</v>
      </c>
      <c r="Q4" s="133">
        <f t="shared" si="11"/>
        <v>31.048485769770231</v>
      </c>
      <c r="R4" s="133">
        <v>6.95</v>
      </c>
      <c r="S4" s="133">
        <f t="shared" si="12"/>
        <v>6950</v>
      </c>
      <c r="T4" s="133">
        <v>239726.22024999998</v>
      </c>
      <c r="U4" s="126">
        <f t="shared" si="13"/>
        <v>0.41557808832452109</v>
      </c>
      <c r="V4" s="133">
        <f t="shared" si="14"/>
        <v>1965.4676258992806</v>
      </c>
      <c r="W4" s="133">
        <f t="shared" si="15"/>
        <v>63.303171706135856</v>
      </c>
    </row>
    <row r="5" spans="1:23" x14ac:dyDescent="0.25">
      <c r="A5" s="133" t="s">
        <v>182</v>
      </c>
      <c r="B5" s="133">
        <v>1350000</v>
      </c>
      <c r="C5" s="133">
        <f t="shared" si="0"/>
        <v>20.895499357411286</v>
      </c>
      <c r="D5" s="133">
        <f t="shared" si="1"/>
        <v>28208924.132505234</v>
      </c>
      <c r="E5" s="126">
        <f t="shared" si="2"/>
        <v>15359460.872776818</v>
      </c>
      <c r="F5" s="126">
        <f t="shared" si="3"/>
        <v>8363064.0145725599</v>
      </c>
      <c r="G5" s="187">
        <f t="shared" si="4"/>
        <v>6171065.3520184075</v>
      </c>
      <c r="H5" s="187">
        <f t="shared" si="5"/>
        <v>5300996.383439065</v>
      </c>
      <c r="I5" s="126">
        <f t="shared" si="6"/>
        <v>4553599.9141611801</v>
      </c>
      <c r="J5" s="126">
        <f t="shared" si="7"/>
        <v>3911580.1404860658</v>
      </c>
      <c r="K5" s="126">
        <f t="shared" si="8"/>
        <v>2479386.9976503444</v>
      </c>
      <c r="L5" s="224">
        <f t="shared" si="9"/>
        <v>109875926.89475004</v>
      </c>
      <c r="M5" s="133">
        <v>3.2120000000000002</v>
      </c>
      <c r="N5" s="133">
        <v>3212000</v>
      </c>
      <c r="O5" s="133">
        <v>926</v>
      </c>
      <c r="P5" s="133">
        <f t="shared" si="10"/>
        <v>3468.6825053995681</v>
      </c>
      <c r="Q5" s="133">
        <f t="shared" si="11"/>
        <v>58.895521946915181</v>
      </c>
      <c r="R5" s="133">
        <v>2.61</v>
      </c>
      <c r="S5" s="133">
        <f t="shared" si="12"/>
        <v>2610</v>
      </c>
      <c r="T5" s="133">
        <v>1682021</v>
      </c>
      <c r="U5" s="126">
        <f t="shared" si="13"/>
        <v>7.7644878364030845</v>
      </c>
      <c r="V5" s="133">
        <f t="shared" si="14"/>
        <v>1230.6513409961685</v>
      </c>
      <c r="W5" s="133">
        <f t="shared" si="15"/>
        <v>20.895499357411286</v>
      </c>
    </row>
    <row r="6" spans="1:23" x14ac:dyDescent="0.25">
      <c r="A6" s="133" t="s">
        <v>183</v>
      </c>
      <c r="B6" s="133">
        <v>347500</v>
      </c>
      <c r="C6" s="133">
        <f t="shared" si="0"/>
        <v>115.81063836833434</v>
      </c>
      <c r="D6" s="133">
        <f t="shared" si="1"/>
        <v>40244196.832996182</v>
      </c>
      <c r="E6" s="126">
        <f t="shared" si="2"/>
        <v>15557993.057183798</v>
      </c>
      <c r="F6" s="126">
        <f t="shared" si="3"/>
        <v>6014560.2848488651</v>
      </c>
      <c r="G6" s="187">
        <f t="shared" si="4"/>
        <v>3739633.4579028161</v>
      </c>
      <c r="H6" s="187">
        <f t="shared" si="5"/>
        <v>2948774.8507136572</v>
      </c>
      <c r="I6" s="126">
        <f t="shared" si="6"/>
        <v>2325167.21707738</v>
      </c>
      <c r="J6" s="126">
        <f t="shared" si="7"/>
        <v>1833440.2798039739</v>
      </c>
      <c r="K6" s="126">
        <f t="shared" si="8"/>
        <v>898885.75911201828</v>
      </c>
      <c r="L6" s="224">
        <f t="shared" si="9"/>
        <v>62683372.554257244</v>
      </c>
      <c r="M6" s="133">
        <v>3.6869999999999998</v>
      </c>
      <c r="N6" s="133">
        <v>3687000</v>
      </c>
      <c r="O6" s="133">
        <v>8076</v>
      </c>
      <c r="P6" s="133">
        <f t="shared" si="10"/>
        <v>456.5378900445765</v>
      </c>
      <c r="Q6" s="133">
        <f t="shared" si="11"/>
        <v>21.366747296782833</v>
      </c>
      <c r="R6" s="133">
        <v>1.49</v>
      </c>
      <c r="S6" s="133">
        <f t="shared" si="12"/>
        <v>1490</v>
      </c>
      <c r="T6" s="133">
        <v>1643793.25</v>
      </c>
      <c r="U6" s="126">
        <f t="shared" si="13"/>
        <v>13.291770437454515</v>
      </c>
      <c r="V6" s="133">
        <f t="shared" si="14"/>
        <v>2474.4966442953018</v>
      </c>
      <c r="W6" s="133">
        <f t="shared" si="15"/>
        <v>115.81063836833434</v>
      </c>
    </row>
    <row r="7" spans="1:23" x14ac:dyDescent="0.25">
      <c r="A7" s="133" t="s">
        <v>33</v>
      </c>
      <c r="B7" s="133">
        <v>572500</v>
      </c>
      <c r="C7" s="133">
        <f t="shared" si="0"/>
        <v>48.626760446158485</v>
      </c>
      <c r="D7" s="133">
        <f t="shared" si="1"/>
        <v>27838820.355425734</v>
      </c>
      <c r="E7" s="126">
        <f t="shared" si="2"/>
        <v>12801939.221262008</v>
      </c>
      <c r="F7" s="126">
        <f t="shared" si="3"/>
        <v>5887090.24780731</v>
      </c>
      <c r="G7" s="187">
        <f t="shared" si="4"/>
        <v>3992207.9922620808</v>
      </c>
      <c r="H7" s="187">
        <f t="shared" si="5"/>
        <v>3287527.488764938</v>
      </c>
      <c r="I7" s="126">
        <f t="shared" si="6"/>
        <v>2707232.9423550717</v>
      </c>
      <c r="J7" s="126">
        <f t="shared" si="7"/>
        <v>2229368.493258107</v>
      </c>
      <c r="K7" s="126">
        <f t="shared" si="8"/>
        <v>1244946.1271469854</v>
      </c>
      <c r="L7" s="224">
        <f t="shared" si="9"/>
        <v>81414608.910887629</v>
      </c>
      <c r="M7" s="133">
        <v>1.585</v>
      </c>
      <c r="N7" s="133">
        <v>1585000</v>
      </c>
      <c r="O7" s="133">
        <v>3180</v>
      </c>
      <c r="P7" s="133">
        <f t="shared" si="10"/>
        <v>498.42767295597486</v>
      </c>
      <c r="Q7" s="133">
        <f t="shared" si="11"/>
        <v>22.325493789745725</v>
      </c>
      <c r="R7" s="133">
        <v>1.46</v>
      </c>
      <c r="S7" s="133">
        <f t="shared" si="12"/>
        <v>1460</v>
      </c>
      <c r="T7" s="133">
        <v>191138.75</v>
      </c>
      <c r="U7" s="126">
        <f t="shared" si="13"/>
        <v>1.5773126753589699</v>
      </c>
      <c r="V7" s="133">
        <f t="shared" si="14"/>
        <v>1085.6164383561643</v>
      </c>
      <c r="W7" s="133">
        <f t="shared" si="15"/>
        <v>48.626760446158485</v>
      </c>
    </row>
    <row r="8" spans="1:23" x14ac:dyDescent="0.25">
      <c r="A8" s="133" t="s">
        <v>184</v>
      </c>
      <c r="B8" s="133">
        <v>1130900</v>
      </c>
      <c r="C8" s="133">
        <f t="shared" si="0"/>
        <v>42.916955112687965</v>
      </c>
      <c r="D8" s="133">
        <f t="shared" si="1"/>
        <v>48534784.536938816</v>
      </c>
      <c r="E8" s="126">
        <f t="shared" si="2"/>
        <v>22883756.905228648</v>
      </c>
      <c r="F8" s="126">
        <f t="shared" si="3"/>
        <v>10789505.611157052</v>
      </c>
      <c r="G8" s="187">
        <f t="shared" si="4"/>
        <v>7408642.7794046123</v>
      </c>
      <c r="H8" s="187">
        <f t="shared" si="5"/>
        <v>6139135.3714535106</v>
      </c>
      <c r="I8" s="126">
        <f t="shared" si="6"/>
        <v>5087164.3067747559</v>
      </c>
      <c r="J8" s="126">
        <f t="shared" si="7"/>
        <v>4215453.662165436</v>
      </c>
      <c r="K8" s="126">
        <f t="shared" si="8"/>
        <v>2398556.6731956885</v>
      </c>
      <c r="L8" s="224">
        <f t="shared" si="9"/>
        <v>73828475.411918759</v>
      </c>
      <c r="M8" s="133">
        <v>1.1040000000000001</v>
      </c>
      <c r="N8" s="133">
        <v>1104000</v>
      </c>
      <c r="O8" s="133">
        <v>1321</v>
      </c>
      <c r="P8" s="133">
        <f t="shared" si="10"/>
        <v>835.73050719152161</v>
      </c>
      <c r="Q8" s="133">
        <f t="shared" si="11"/>
        <v>28.909003912129549</v>
      </c>
      <c r="R8" s="133">
        <v>0.88983000000000001</v>
      </c>
      <c r="S8" s="133">
        <f t="shared" si="12"/>
        <v>889.83</v>
      </c>
      <c r="T8" s="133">
        <v>97863.039999999994</v>
      </c>
      <c r="U8" s="126">
        <f t="shared" si="13"/>
        <v>1.3250539665827599</v>
      </c>
      <c r="V8" s="133">
        <f t="shared" si="14"/>
        <v>1240.6864232493847</v>
      </c>
      <c r="W8" s="133">
        <f t="shared" si="15"/>
        <v>42.916955112687965</v>
      </c>
    </row>
    <row r="9" spans="1:23" x14ac:dyDescent="0.25">
      <c r="A9" s="133" t="s">
        <v>30</v>
      </c>
      <c r="B9" s="133">
        <v>414900</v>
      </c>
      <c r="C9" s="133">
        <f t="shared" si="0"/>
        <v>45.24398011035867</v>
      </c>
      <c r="D9" s="133">
        <f t="shared" si="1"/>
        <v>18771727.347787812</v>
      </c>
      <c r="E9" s="126">
        <f t="shared" si="2"/>
        <v>8757740.5921096299</v>
      </c>
      <c r="F9" s="126">
        <f t="shared" si="3"/>
        <v>4085826.4589978368</v>
      </c>
      <c r="G9" s="187">
        <f t="shared" si="4"/>
        <v>2790768.6533636502</v>
      </c>
      <c r="H9" s="187">
        <f t="shared" si="5"/>
        <v>2306459.3035925147</v>
      </c>
      <c r="I9" s="126">
        <f t="shared" si="6"/>
        <v>1906196.886910239</v>
      </c>
      <c r="J9" s="126">
        <f t="shared" si="7"/>
        <v>1575395.9178931327</v>
      </c>
      <c r="K9" s="126">
        <f t="shared" si="8"/>
        <v>889314.95454594551</v>
      </c>
      <c r="L9" s="224">
        <f t="shared" si="9"/>
        <v>77267673.573212475</v>
      </c>
      <c r="M9" s="133">
        <v>2.7069999999999999</v>
      </c>
      <c r="N9" s="133">
        <v>2707000</v>
      </c>
      <c r="O9" s="133">
        <v>3931</v>
      </c>
      <c r="P9" s="133">
        <f t="shared" si="10"/>
        <v>688.62884762147041</v>
      </c>
      <c r="Q9" s="133">
        <f t="shared" si="11"/>
        <v>26.241738654697986</v>
      </c>
      <c r="R9" s="133">
        <v>2.2799999999999998</v>
      </c>
      <c r="S9" s="133">
        <f t="shared" si="12"/>
        <v>2280</v>
      </c>
      <c r="T9" s="133">
        <v>43961.912499999999</v>
      </c>
      <c r="U9" s="126">
        <f t="shared" si="13"/>
        <v>0.23230771771295708</v>
      </c>
      <c r="V9" s="133">
        <f t="shared" si="14"/>
        <v>1187.280701754386</v>
      </c>
      <c r="W9" s="133">
        <f t="shared" si="15"/>
        <v>45.24398011035867</v>
      </c>
    </row>
    <row r="10" spans="1:23" x14ac:dyDescent="0.25">
      <c r="A10" s="133" t="s">
        <v>94</v>
      </c>
      <c r="B10" s="133">
        <v>803500</v>
      </c>
      <c r="C10" s="133">
        <f t="shared" si="0"/>
        <v>26.410062413805079</v>
      </c>
      <c r="D10" s="133">
        <f t="shared" si="1"/>
        <v>21220485.149492379</v>
      </c>
      <c r="E10" s="126">
        <f t="shared" si="2"/>
        <v>11025579.450846652</v>
      </c>
      <c r="F10" s="126">
        <f t="shared" si="3"/>
        <v>5728587.323548534</v>
      </c>
      <c r="G10" s="187">
        <f t="shared" si="4"/>
        <v>4129244.4608689765</v>
      </c>
      <c r="H10" s="187">
        <f t="shared" si="5"/>
        <v>3505759.5317176376</v>
      </c>
      <c r="I10" s="126">
        <f t="shared" si="6"/>
        <v>2976416.1484502275</v>
      </c>
      <c r="J10" s="126">
        <f t="shared" si="7"/>
        <v>2526999.6440442717</v>
      </c>
      <c r="K10" s="126">
        <f t="shared" si="8"/>
        <v>1546463.8292827141</v>
      </c>
      <c r="L10" s="224">
        <f t="shared" si="9"/>
        <v>119922394.45505665</v>
      </c>
      <c r="M10" s="133">
        <v>3.444</v>
      </c>
      <c r="N10" s="133">
        <v>3444000</v>
      </c>
      <c r="O10" s="133">
        <v>2048</v>
      </c>
      <c r="P10" s="133">
        <f t="shared" si="10"/>
        <v>1681.640625</v>
      </c>
      <c r="Q10" s="133">
        <f t="shared" si="11"/>
        <v>41.007811755810621</v>
      </c>
      <c r="R10" s="133">
        <v>3.18</v>
      </c>
      <c r="S10" s="133">
        <f t="shared" si="12"/>
        <v>3180</v>
      </c>
      <c r="T10" s="133">
        <v>53518.85</v>
      </c>
      <c r="U10" s="126">
        <f t="shared" si="13"/>
        <v>0.2027690005304236</v>
      </c>
      <c r="V10" s="133">
        <f t="shared" si="14"/>
        <v>1083.0188679245282</v>
      </c>
      <c r="W10" s="133">
        <f t="shared" si="15"/>
        <v>26.410062413805079</v>
      </c>
    </row>
    <row r="11" spans="1:23" x14ac:dyDescent="0.25">
      <c r="A11" s="133" t="s">
        <v>88</v>
      </c>
      <c r="B11" s="133">
        <v>1696500</v>
      </c>
      <c r="C11" s="133">
        <f t="shared" si="0"/>
        <v>35.173356610232119</v>
      </c>
      <c r="D11" s="133">
        <f t="shared" si="1"/>
        <v>59671599.489258789</v>
      </c>
      <c r="E11" s="126">
        <f t="shared" si="2"/>
        <v>29276888.326867424</v>
      </c>
      <c r="F11" s="126">
        <f t="shared" si="3"/>
        <v>14364223.47381781</v>
      </c>
      <c r="G11" s="187">
        <f t="shared" si="4"/>
        <v>10061454.593324345</v>
      </c>
      <c r="H11" s="187">
        <f t="shared" si="5"/>
        <v>8420736.560522804</v>
      </c>
      <c r="I11" s="126">
        <f t="shared" si="6"/>
        <v>7047569.8681553043</v>
      </c>
      <c r="J11" s="126">
        <f t="shared" si="7"/>
        <v>5898325.0086910343</v>
      </c>
      <c r="K11" s="126">
        <f t="shared" si="8"/>
        <v>3457774.180209788</v>
      </c>
      <c r="L11" s="224">
        <f t="shared" si="9"/>
        <v>126913860.28685813</v>
      </c>
      <c r="M11" s="133">
        <v>2.7370000000000001</v>
      </c>
      <c r="N11" s="133">
        <v>2737000</v>
      </c>
      <c r="O11" s="133">
        <v>1291</v>
      </c>
      <c r="P11" s="133">
        <f t="shared" si="10"/>
        <v>2120.0619674670797</v>
      </c>
      <c r="Q11" s="133">
        <f t="shared" si="11"/>
        <v>46.044130651659387</v>
      </c>
      <c r="R11" s="133">
        <v>1.69</v>
      </c>
      <c r="S11" s="133">
        <f t="shared" si="12"/>
        <v>1690</v>
      </c>
      <c r="T11" s="133">
        <v>258117.97305249999</v>
      </c>
      <c r="U11" s="126">
        <f t="shared" si="13"/>
        <v>1.8401509449811078</v>
      </c>
      <c r="V11" s="133">
        <f t="shared" si="14"/>
        <v>1619.5266272189349</v>
      </c>
      <c r="W11" s="133">
        <f t="shared" si="15"/>
        <v>35.173356610232119</v>
      </c>
    </row>
    <row r="12" spans="1:23" x14ac:dyDescent="0.25">
      <c r="A12" s="133" t="s">
        <v>121</v>
      </c>
      <c r="B12" s="133">
        <v>675000</v>
      </c>
      <c r="C12" s="133">
        <f t="shared" si="0"/>
        <v>68.283154823130758</v>
      </c>
      <c r="D12" s="133">
        <f t="shared" si="1"/>
        <v>46091129.50561326</v>
      </c>
      <c r="E12" s="126">
        <f t="shared" si="2"/>
        <v>19804078.32977657</v>
      </c>
      <c r="F12" s="126">
        <f t="shared" si="3"/>
        <v>8509262.4697808996</v>
      </c>
      <c r="G12" s="187">
        <f t="shared" si="4"/>
        <v>5577769.4839683855</v>
      </c>
      <c r="H12" s="187">
        <f t="shared" si="5"/>
        <v>4515905.8924259683</v>
      </c>
      <c r="I12" s="126">
        <f t="shared" si="6"/>
        <v>3656193.7684700452</v>
      </c>
      <c r="J12" s="126">
        <f t="shared" si="7"/>
        <v>2960148.6813574755</v>
      </c>
      <c r="K12" s="126">
        <f t="shared" si="8"/>
        <v>1570964.9244070596</v>
      </c>
      <c r="L12" s="224">
        <f t="shared" si="9"/>
        <v>80523186.86309655</v>
      </c>
      <c r="M12" s="133">
        <v>3.5830000000000002</v>
      </c>
      <c r="N12" s="133">
        <v>3583000</v>
      </c>
      <c r="O12" s="133">
        <v>3500</v>
      </c>
      <c r="P12" s="133">
        <f t="shared" si="10"/>
        <v>1023.7142857142857</v>
      </c>
      <c r="Q12" s="133">
        <f t="shared" si="11"/>
        <v>31.995535402838403</v>
      </c>
      <c r="R12" s="133">
        <v>1.64</v>
      </c>
      <c r="S12" s="133">
        <f t="shared" si="12"/>
        <v>1640</v>
      </c>
      <c r="T12" s="133">
        <v>2140754</v>
      </c>
      <c r="U12" s="126">
        <f t="shared" si="13"/>
        <v>15.726961504554804</v>
      </c>
      <c r="V12" s="133">
        <f t="shared" si="14"/>
        <v>2184.7560975609758</v>
      </c>
      <c r="W12" s="133">
        <f t="shared" si="15"/>
        <v>68.283154823130758</v>
      </c>
    </row>
    <row r="13" spans="1:23" x14ac:dyDescent="0.25">
      <c r="A13" s="133" t="s">
        <v>185</v>
      </c>
      <c r="B13" s="133">
        <v>534100</v>
      </c>
      <c r="C13" s="133">
        <f t="shared" si="0"/>
        <v>92.375371156713143</v>
      </c>
      <c r="D13" s="133">
        <f t="shared" si="1"/>
        <v>49337685.734800488</v>
      </c>
      <c r="E13" s="126">
        <f t="shared" si="2"/>
        <v>19955726.128144991</v>
      </c>
      <c r="F13" s="126">
        <f t="shared" si="3"/>
        <v>8071538.0012369566</v>
      </c>
      <c r="G13" s="187">
        <f t="shared" si="4"/>
        <v>5133347.6358957943</v>
      </c>
      <c r="H13" s="187">
        <f t="shared" si="5"/>
        <v>4093764.6012036987</v>
      </c>
      <c r="I13" s="126">
        <f t="shared" si="6"/>
        <v>3264713.3603185201</v>
      </c>
      <c r="J13" s="126">
        <f t="shared" si="7"/>
        <v>2603557.9383114353</v>
      </c>
      <c r="K13" s="126">
        <f t="shared" si="8"/>
        <v>1320486.0490539533</v>
      </c>
      <c r="L13" s="224">
        <f t="shared" si="9"/>
        <v>119089851.94771819</v>
      </c>
      <c r="M13" s="133">
        <v>9.0350000000000001</v>
      </c>
      <c r="N13" s="133">
        <v>9035000</v>
      </c>
      <c r="O13" s="133">
        <v>8331</v>
      </c>
      <c r="P13" s="133">
        <f t="shared" si="10"/>
        <v>1084.503661025087</v>
      </c>
      <c r="Q13" s="133">
        <f t="shared" si="11"/>
        <v>32.931803185144403</v>
      </c>
      <c r="R13" s="133">
        <v>2.97</v>
      </c>
      <c r="S13" s="133">
        <f t="shared" si="12"/>
        <v>2970</v>
      </c>
      <c r="T13" s="133">
        <v>156077.78680999999</v>
      </c>
      <c r="U13" s="126">
        <f t="shared" si="13"/>
        <v>0.6331499201249442</v>
      </c>
      <c r="V13" s="133">
        <f t="shared" si="14"/>
        <v>3042.0875420875423</v>
      </c>
      <c r="W13" s="133">
        <f t="shared" si="15"/>
        <v>92.375371156713143</v>
      </c>
    </row>
    <row r="14" spans="1:23" x14ac:dyDescent="0.25">
      <c r="A14" s="133" t="s">
        <v>27</v>
      </c>
      <c r="B14" s="133">
        <v>1400000</v>
      </c>
      <c r="C14" s="133">
        <f t="shared" si="0"/>
        <v>19.83687685856026</v>
      </c>
      <c r="D14" s="133">
        <f t="shared" si="1"/>
        <v>27771627.601984363</v>
      </c>
      <c r="E14" s="126">
        <f t="shared" si="2"/>
        <v>15279413.126833316</v>
      </c>
      <c r="F14" s="126">
        <f t="shared" si="3"/>
        <v>8406437.9965891819</v>
      </c>
      <c r="G14" s="187">
        <f t="shared" si="4"/>
        <v>6235405.2508861125</v>
      </c>
      <c r="H14" s="187">
        <f t="shared" si="5"/>
        <v>5370206.9153405903</v>
      </c>
      <c r="I14" s="126">
        <f t="shared" si="6"/>
        <v>4625059.8242148869</v>
      </c>
      <c r="J14" s="126">
        <f t="shared" si="7"/>
        <v>3983306.1769855404</v>
      </c>
      <c r="K14" s="126">
        <f t="shared" si="8"/>
        <v>2544618.5871169064</v>
      </c>
      <c r="L14" s="224">
        <f t="shared" si="9"/>
        <v>131227553.26765329</v>
      </c>
      <c r="M14" s="133">
        <v>1.508</v>
      </c>
      <c r="N14" s="133">
        <v>1508000</v>
      </c>
      <c r="O14" s="133">
        <v>1023</v>
      </c>
      <c r="P14" s="133">
        <f t="shared" si="10"/>
        <v>1474.0957966764418</v>
      </c>
      <c r="Q14" s="133">
        <f t="shared" si="11"/>
        <v>38.39395521011663</v>
      </c>
      <c r="R14" s="133">
        <v>1.98</v>
      </c>
      <c r="S14" s="133">
        <f t="shared" si="12"/>
        <v>1980</v>
      </c>
      <c r="T14" s="133">
        <v>233923.24779999998</v>
      </c>
      <c r="U14" s="126">
        <f t="shared" si="13"/>
        <v>1.4234102945113787</v>
      </c>
      <c r="V14" s="133">
        <f t="shared" si="14"/>
        <v>761.61616161616166</v>
      </c>
      <c r="W14" s="133">
        <f t="shared" si="15"/>
        <v>19.83687685856026</v>
      </c>
    </row>
    <row r="15" spans="1:23" x14ac:dyDescent="0.25">
      <c r="A15" s="133" t="s">
        <v>48</v>
      </c>
      <c r="B15" s="133">
        <v>546200</v>
      </c>
      <c r="C15" s="133">
        <f t="shared" si="0"/>
        <v>35.020469265661099</v>
      </c>
      <c r="D15" s="133">
        <f t="shared" si="1"/>
        <v>19128180.312904093</v>
      </c>
      <c r="E15" s="126">
        <f t="shared" si="2"/>
        <v>9393106.8967618328</v>
      </c>
      <c r="F15" s="126">
        <f t="shared" si="3"/>
        <v>4612590.2062138859</v>
      </c>
      <c r="G15" s="187">
        <f t="shared" si="4"/>
        <v>3232307.5483171795</v>
      </c>
      <c r="H15" s="187">
        <f t="shared" si="5"/>
        <v>2705805.5195287829</v>
      </c>
      <c r="I15" s="126">
        <f t="shared" si="6"/>
        <v>2265064.013888197</v>
      </c>
      <c r="J15" s="126">
        <f t="shared" si="7"/>
        <v>1896113.7265714474</v>
      </c>
      <c r="K15" s="126">
        <f t="shared" si="8"/>
        <v>1112285.0194018316</v>
      </c>
      <c r="L15" s="224">
        <f t="shared" si="9"/>
        <v>101857517.38967554</v>
      </c>
      <c r="M15" s="133">
        <v>2.0939999999999999</v>
      </c>
      <c r="N15" s="133">
        <v>2093999.9999999998</v>
      </c>
      <c r="O15" s="133">
        <v>3207</v>
      </c>
      <c r="P15" s="133">
        <f t="shared" si="10"/>
        <v>652.94667913938258</v>
      </c>
      <c r="Q15" s="133">
        <f t="shared" si="11"/>
        <v>25.552821353803235</v>
      </c>
      <c r="R15" s="133">
        <v>2.34</v>
      </c>
      <c r="S15" s="133">
        <f t="shared" si="12"/>
        <v>2340</v>
      </c>
      <c r="T15" s="133">
        <v>199025.51710250002</v>
      </c>
      <c r="U15" s="126">
        <f t="shared" si="13"/>
        <v>1.0247426480408814</v>
      </c>
      <c r="V15" s="133">
        <f t="shared" si="14"/>
        <v>894.8717948717948</v>
      </c>
      <c r="W15" s="133">
        <f t="shared" si="15"/>
        <v>35.020469265661099</v>
      </c>
    </row>
    <row r="16" spans="1:23" x14ac:dyDescent="0.25">
      <c r="A16" s="133" t="s">
        <v>89</v>
      </c>
      <c r="B16" s="133">
        <v>255000</v>
      </c>
      <c r="C16" s="133">
        <f t="shared" si="0"/>
        <v>54.648233391929743</v>
      </c>
      <c r="D16" s="133">
        <f t="shared" si="1"/>
        <v>13935299.514942085</v>
      </c>
      <c r="E16" s="126">
        <f t="shared" si="2"/>
        <v>6260385.5756589845</v>
      </c>
      <c r="F16" s="126">
        <f t="shared" si="3"/>
        <v>2812456.7766839247</v>
      </c>
      <c r="G16" s="187">
        <f t="shared" si="4"/>
        <v>1885073.3079406307</v>
      </c>
      <c r="H16" s="187">
        <f t="shared" si="5"/>
        <v>1543296.735863975</v>
      </c>
      <c r="I16" s="126">
        <f t="shared" si="6"/>
        <v>1263486.5736496935</v>
      </c>
      <c r="J16" s="126">
        <f t="shared" si="7"/>
        <v>1034407.891039398</v>
      </c>
      <c r="K16" s="126">
        <f t="shared" si="8"/>
        <v>567617.01549607515</v>
      </c>
      <c r="L16" s="224">
        <f t="shared" si="9"/>
        <v>31191381.527557958</v>
      </c>
      <c r="M16" s="133">
        <v>1.6040000000000001</v>
      </c>
      <c r="N16" s="133">
        <v>1604000</v>
      </c>
      <c r="O16" s="133">
        <v>3003</v>
      </c>
      <c r="P16" s="133">
        <f t="shared" si="10"/>
        <v>534.13253413253415</v>
      </c>
      <c r="Q16" s="133">
        <f t="shared" si="11"/>
        <v>23.111307495088507</v>
      </c>
      <c r="R16" s="133">
        <v>1.27</v>
      </c>
      <c r="S16" s="133">
        <f t="shared" si="12"/>
        <v>1270</v>
      </c>
      <c r="T16" s="133">
        <v>49696.074999999997</v>
      </c>
      <c r="U16" s="126">
        <f t="shared" si="13"/>
        <v>0.47145503272934253</v>
      </c>
      <c r="V16" s="133">
        <f t="shared" si="14"/>
        <v>1262.992125984252</v>
      </c>
      <c r="W16" s="133">
        <f t="shared" si="15"/>
        <v>54.648233391929743</v>
      </c>
    </row>
    <row r="17" spans="1:23" x14ac:dyDescent="0.25">
      <c r="A17" s="133" t="s">
        <v>90</v>
      </c>
      <c r="B17" s="133">
        <v>546700</v>
      </c>
      <c r="C17" s="133">
        <f t="shared" si="0"/>
        <v>24.980510922035322</v>
      </c>
      <c r="D17" s="133">
        <f t="shared" si="1"/>
        <v>13656845.32107671</v>
      </c>
      <c r="E17" s="126">
        <f t="shared" si="2"/>
        <v>7175135.8345037466</v>
      </c>
      <c r="F17" s="126">
        <f t="shared" si="3"/>
        <v>3769726.6852782131</v>
      </c>
      <c r="G17" s="187">
        <f t="shared" si="4"/>
        <v>2732434.3243768252</v>
      </c>
      <c r="H17" s="187">
        <f t="shared" si="5"/>
        <v>2326321.1353096091</v>
      </c>
      <c r="I17" s="126">
        <f t="shared" si="6"/>
        <v>1980567.2825539655</v>
      </c>
      <c r="J17" s="126">
        <f t="shared" si="7"/>
        <v>1686201.7462611133</v>
      </c>
      <c r="K17" s="126">
        <f t="shared" si="8"/>
        <v>1040565.2951027403</v>
      </c>
      <c r="L17" s="224">
        <f t="shared" si="9"/>
        <v>112593693.59742235</v>
      </c>
      <c r="M17" s="133">
        <v>1.6830000000000001</v>
      </c>
      <c r="N17" s="133">
        <v>1683000</v>
      </c>
      <c r="O17" s="133">
        <v>2703</v>
      </c>
      <c r="P17" s="133">
        <f t="shared" si="10"/>
        <v>622.64150943396226</v>
      </c>
      <c r="Q17" s="133">
        <f t="shared" si="11"/>
        <v>24.952785604696768</v>
      </c>
      <c r="R17" s="133">
        <v>2.7</v>
      </c>
      <c r="S17" s="133">
        <f t="shared" si="12"/>
        <v>2700</v>
      </c>
      <c r="T17" s="133">
        <v>145265.44999999998</v>
      </c>
      <c r="U17" s="126">
        <f t="shared" si="13"/>
        <v>0.64821709058456045</v>
      </c>
      <c r="V17" s="133">
        <f t="shared" si="14"/>
        <v>623.33333333333337</v>
      </c>
      <c r="W17" s="133">
        <f t="shared" si="15"/>
        <v>24.980510922035322</v>
      </c>
    </row>
    <row r="18" spans="1:23" x14ac:dyDescent="0.25">
      <c r="A18" s="133" t="s">
        <v>26</v>
      </c>
      <c r="B18" s="133">
        <v>785000</v>
      </c>
      <c r="C18" s="133">
        <f t="shared" si="0"/>
        <v>16.87083073326043</v>
      </c>
      <c r="D18" s="133">
        <f t="shared" si="1"/>
        <v>13243602.125609437</v>
      </c>
      <c r="E18" s="126">
        <f t="shared" si="2"/>
        <v>7526253.3105175169</v>
      </c>
      <c r="F18" s="126">
        <f t="shared" si="3"/>
        <v>4277121.0095885638</v>
      </c>
      <c r="G18" s="187">
        <f t="shared" si="4"/>
        <v>3224318.1711182613</v>
      </c>
      <c r="H18" s="187">
        <f t="shared" si="5"/>
        <v>2799503.8391015199</v>
      </c>
      <c r="I18" s="126">
        <f t="shared" si="6"/>
        <v>2430660.1672706637</v>
      </c>
      <c r="J18" s="126">
        <f t="shared" si="7"/>
        <v>2110412.8403883213</v>
      </c>
      <c r="K18" s="126">
        <f t="shared" si="8"/>
        <v>1381328.4299208031</v>
      </c>
      <c r="L18" s="224">
        <f t="shared" si="9"/>
        <v>104965966.1196918</v>
      </c>
      <c r="M18" s="133">
        <v>1.893</v>
      </c>
      <c r="N18" s="133">
        <v>1893000</v>
      </c>
      <c r="O18" s="133">
        <v>1282</v>
      </c>
      <c r="P18" s="133">
        <f t="shared" si="10"/>
        <v>1476.5990639625586</v>
      </c>
      <c r="Q18" s="133">
        <f t="shared" si="11"/>
        <v>38.426541139719546</v>
      </c>
      <c r="R18" s="133">
        <v>2.92</v>
      </c>
      <c r="S18" s="133">
        <f t="shared" si="12"/>
        <v>2920</v>
      </c>
      <c r="T18" s="133">
        <v>307161.11808249995</v>
      </c>
      <c r="U18" s="126">
        <f t="shared" si="13"/>
        <v>1.2673754665889585</v>
      </c>
      <c r="V18" s="133">
        <f t="shared" si="14"/>
        <v>648.28767123287673</v>
      </c>
      <c r="W18" s="133">
        <f t="shared" si="15"/>
        <v>16.87083073326043</v>
      </c>
    </row>
    <row r="19" spans="1:23" x14ac:dyDescent="0.25">
      <c r="A19" s="133" t="s">
        <v>186</v>
      </c>
      <c r="B19" s="133">
        <v>925000</v>
      </c>
      <c r="C19" s="133">
        <f t="shared" si="0"/>
        <v>23.003630965661102</v>
      </c>
      <c r="D19" s="133">
        <f t="shared" si="1"/>
        <v>21278358.643236518</v>
      </c>
      <c r="E19" s="126">
        <f t="shared" si="2"/>
        <v>11365246.15105211</v>
      </c>
      <c r="F19" s="126">
        <f t="shared" si="3"/>
        <v>6070431.5703909844</v>
      </c>
      <c r="G19" s="187">
        <f t="shared" si="4"/>
        <v>4436494.3080087211</v>
      </c>
      <c r="H19" s="187">
        <f t="shared" si="5"/>
        <v>3792714.1248428994</v>
      </c>
      <c r="I19" s="126">
        <f t="shared" si="6"/>
        <v>3242352.9557596291</v>
      </c>
      <c r="J19" s="126">
        <f t="shared" si="7"/>
        <v>2771854.7572205067</v>
      </c>
      <c r="K19" s="126">
        <f t="shared" si="8"/>
        <v>1731813.062682475</v>
      </c>
      <c r="L19" s="224">
        <f t="shared" si="9"/>
        <v>149656226.02759391</v>
      </c>
      <c r="M19" s="133">
        <f>N19/1000000</f>
        <v>14.099</v>
      </c>
      <c r="N19" s="133">
        <v>14099000</v>
      </c>
      <c r="O19" s="170">
        <v>9216</v>
      </c>
      <c r="P19" s="133">
        <f>N19/O19</f>
        <v>1529.8394097222222</v>
      </c>
      <c r="Q19" s="133">
        <f>SQRT(P19)</f>
        <v>39.113161592004069</v>
      </c>
      <c r="R19" s="133">
        <v>3.38</v>
      </c>
      <c r="S19" s="133">
        <f t="shared" si="12"/>
        <v>3380</v>
      </c>
      <c r="T19" s="133">
        <v>764555</v>
      </c>
      <c r="U19" s="126">
        <f t="shared" si="13"/>
        <v>2.7252976402652025</v>
      </c>
      <c r="V19" s="133">
        <f>N19/15670</f>
        <v>899.74473516273133</v>
      </c>
      <c r="W19" s="133">
        <f t="shared" si="15"/>
        <v>23.003630965661102</v>
      </c>
    </row>
    <row r="20" spans="1:23" x14ac:dyDescent="0.25">
      <c r="A20" s="133" t="s">
        <v>187</v>
      </c>
      <c r="B20" s="133">
        <v>1012000</v>
      </c>
      <c r="C20" s="133">
        <f t="shared" si="0"/>
        <v>13.207897130394805</v>
      </c>
      <c r="D20" s="133">
        <f t="shared" si="1"/>
        <v>13366391.895959543</v>
      </c>
      <c r="E20" s="126">
        <f t="shared" si="2"/>
        <v>7977144.4205924124</v>
      </c>
      <c r="F20" s="126">
        <f t="shared" si="3"/>
        <v>4760808.5714009702</v>
      </c>
      <c r="G20" s="187">
        <f t="shared" si="4"/>
        <v>3677878.2740475596</v>
      </c>
      <c r="H20" s="187">
        <f t="shared" si="5"/>
        <v>3232627.5323066819</v>
      </c>
      <c r="I20" s="126">
        <f t="shared" si="6"/>
        <v>2841279.66832544</v>
      </c>
      <c r="J20" s="126">
        <f t="shared" si="7"/>
        <v>2497309.1000926485</v>
      </c>
      <c r="K20" s="126">
        <f t="shared" si="8"/>
        <v>1695693.0808213335</v>
      </c>
      <c r="L20" s="224">
        <f t="shared" si="9"/>
        <v>155859133.34983438</v>
      </c>
      <c r="M20" s="133">
        <v>1.444</v>
      </c>
      <c r="N20" s="133">
        <v>1444000</v>
      </c>
      <c r="O20" s="133">
        <v>1214</v>
      </c>
      <c r="P20" s="133">
        <f t="shared" ref="P20:P37" si="16">N20/O20</f>
        <v>1189.4563426688633</v>
      </c>
      <c r="Q20" s="133">
        <f t="shared" ref="Q20:Q25" si="17">SQRT(P20)</f>
        <v>34.488495801772267</v>
      </c>
      <c r="R20" s="133">
        <v>3.17</v>
      </c>
      <c r="S20" s="133">
        <f t="shared" si="12"/>
        <v>3170</v>
      </c>
      <c r="T20" s="133">
        <v>113918.69499999999</v>
      </c>
      <c r="U20" s="126">
        <f t="shared" si="13"/>
        <v>0.43296984151115497</v>
      </c>
      <c r="V20" s="133">
        <f>N20/S20</f>
        <v>455.52050473186119</v>
      </c>
      <c r="W20" s="133">
        <f t="shared" si="15"/>
        <v>13.207897130394805</v>
      </c>
    </row>
    <row r="21" spans="1:23" x14ac:dyDescent="0.25">
      <c r="A21" s="133" t="s">
        <v>188</v>
      </c>
      <c r="B21" s="133">
        <v>682000</v>
      </c>
      <c r="C21" s="133">
        <f t="shared" si="0"/>
        <v>31.009417318436082</v>
      </c>
      <c r="D21" s="133">
        <f t="shared" si="1"/>
        <v>21148422.611173406</v>
      </c>
      <c r="E21" s="126">
        <f t="shared" si="2"/>
        <v>10640921.987453029</v>
      </c>
      <c r="F21" s="126">
        <f t="shared" si="3"/>
        <v>5354026.7671423694</v>
      </c>
      <c r="G21" s="187">
        <f t="shared" si="4"/>
        <v>3797792.0191632747</v>
      </c>
      <c r="H21" s="187">
        <f t="shared" si="5"/>
        <v>3198574.6961502675</v>
      </c>
      <c r="I21" s="126">
        <f t="shared" si="6"/>
        <v>2693902.1503096516</v>
      </c>
      <c r="J21" s="126">
        <f t="shared" si="7"/>
        <v>2268857.0644223057</v>
      </c>
      <c r="K21" s="126">
        <f t="shared" si="8"/>
        <v>1355448.7325277864</v>
      </c>
      <c r="L21" s="224">
        <f t="shared" si="9"/>
        <v>112162102.62675495</v>
      </c>
      <c r="M21" s="133">
        <v>1.931</v>
      </c>
      <c r="N21" s="133">
        <v>1931000</v>
      </c>
      <c r="O21" s="133">
        <v>2566</v>
      </c>
      <c r="P21" s="133">
        <f t="shared" si="16"/>
        <v>752.5331254871395</v>
      </c>
      <c r="Q21" s="133">
        <f t="shared" si="17"/>
        <v>27.432337222466835</v>
      </c>
      <c r="R21" s="133">
        <v>2.27</v>
      </c>
      <c r="S21" s="133">
        <f t="shared" si="12"/>
        <v>2270</v>
      </c>
      <c r="T21" s="133">
        <v>398438.66359000001</v>
      </c>
      <c r="U21" s="126">
        <f t="shared" si="13"/>
        <v>2.1147426547953931</v>
      </c>
      <c r="V21" s="133">
        <f>N21/S21</f>
        <v>850.66079295154179</v>
      </c>
      <c r="W21" s="133">
        <f t="shared" si="15"/>
        <v>31.009417318436082</v>
      </c>
    </row>
    <row r="22" spans="1:23" x14ac:dyDescent="0.25">
      <c r="A22" s="133" t="s">
        <v>189</v>
      </c>
      <c r="B22" s="133">
        <v>633000</v>
      </c>
      <c r="C22" s="133">
        <f t="shared" si="0"/>
        <v>28.598605381500757</v>
      </c>
      <c r="D22" s="133">
        <f t="shared" si="1"/>
        <v>18102917.20648998</v>
      </c>
      <c r="E22" s="126">
        <f t="shared" si="2"/>
        <v>9257198.8802536465</v>
      </c>
      <c r="F22" s="126">
        <f t="shared" si="3"/>
        <v>4733807.8239592807</v>
      </c>
      <c r="G22" s="187">
        <f t="shared" si="4"/>
        <v>3385136.1260233182</v>
      </c>
      <c r="H22" s="187">
        <f t="shared" si="5"/>
        <v>2862588.3194209277</v>
      </c>
      <c r="I22" s="126">
        <f t="shared" si="6"/>
        <v>2420703.800798553</v>
      </c>
      <c r="J22" s="126">
        <f t="shared" si="7"/>
        <v>2047030.9514802799</v>
      </c>
      <c r="K22" s="126">
        <f t="shared" si="8"/>
        <v>1237863.2823965186</v>
      </c>
      <c r="L22" s="224">
        <f t="shared" si="9"/>
        <v>89424834.089479744</v>
      </c>
      <c r="M22" s="133">
        <v>1.847</v>
      </c>
      <c r="N22" s="133">
        <v>1847000</v>
      </c>
      <c r="O22" s="133">
        <v>2066</v>
      </c>
      <c r="P22" s="133">
        <f t="shared" si="16"/>
        <v>893.99806389157789</v>
      </c>
      <c r="Q22" s="133">
        <f t="shared" si="17"/>
        <v>29.899800398858481</v>
      </c>
      <c r="R22" s="133">
        <v>2.16</v>
      </c>
      <c r="S22" s="133">
        <f t="shared" si="12"/>
        <v>2160</v>
      </c>
      <c r="T22" s="133">
        <v>412095.14500000002</v>
      </c>
      <c r="U22" s="126">
        <f t="shared" si="13"/>
        <v>2.2986119199018296</v>
      </c>
      <c r="V22" s="133">
        <f>N22/S22</f>
        <v>855.09259259259261</v>
      </c>
      <c r="W22" s="133">
        <f t="shared" si="15"/>
        <v>28.598605381500757</v>
      </c>
    </row>
    <row r="23" spans="1:23" x14ac:dyDescent="0.25">
      <c r="A23" s="133" t="s">
        <v>190</v>
      </c>
      <c r="B23" s="133">
        <v>906700</v>
      </c>
      <c r="C23" s="133">
        <f t="shared" si="0"/>
        <v>23.003630965661102</v>
      </c>
      <c r="D23" s="133">
        <f t="shared" si="1"/>
        <v>20857392.19656492</v>
      </c>
      <c r="E23" s="126">
        <f t="shared" si="2"/>
        <v>11140398.578550216</v>
      </c>
      <c r="F23" s="126">
        <f t="shared" si="3"/>
        <v>5950335.4647281142</v>
      </c>
      <c r="G23" s="187">
        <f t="shared" si="4"/>
        <v>4348723.6638610885</v>
      </c>
      <c r="H23" s="187">
        <f t="shared" si="5"/>
        <v>3717679.8886433048</v>
      </c>
      <c r="I23" s="126">
        <f t="shared" si="6"/>
        <v>3178206.9459321685</v>
      </c>
      <c r="J23" s="126">
        <f t="shared" si="7"/>
        <v>2717016.9820236037</v>
      </c>
      <c r="K23" s="126">
        <f t="shared" si="8"/>
        <v>1697551.2474964324</v>
      </c>
      <c r="L23" s="224">
        <f t="shared" si="9"/>
        <v>284710714.50928485</v>
      </c>
      <c r="M23" s="133">
        <f>N23/1000000</f>
        <v>14.099</v>
      </c>
      <c r="N23" s="133">
        <v>14099000</v>
      </c>
      <c r="O23" s="170">
        <v>9216</v>
      </c>
      <c r="P23" s="133">
        <f t="shared" si="16"/>
        <v>1529.8394097222222</v>
      </c>
      <c r="Q23" s="133">
        <f t="shared" si="17"/>
        <v>39.113161592004069</v>
      </c>
      <c r="R23" s="133">
        <v>6.56</v>
      </c>
      <c r="S23" s="133">
        <f t="shared" si="12"/>
        <v>6560</v>
      </c>
      <c r="T23" s="133">
        <v>165617.13954499998</v>
      </c>
      <c r="U23" s="126">
        <f t="shared" si="13"/>
        <v>0.30417488162099615</v>
      </c>
      <c r="V23" s="133">
        <f>N23/15670</f>
        <v>899.74473516273133</v>
      </c>
      <c r="W23" s="133">
        <f t="shared" si="15"/>
        <v>23.003630965661102</v>
      </c>
    </row>
    <row r="24" spans="1:23" x14ac:dyDescent="0.25">
      <c r="A24" s="133" t="s">
        <v>191</v>
      </c>
      <c r="B24" s="133">
        <v>728800</v>
      </c>
      <c r="C24" s="133">
        <f t="shared" si="0"/>
        <v>31.465161505520658</v>
      </c>
      <c r="D24" s="133">
        <f t="shared" si="1"/>
        <v>22931809.705223456</v>
      </c>
      <c r="E24" s="126">
        <f t="shared" si="2"/>
        <v>11504621.530139443</v>
      </c>
      <c r="F24" s="126">
        <f t="shared" si="3"/>
        <v>5771734.470725162</v>
      </c>
      <c r="G24" s="187">
        <f t="shared" si="4"/>
        <v>4088117.2822176786</v>
      </c>
      <c r="H24" s="187">
        <f t="shared" si="5"/>
        <v>3440581.4882646217</v>
      </c>
      <c r="I24" s="126">
        <f t="shared" si="6"/>
        <v>2895611.8819975909</v>
      </c>
      <c r="J24" s="126">
        <f t="shared" si="7"/>
        <v>2436962.5308292508</v>
      </c>
      <c r="K24" s="126">
        <f t="shared" si="8"/>
        <v>1452694.7165870201</v>
      </c>
      <c r="L24" s="224">
        <f t="shared" si="9"/>
        <v>123131000.2479351</v>
      </c>
      <c r="M24" s="133">
        <v>3.476</v>
      </c>
      <c r="N24" s="133">
        <v>3476000</v>
      </c>
      <c r="O24" s="133">
        <v>2667</v>
      </c>
      <c r="P24" s="133">
        <f t="shared" si="16"/>
        <v>1303.3370828646418</v>
      </c>
      <c r="Q24" s="133">
        <f t="shared" si="17"/>
        <v>36.101760107571515</v>
      </c>
      <c r="R24" s="133">
        <v>3.06</v>
      </c>
      <c r="S24" s="133">
        <f t="shared" si="12"/>
        <v>3060</v>
      </c>
      <c r="T24" s="133">
        <v>254214.53749999998</v>
      </c>
      <c r="U24" s="126">
        <f t="shared" si="13"/>
        <v>1.0009234486967478</v>
      </c>
      <c r="V24" s="133">
        <f>N24/S24</f>
        <v>1135.9477124183006</v>
      </c>
      <c r="W24" s="133">
        <f t="shared" si="15"/>
        <v>31.465161505520658</v>
      </c>
    </row>
    <row r="25" spans="1:23" x14ac:dyDescent="0.25">
      <c r="A25" s="133" t="s">
        <v>192</v>
      </c>
      <c r="B25" s="133">
        <v>1100000</v>
      </c>
      <c r="C25" s="133">
        <f t="shared" si="0"/>
        <v>23.003630965661102</v>
      </c>
      <c r="D25" s="133">
        <f t="shared" si="1"/>
        <v>25303994.062227212</v>
      </c>
      <c r="E25" s="126">
        <f t="shared" si="2"/>
        <v>13515427.855305213</v>
      </c>
      <c r="F25" s="126">
        <f t="shared" si="3"/>
        <v>7218891.5972217107</v>
      </c>
      <c r="G25" s="187">
        <f t="shared" si="4"/>
        <v>5275831.0689833434</v>
      </c>
      <c r="H25" s="187">
        <f t="shared" si="5"/>
        <v>4510254.6349483132</v>
      </c>
      <c r="I25" s="126">
        <f t="shared" si="6"/>
        <v>3855771.0825249651</v>
      </c>
      <c r="J25" s="126">
        <f t="shared" si="7"/>
        <v>3296259.7112892512</v>
      </c>
      <c r="K25" s="126">
        <f t="shared" si="8"/>
        <v>2059453.371838619</v>
      </c>
      <c r="L25" s="224">
        <f t="shared" si="9"/>
        <v>110046270.15430622</v>
      </c>
      <c r="M25" s="133">
        <f>N25/1000000</f>
        <v>14.099</v>
      </c>
      <c r="N25" s="133">
        <v>14099000</v>
      </c>
      <c r="O25" s="170">
        <v>9216</v>
      </c>
      <c r="P25" s="133">
        <f t="shared" si="16"/>
        <v>1529.8394097222222</v>
      </c>
      <c r="Q25" s="133">
        <f t="shared" si="17"/>
        <v>39.113161592004069</v>
      </c>
      <c r="R25" s="133">
        <v>2.09</v>
      </c>
      <c r="S25" s="133">
        <f t="shared" si="12"/>
        <v>2090</v>
      </c>
      <c r="T25" s="133">
        <v>1805114.355</v>
      </c>
      <c r="U25" s="126">
        <f t="shared" si="13"/>
        <v>10.405916613823715</v>
      </c>
      <c r="V25" s="133">
        <f>N25/15670</f>
        <v>899.74473516273133</v>
      </c>
      <c r="W25" s="133">
        <f t="shared" si="15"/>
        <v>23.003630965661102</v>
      </c>
    </row>
    <row r="26" spans="1:23" x14ac:dyDescent="0.25">
      <c r="A26" s="133" t="s">
        <v>34</v>
      </c>
      <c r="B26" s="133">
        <v>293300</v>
      </c>
      <c r="C26" s="133">
        <f t="shared" si="0"/>
        <v>58.823601987191914</v>
      </c>
      <c r="D26" s="133">
        <f t="shared" si="1"/>
        <v>17252962.462843388</v>
      </c>
      <c r="E26" s="126">
        <f t="shared" si="2"/>
        <v>7637537.4808902172</v>
      </c>
      <c r="F26" s="126">
        <f t="shared" si="3"/>
        <v>3380983.3469254193</v>
      </c>
      <c r="G26" s="187">
        <f t="shared" si="4"/>
        <v>2249509.6999906371</v>
      </c>
      <c r="H26" s="187">
        <f t="shared" si="5"/>
        <v>1834891.0802256856</v>
      </c>
      <c r="I26" s="126">
        <f t="shared" si="6"/>
        <v>1496692.9354898087</v>
      </c>
      <c r="J26" s="126">
        <f t="shared" si="7"/>
        <v>1220829.8177947304</v>
      </c>
      <c r="K26" s="126">
        <f t="shared" si="8"/>
        <v>662555.68670049193</v>
      </c>
      <c r="L26" s="224">
        <f t="shared" si="9"/>
        <v>103871377.07212031</v>
      </c>
      <c r="M26" s="133">
        <v>16.542999999999999</v>
      </c>
      <c r="N26" s="133">
        <v>16543000</v>
      </c>
      <c r="O26" s="133">
        <v>9222</v>
      </c>
      <c r="P26" s="133">
        <f t="shared" si="16"/>
        <v>1793.8625027109088</v>
      </c>
      <c r="Q26" s="133">
        <f t="shared" si="11"/>
        <v>42.354014009429008</v>
      </c>
      <c r="R26" s="133">
        <v>6.64</v>
      </c>
      <c r="S26" s="133">
        <f t="shared" si="12"/>
        <v>6640</v>
      </c>
      <c r="T26" s="133">
        <v>490079.755</v>
      </c>
      <c r="U26" s="126">
        <f t="shared" si="13"/>
        <v>0.88924327732617214</v>
      </c>
      <c r="V26" s="133">
        <f t="shared" ref="V26:V37" si="18">N26/S26</f>
        <v>2491.4156626506024</v>
      </c>
      <c r="W26" s="133">
        <f t="shared" si="15"/>
        <v>58.823601987191914</v>
      </c>
    </row>
    <row r="27" spans="1:23" x14ac:dyDescent="0.25">
      <c r="A27" s="133" t="s">
        <v>193</v>
      </c>
      <c r="B27" s="133">
        <v>119100</v>
      </c>
      <c r="C27" s="133">
        <f t="shared" si="0"/>
        <v>136.94784676882765</v>
      </c>
      <c r="D27" s="133">
        <f t="shared" si="1"/>
        <v>16310488.550167372</v>
      </c>
      <c r="E27" s="126">
        <f t="shared" si="2"/>
        <v>6097557.8322343165</v>
      </c>
      <c r="F27" s="126">
        <f t="shared" si="3"/>
        <v>2279527.765405931</v>
      </c>
      <c r="G27" s="187">
        <f t="shared" si="4"/>
        <v>1393764.3941229573</v>
      </c>
      <c r="H27" s="187">
        <f t="shared" si="5"/>
        <v>1089837.1431817145</v>
      </c>
      <c r="I27" s="126">
        <f t="shared" si="6"/>
        <v>852184.91996696766</v>
      </c>
      <c r="J27" s="126">
        <f t="shared" si="7"/>
        <v>666355.64988999488</v>
      </c>
      <c r="K27" s="126">
        <f t="shared" si="8"/>
        <v>318583.15079122724</v>
      </c>
      <c r="L27" s="224">
        <f t="shared" si="9"/>
        <v>46556442.815398134</v>
      </c>
      <c r="M27" s="133">
        <v>27.835000000000001</v>
      </c>
      <c r="N27" s="133">
        <v>27835000</v>
      </c>
      <c r="O27" s="133">
        <v>20013</v>
      </c>
      <c r="P27" s="133">
        <f t="shared" si="16"/>
        <v>1390.8459501324139</v>
      </c>
      <c r="Q27" s="133">
        <f t="shared" si="11"/>
        <v>37.294047113881511</v>
      </c>
      <c r="R27" s="133">
        <v>5.45</v>
      </c>
      <c r="S27" s="133">
        <f t="shared" si="12"/>
        <v>5450</v>
      </c>
      <c r="T27" s="133">
        <v>581061.79999999993</v>
      </c>
      <c r="U27" s="126">
        <f t="shared" si="13"/>
        <v>1.2845402895987619</v>
      </c>
      <c r="V27" s="133">
        <f t="shared" si="18"/>
        <v>5107.339449541284</v>
      </c>
      <c r="W27" s="133">
        <f t="shared" si="15"/>
        <v>136.94784676882765</v>
      </c>
    </row>
    <row r="28" spans="1:23" x14ac:dyDescent="0.25">
      <c r="A28" s="133" t="s">
        <v>194</v>
      </c>
      <c r="B28" s="133">
        <v>254950</v>
      </c>
      <c r="C28" s="133">
        <f t="shared" si="0"/>
        <v>74.780631564214914</v>
      </c>
      <c r="D28" s="133">
        <f t="shared" si="1"/>
        <v>19065322.017296594</v>
      </c>
      <c r="E28" s="126">
        <f t="shared" si="2"/>
        <v>8044264.0785849039</v>
      </c>
      <c r="F28" s="126">
        <f t="shared" si="3"/>
        <v>3394130.1650874051</v>
      </c>
      <c r="G28" s="187">
        <f t="shared" si="4"/>
        <v>2204700.3987639155</v>
      </c>
      <c r="H28" s="187">
        <f t="shared" si="5"/>
        <v>1776888.2855848488</v>
      </c>
      <c r="I28" s="126">
        <f t="shared" si="6"/>
        <v>1432091.1726685637</v>
      </c>
      <c r="J28" s="126">
        <f t="shared" si="7"/>
        <v>1154200.375720406</v>
      </c>
      <c r="K28" s="126">
        <f t="shared" si="8"/>
        <v>604244.68923760531</v>
      </c>
      <c r="L28" s="224">
        <f t="shared" si="9"/>
        <v>63260119.272715271</v>
      </c>
      <c r="M28" s="133">
        <v>5.0540000000000003</v>
      </c>
      <c r="N28" s="133">
        <v>5054000</v>
      </c>
      <c r="O28" s="133">
        <v>7829</v>
      </c>
      <c r="P28" s="133">
        <f t="shared" si="16"/>
        <v>645.54860135394051</v>
      </c>
      <c r="Q28" s="133">
        <f t="shared" si="11"/>
        <v>25.407648481391199</v>
      </c>
      <c r="R28" s="133">
        <v>2.66</v>
      </c>
      <c r="S28" s="133">
        <f t="shared" si="12"/>
        <v>2660</v>
      </c>
      <c r="T28" s="133">
        <v>254214.53749999998</v>
      </c>
      <c r="U28" s="126">
        <f t="shared" si="13"/>
        <v>1.1514382530120482</v>
      </c>
      <c r="V28" s="133">
        <f t="shared" si="18"/>
        <v>1900</v>
      </c>
      <c r="W28" s="133">
        <f t="shared" si="15"/>
        <v>74.780631564214914</v>
      </c>
    </row>
    <row r="29" spans="1:23" x14ac:dyDescent="0.25">
      <c r="A29" s="133" t="s">
        <v>195</v>
      </c>
      <c r="B29" s="133">
        <v>545000</v>
      </c>
      <c r="C29" s="133">
        <f t="shared" si="0"/>
        <v>61.630065400333173</v>
      </c>
      <c r="D29" s="133">
        <f t="shared" si="1"/>
        <v>33588385.643181577</v>
      </c>
      <c r="E29" s="126">
        <f t="shared" si="2"/>
        <v>14730944.902755866</v>
      </c>
      <c r="F29" s="126">
        <f t="shared" si="3"/>
        <v>6460588.4913102426</v>
      </c>
      <c r="G29" s="187">
        <f t="shared" si="4"/>
        <v>4278512.6125248196</v>
      </c>
      <c r="H29" s="187">
        <f t="shared" si="5"/>
        <v>3481794.9026706489</v>
      </c>
      <c r="I29" s="126">
        <f t="shared" si="6"/>
        <v>2833436.9539486761</v>
      </c>
      <c r="J29" s="126">
        <f t="shared" si="7"/>
        <v>2305812.1447199355</v>
      </c>
      <c r="K29" s="126">
        <f t="shared" si="8"/>
        <v>1242667.7512118951</v>
      </c>
      <c r="L29" s="224">
        <f t="shared" si="9"/>
        <v>143441976.32595131</v>
      </c>
      <c r="M29" s="133">
        <v>3.665</v>
      </c>
      <c r="N29" s="133">
        <v>3665000</v>
      </c>
      <c r="O29" s="133">
        <v>7114</v>
      </c>
      <c r="P29" s="133">
        <f t="shared" si="16"/>
        <v>515.18133258363787</v>
      </c>
      <c r="Q29" s="133">
        <f t="shared" si="11"/>
        <v>22.697606318368418</v>
      </c>
      <c r="R29" s="133">
        <v>2.62</v>
      </c>
      <c r="S29" s="133">
        <f t="shared" si="12"/>
        <v>2620</v>
      </c>
      <c r="T29" s="133">
        <v>7645.55</v>
      </c>
      <c r="U29" s="126">
        <f t="shared" si="13"/>
        <v>3.5158419939299183E-2</v>
      </c>
      <c r="V29" s="133">
        <f t="shared" si="18"/>
        <v>1398.854961832061</v>
      </c>
      <c r="W29" s="133">
        <f t="shared" si="15"/>
        <v>61.630065400333173</v>
      </c>
    </row>
    <row r="30" spans="1:23" x14ac:dyDescent="0.25">
      <c r="A30" s="133" t="s">
        <v>123</v>
      </c>
      <c r="B30" s="133">
        <v>670300</v>
      </c>
      <c r="C30" s="133">
        <f t="shared" si="0"/>
        <v>17.908927555722663</v>
      </c>
      <c r="D30" s="133">
        <f t="shared" si="1"/>
        <v>12004354.140600901</v>
      </c>
      <c r="E30" s="126">
        <f t="shared" si="2"/>
        <v>6741008.6300065415</v>
      </c>
      <c r="F30" s="126">
        <f t="shared" si="3"/>
        <v>3785392.9347295999</v>
      </c>
      <c r="G30" s="187">
        <f t="shared" si="4"/>
        <v>2836638.6058933879</v>
      </c>
      <c r="H30" s="187">
        <f t="shared" si="5"/>
        <v>2455559.8866291386</v>
      </c>
      <c r="I30" s="126">
        <f t="shared" si="6"/>
        <v>2125675.912431946</v>
      </c>
      <c r="J30" s="126">
        <f t="shared" si="7"/>
        <v>1840109.0966248584</v>
      </c>
      <c r="K30" s="126">
        <f t="shared" si="8"/>
        <v>1193666.8564147758</v>
      </c>
      <c r="L30" s="224">
        <f t="shared" si="9"/>
        <v>110375806.03709711</v>
      </c>
      <c r="M30" s="133">
        <v>0.998</v>
      </c>
      <c r="N30" s="133">
        <v>998000</v>
      </c>
      <c r="O30" s="133">
        <v>1656</v>
      </c>
      <c r="P30" s="133">
        <f t="shared" si="16"/>
        <v>602.65700483091791</v>
      </c>
      <c r="Q30" s="133">
        <f t="shared" si="11"/>
        <v>24.549073400658486</v>
      </c>
      <c r="R30" s="133">
        <v>2.27</v>
      </c>
      <c r="S30" s="133">
        <f t="shared" si="12"/>
        <v>2270</v>
      </c>
      <c r="T30" s="133">
        <v>191138.75</v>
      </c>
      <c r="U30" s="126">
        <f t="shared" si="13"/>
        <v>1.014483042301364</v>
      </c>
      <c r="V30" s="133">
        <f t="shared" si="18"/>
        <v>439.64757709251103</v>
      </c>
      <c r="W30" s="133">
        <f t="shared" si="15"/>
        <v>17.908927555722663</v>
      </c>
    </row>
    <row r="31" spans="1:23" x14ac:dyDescent="0.25">
      <c r="A31" s="133" t="s">
        <v>72</v>
      </c>
      <c r="B31" s="133">
        <v>555000</v>
      </c>
      <c r="C31" s="133">
        <f t="shared" si="0"/>
        <v>51.010151679831189</v>
      </c>
      <c r="D31" s="133">
        <f t="shared" si="1"/>
        <v>28310634.182306308</v>
      </c>
      <c r="E31" s="126">
        <f t="shared" si="2"/>
        <v>12894908.804308042</v>
      </c>
      <c r="F31" s="126">
        <f t="shared" si="3"/>
        <v>5873364.4750120984</v>
      </c>
      <c r="G31" s="187">
        <f t="shared" si="4"/>
        <v>3963887.2298767529</v>
      </c>
      <c r="H31" s="187">
        <f t="shared" si="5"/>
        <v>3256405.3519120594</v>
      </c>
      <c r="I31" s="126">
        <f t="shared" si="6"/>
        <v>2675196.1397981578</v>
      </c>
      <c r="J31" s="126">
        <f t="shared" si="7"/>
        <v>2197722.2160591241</v>
      </c>
      <c r="K31" s="126">
        <f t="shared" si="8"/>
        <v>1218496.5562478937</v>
      </c>
      <c r="L31" s="224">
        <f t="shared" si="9"/>
        <v>498552558.42152297</v>
      </c>
      <c r="M31" s="133">
        <v>16.402000000000001</v>
      </c>
      <c r="N31" s="133">
        <v>16402000.000000002</v>
      </c>
      <c r="O31" s="133">
        <v>20871</v>
      </c>
      <c r="P31" s="133">
        <f t="shared" si="16"/>
        <v>785.87513775094635</v>
      </c>
      <c r="Q31" s="133">
        <f t="shared" si="11"/>
        <v>28.033464604842305</v>
      </c>
      <c r="R31" s="133">
        <v>11.47</v>
      </c>
      <c r="S31" s="133">
        <f t="shared" si="12"/>
        <v>11470</v>
      </c>
      <c r="T31" s="133">
        <v>389510.19030000002</v>
      </c>
      <c r="U31" s="126">
        <f t="shared" si="13"/>
        <v>0.40914506181657756</v>
      </c>
      <c r="V31" s="133">
        <f t="shared" si="18"/>
        <v>1429.9912816041849</v>
      </c>
      <c r="W31" s="133">
        <f t="shared" si="15"/>
        <v>51.010151679831189</v>
      </c>
    </row>
    <row r="32" spans="1:23" x14ac:dyDescent="0.25">
      <c r="A32" s="133" t="s">
        <v>196</v>
      </c>
      <c r="B32" s="133">
        <v>685000</v>
      </c>
      <c r="C32" s="133">
        <f t="shared" si="0"/>
        <v>9.6740998682691757</v>
      </c>
      <c r="D32" s="133">
        <f t="shared" si="1"/>
        <v>6626758.4097643858</v>
      </c>
      <c r="E32" s="126">
        <f t="shared" si="2"/>
        <v>4209000.9582406217</v>
      </c>
      <c r="F32" s="126">
        <f t="shared" si="3"/>
        <v>2673356.7109322683</v>
      </c>
      <c r="G32" s="187">
        <f t="shared" si="4"/>
        <v>2130570.2313438542</v>
      </c>
      <c r="H32" s="187">
        <f t="shared" si="5"/>
        <v>1902021.0821305758</v>
      </c>
      <c r="I32" s="126">
        <f t="shared" si="6"/>
        <v>1697988.7091482163</v>
      </c>
      <c r="J32" s="126">
        <f t="shared" si="7"/>
        <v>1515843.1646641928</v>
      </c>
      <c r="K32" s="126">
        <f t="shared" si="8"/>
        <v>1078481.4628757082</v>
      </c>
      <c r="L32" s="224">
        <f t="shared" si="9"/>
        <v>49832151.876647137</v>
      </c>
      <c r="M32" s="133">
        <v>1.5489999999999999</v>
      </c>
      <c r="N32" s="133">
        <v>1549000</v>
      </c>
      <c r="O32" s="133">
        <v>447</v>
      </c>
      <c r="P32" s="133">
        <f t="shared" si="16"/>
        <v>3465.3243847874719</v>
      </c>
      <c r="Q32" s="133">
        <f t="shared" si="11"/>
        <v>58.867005909825856</v>
      </c>
      <c r="R32" s="133">
        <v>2.72</v>
      </c>
      <c r="S32" s="133">
        <f t="shared" si="12"/>
        <v>2720</v>
      </c>
      <c r="T32" s="133">
        <v>365510.42657250003</v>
      </c>
      <c r="U32" s="126">
        <f t="shared" si="13"/>
        <v>1.619022087936304</v>
      </c>
      <c r="V32" s="133">
        <f t="shared" si="18"/>
        <v>569.48529411764707</v>
      </c>
      <c r="W32" s="133">
        <f t="shared" si="15"/>
        <v>9.6740998682691757</v>
      </c>
    </row>
    <row r="33" spans="1:23" x14ac:dyDescent="0.25">
      <c r="A33" s="133" t="s">
        <v>197</v>
      </c>
      <c r="B33" s="133">
        <v>724950</v>
      </c>
      <c r="C33" s="133">
        <f t="shared" si="0"/>
        <v>25.306717427078553</v>
      </c>
      <c r="D33" s="133">
        <f t="shared" si="1"/>
        <v>18346104.798760597</v>
      </c>
      <c r="E33" s="126">
        <f t="shared" si="2"/>
        <v>9613835.9448351599</v>
      </c>
      <c r="F33" s="126">
        <f t="shared" si="3"/>
        <v>5037900.0113663664</v>
      </c>
      <c r="G33" s="187">
        <f t="shared" si="4"/>
        <v>3646917.6949667367</v>
      </c>
      <c r="H33" s="187">
        <f t="shared" si="5"/>
        <v>3102874.2213903316</v>
      </c>
      <c r="I33" s="126">
        <f t="shared" si="6"/>
        <v>2639990.6000227071</v>
      </c>
      <c r="J33" s="126">
        <f t="shared" si="7"/>
        <v>2246159.4866340864</v>
      </c>
      <c r="K33" s="126">
        <f t="shared" si="8"/>
        <v>1383423.7187089354</v>
      </c>
      <c r="L33" s="224">
        <f t="shared" si="9"/>
        <v>377197227.83476061</v>
      </c>
      <c r="M33" s="133">
        <v>5.6180000000000003</v>
      </c>
      <c r="N33" s="133">
        <v>5618000</v>
      </c>
      <c r="O33" s="133">
        <v>6900</v>
      </c>
      <c r="P33" s="133">
        <f t="shared" si="16"/>
        <v>814.20289855072463</v>
      </c>
      <c r="Q33" s="133">
        <f t="shared" si="11"/>
        <v>28.534240809082771</v>
      </c>
      <c r="R33" s="133">
        <v>7.78</v>
      </c>
      <c r="S33" s="133">
        <f t="shared" si="12"/>
        <v>7780</v>
      </c>
      <c r="T33" s="133">
        <v>150922.0101675</v>
      </c>
      <c r="U33" s="126">
        <f t="shared" si="13"/>
        <v>0.23371946939557717</v>
      </c>
      <c r="V33" s="133">
        <f t="shared" si="18"/>
        <v>722.107969151671</v>
      </c>
      <c r="W33" s="133">
        <f t="shared" si="15"/>
        <v>25.306717427078553</v>
      </c>
    </row>
    <row r="34" spans="1:23" x14ac:dyDescent="0.25">
      <c r="A34" s="133" t="s">
        <v>23</v>
      </c>
      <c r="B34" s="133">
        <v>1565000</v>
      </c>
      <c r="C34" s="133">
        <f t="shared" si="0"/>
        <v>34.09403516540749</v>
      </c>
      <c r="D34" s="133">
        <f t="shared" si="1"/>
        <v>53357165.033862725</v>
      </c>
      <c r="E34" s="126">
        <f t="shared" si="2"/>
        <v>26342504.668502953</v>
      </c>
      <c r="F34" s="126">
        <f t="shared" si="3"/>
        <v>13005330.24514522</v>
      </c>
      <c r="G34" s="187">
        <f t="shared" si="4"/>
        <v>9138050.2995986603</v>
      </c>
      <c r="H34" s="187">
        <f t="shared" si="5"/>
        <v>7659838.693271352</v>
      </c>
      <c r="I34" s="126">
        <f t="shared" si="6"/>
        <v>6420749.1623802856</v>
      </c>
      <c r="J34" s="126">
        <f t="shared" si="7"/>
        <v>5382100.2578580882</v>
      </c>
      <c r="K34" s="126">
        <f t="shared" si="8"/>
        <v>3169932.5606588442</v>
      </c>
      <c r="L34" s="224">
        <f t="shared" si="9"/>
        <v>505232468.11505085</v>
      </c>
      <c r="M34" s="133">
        <v>10.753</v>
      </c>
      <c r="N34" s="133">
        <v>10753000</v>
      </c>
      <c r="O34" s="133">
        <v>5434</v>
      </c>
      <c r="P34" s="133">
        <f t="shared" si="16"/>
        <v>1978.8369525211631</v>
      </c>
      <c r="Q34" s="133">
        <f t="shared" si="11"/>
        <v>44.484120228696924</v>
      </c>
      <c r="R34" s="133">
        <v>7.09</v>
      </c>
      <c r="S34" s="133">
        <f t="shared" si="12"/>
        <v>7090</v>
      </c>
      <c r="T34" s="133">
        <v>308880.21999999997</v>
      </c>
      <c r="U34" s="126">
        <f t="shared" si="13"/>
        <v>0.52488694410930037</v>
      </c>
      <c r="V34" s="133">
        <f t="shared" si="18"/>
        <v>1516.6431593794075</v>
      </c>
      <c r="W34" s="133">
        <f t="shared" si="15"/>
        <v>34.09403516540749</v>
      </c>
    </row>
    <row r="35" spans="1:23" x14ac:dyDescent="0.25">
      <c r="A35" s="133" t="s">
        <v>95</v>
      </c>
      <c r="B35" s="133">
        <v>1387500</v>
      </c>
      <c r="C35" s="133">
        <f t="shared" si="0"/>
        <v>29.541283830405561</v>
      </c>
      <c r="D35" s="133">
        <f t="shared" si="1"/>
        <v>40988531.314687714</v>
      </c>
      <c r="E35" s="126">
        <f t="shared" si="2"/>
        <v>20824591.169874106</v>
      </c>
      <c r="F35" s="126">
        <f t="shared" si="3"/>
        <v>10580120.42595439</v>
      </c>
      <c r="G35" s="187">
        <f t="shared" si="4"/>
        <v>7541325.2946103057</v>
      </c>
      <c r="H35" s="187">
        <f t="shared" si="5"/>
        <v>6366873.2801988116</v>
      </c>
      <c r="I35" s="126">
        <f t="shared" si="6"/>
        <v>5375325.1295340573</v>
      </c>
      <c r="J35" s="126">
        <f t="shared" si="7"/>
        <v>4538196.2191806128</v>
      </c>
      <c r="K35" s="126">
        <f t="shared" si="8"/>
        <v>2730982.1708001867</v>
      </c>
      <c r="L35" s="224">
        <f t="shared" si="9"/>
        <v>300173112.29586023</v>
      </c>
      <c r="M35" s="133">
        <v>3.62</v>
      </c>
      <c r="N35" s="133">
        <v>3620000</v>
      </c>
      <c r="O35" s="133">
        <v>3247</v>
      </c>
      <c r="P35" s="133">
        <f t="shared" si="16"/>
        <v>1114.8752694795196</v>
      </c>
      <c r="Q35" s="133">
        <f t="shared" si="11"/>
        <v>33.389747969691527</v>
      </c>
      <c r="R35" s="133">
        <v>3.67</v>
      </c>
      <c r="S35" s="133">
        <f t="shared" si="12"/>
        <v>3670</v>
      </c>
      <c r="T35" s="133">
        <v>202607.07499999998</v>
      </c>
      <c r="U35" s="126">
        <f t="shared" si="13"/>
        <v>0.66513599356554276</v>
      </c>
      <c r="V35" s="133">
        <f t="shared" si="18"/>
        <v>986.37602179836517</v>
      </c>
      <c r="W35" s="133">
        <f t="shared" si="15"/>
        <v>29.541283830405561</v>
      </c>
    </row>
    <row r="36" spans="1:23" x14ac:dyDescent="0.25">
      <c r="A36" s="133" t="s">
        <v>69</v>
      </c>
      <c r="B36" s="133">
        <v>308800</v>
      </c>
      <c r="C36" s="133">
        <f>W36</f>
        <v>58.061349905656208</v>
      </c>
      <c r="D36" s="133">
        <f t="shared" si="1"/>
        <v>17929344.850866638</v>
      </c>
      <c r="E36" s="126">
        <f t="shared" si="2"/>
        <v>7957689.5960793626</v>
      </c>
      <c r="F36" s="126">
        <f t="shared" si="3"/>
        <v>3531909.516732221</v>
      </c>
      <c r="G36" s="187">
        <f t="shared" si="4"/>
        <v>2352994.1967517938</v>
      </c>
      <c r="H36" s="187">
        <f t="shared" si="5"/>
        <v>1920553.8980409612</v>
      </c>
      <c r="I36" s="126">
        <f t="shared" si="6"/>
        <v>1567588.7685452797</v>
      </c>
      <c r="J36" s="126">
        <f t="shared" si="7"/>
        <v>1279492.6243808521</v>
      </c>
      <c r="K36" s="126">
        <f t="shared" si="8"/>
        <v>695752.40691411356</v>
      </c>
      <c r="L36" s="224">
        <f t="shared" si="9"/>
        <v>105930214.97286269</v>
      </c>
      <c r="M36" s="133">
        <v>4.5389999999999997</v>
      </c>
      <c r="N36" s="133">
        <v>4539000</v>
      </c>
      <c r="O36" s="133">
        <v>8840</v>
      </c>
      <c r="P36" s="133">
        <f t="shared" si="16"/>
        <v>513.46153846153845</v>
      </c>
      <c r="Q36" s="133">
        <f t="shared" si="11"/>
        <v>22.65968972562375</v>
      </c>
      <c r="R36" s="133">
        <v>3.45</v>
      </c>
      <c r="S36" s="133">
        <f t="shared" si="12"/>
        <v>3450</v>
      </c>
      <c r="T36" s="133">
        <v>130176.95707499998</v>
      </c>
      <c r="U36" s="126">
        <f t="shared" si="13"/>
        <v>0.45460784730225245</v>
      </c>
      <c r="V36" s="133">
        <f t="shared" si="18"/>
        <v>1315.6521739130435</v>
      </c>
      <c r="W36" s="133">
        <f>V36/Q36</f>
        <v>58.061349905656208</v>
      </c>
    </row>
    <row r="37" spans="1:23" ht="13" thickBot="1" x14ac:dyDescent="0.3">
      <c r="A37" s="133" t="s">
        <v>97</v>
      </c>
      <c r="B37" s="225">
        <v>261450</v>
      </c>
      <c r="C37" s="133">
        <f t="shared" si="0"/>
        <v>71.056464122170397</v>
      </c>
      <c r="D37" s="133">
        <f t="shared" si="1"/>
        <v>18577712.544741452</v>
      </c>
      <c r="E37" s="226">
        <f t="shared" si="2"/>
        <v>7919021.4658294115</v>
      </c>
      <c r="F37" s="126">
        <f t="shared" si="3"/>
        <v>3375598.6279386021</v>
      </c>
      <c r="G37" s="226">
        <f t="shared" si="4"/>
        <v>2203892.6799693885</v>
      </c>
      <c r="H37" s="187">
        <f t="shared" si="5"/>
        <v>1780779.9727936671</v>
      </c>
      <c r="I37" s="126">
        <f t="shared" si="6"/>
        <v>1438898.2459649814</v>
      </c>
      <c r="J37" s="226">
        <f t="shared" si="7"/>
        <v>1162652.4297625804</v>
      </c>
      <c r="K37" s="226">
        <f t="shared" si="8"/>
        <v>613351.40531961294</v>
      </c>
      <c r="L37" s="224">
        <f t="shared" si="9"/>
        <v>59068006.246212177</v>
      </c>
      <c r="M37" s="133">
        <v>3.379</v>
      </c>
      <c r="N37" s="133">
        <v>3379000</v>
      </c>
      <c r="O37" s="130">
        <v>6843</v>
      </c>
      <c r="P37" s="133">
        <f t="shared" si="16"/>
        <v>493.78927371036093</v>
      </c>
      <c r="Q37" s="133">
        <f t="shared" si="11"/>
        <v>22.221369753243405</v>
      </c>
      <c r="R37" s="133">
        <v>2.14</v>
      </c>
      <c r="S37" s="133">
        <f t="shared" si="12"/>
        <v>2140</v>
      </c>
      <c r="T37" s="133">
        <v>47784.6875</v>
      </c>
      <c r="U37" s="126">
        <f t="shared" si="13"/>
        <v>0.26902762920842244</v>
      </c>
      <c r="V37" s="133">
        <f t="shared" si="18"/>
        <v>1578.9719626168223</v>
      </c>
      <c r="W37" s="133">
        <f t="shared" si="15"/>
        <v>71.056464122170397</v>
      </c>
    </row>
    <row r="38" spans="1:23" ht="15" thickBot="1" x14ac:dyDescent="0.4">
      <c r="A38" s="227" t="s">
        <v>198</v>
      </c>
      <c r="C38" s="228"/>
      <c r="D38" s="229"/>
      <c r="E38" s="225"/>
      <c r="F38" s="230"/>
      <c r="G38" s="228"/>
      <c r="H38" s="228"/>
      <c r="I38" s="228"/>
      <c r="J38" s="231"/>
      <c r="K38" s="225"/>
      <c r="L38" s="231"/>
      <c r="M38" s="228">
        <f t="shared" ref="M38:W38" si="19">AVERAGE(M2:M37)</f>
        <v>5.8100277777777771</v>
      </c>
      <c r="N38" s="228">
        <f t="shared" si="19"/>
        <v>5810027.777777778</v>
      </c>
      <c r="O38" s="228">
        <f t="shared" si="19"/>
        <v>5437.8055555555557</v>
      </c>
      <c r="P38" s="228">
        <f t="shared" si="19"/>
        <v>1205.3390270944849</v>
      </c>
      <c r="Q38" s="228">
        <f t="shared" si="19"/>
        <v>33.443276290614321</v>
      </c>
      <c r="R38" s="228">
        <f>AVERAGE(R2:R37)</f>
        <v>3.4794397222222231</v>
      </c>
      <c r="S38" s="228">
        <f t="shared" si="19"/>
        <v>3479.4397222222224</v>
      </c>
      <c r="T38" s="228"/>
      <c r="U38" s="228"/>
      <c r="V38" s="228">
        <f t="shared" si="19"/>
        <v>1337.7883923685922</v>
      </c>
      <c r="W38" s="228">
        <f t="shared" si="19"/>
        <v>43.041089993240675</v>
      </c>
    </row>
    <row r="39" spans="1:23" s="232" customFormat="1" ht="13" thickBot="1" x14ac:dyDescent="0.3">
      <c r="A39" s="133"/>
      <c r="B39" s="228">
        <f>AVERAGE(B2:B37)</f>
        <v>718645.83333333337</v>
      </c>
      <c r="C39" s="133"/>
      <c r="D39" s="137"/>
      <c r="E39" s="133"/>
      <c r="F39" s="136"/>
      <c r="G39" s="169"/>
      <c r="H39" s="169"/>
      <c r="I39" s="169"/>
      <c r="J39" s="169"/>
      <c r="K39" s="133"/>
      <c r="L39" s="169"/>
      <c r="M39" s="169"/>
      <c r="N39" s="169"/>
      <c r="O39" s="133"/>
      <c r="P39" s="169"/>
      <c r="Q39" s="169"/>
      <c r="R39" s="169">
        <f>MEDIAN(R2:R37)</f>
        <v>2.68</v>
      </c>
      <c r="S39" s="169">
        <f>MEDIAN(S2:S37)</f>
        <v>2680</v>
      </c>
      <c r="T39" s="169"/>
      <c r="U39" s="169"/>
      <c r="V39" s="169"/>
      <c r="W39" s="169"/>
    </row>
    <row r="40" spans="1:23" x14ac:dyDescent="0.25">
      <c r="C40" s="177">
        <f>MAX(C2:C37)</f>
        <v>136.94784676882765</v>
      </c>
      <c r="D40" s="233">
        <f>MAX(D2:D37)</f>
        <v>59671599.489258789</v>
      </c>
      <c r="E40" s="133"/>
      <c r="F40" s="177">
        <f>MAX(F2:F37)</f>
        <v>14364223.47381781</v>
      </c>
      <c r="G40" s="177"/>
      <c r="H40" s="177"/>
      <c r="I40" s="177"/>
      <c r="J40" s="177"/>
      <c r="K40" s="133"/>
      <c r="L40" s="177"/>
    </row>
    <row r="41" spans="1:23" ht="13" thickBot="1" x14ac:dyDescent="0.3">
      <c r="B41" s="136" t="s">
        <v>276</v>
      </c>
      <c r="C41" s="177">
        <f>MIN(C2:C37)</f>
        <v>8.497566634024329</v>
      </c>
      <c r="E41" s="133"/>
      <c r="F41" s="177">
        <f>MIN(F2:F37)</f>
        <v>1642813.0494118177</v>
      </c>
      <c r="G41" s="177"/>
      <c r="H41" s="177"/>
      <c r="I41" s="177"/>
      <c r="J41" s="177"/>
      <c r="K41" s="133"/>
      <c r="L41" s="177"/>
    </row>
    <row r="42" spans="1:23" x14ac:dyDescent="0.25">
      <c r="A42" s="234" t="s">
        <v>199</v>
      </c>
      <c r="B42" s="136" t="s">
        <v>277</v>
      </c>
      <c r="C42" s="235">
        <f>AVERAGE(C2:C37)</f>
        <v>43.041089993240675</v>
      </c>
      <c r="E42" s="133"/>
      <c r="K42" s="133"/>
    </row>
    <row r="43" spans="1:23" ht="14.5" x14ac:dyDescent="0.35">
      <c r="A43" s="236"/>
      <c r="B43" s="133" t="s">
        <v>278</v>
      </c>
      <c r="C43" s="235">
        <f>MEDIAN(C2:C37)</f>
        <v>32.779598335464073</v>
      </c>
      <c r="E43" s="133"/>
      <c r="K43" s="133"/>
    </row>
    <row r="44" spans="1:23" ht="14.5" x14ac:dyDescent="0.35">
      <c r="A44" s="237"/>
      <c r="B44" s="133" t="s">
        <v>279</v>
      </c>
      <c r="C44" s="169"/>
      <c r="E44" s="133"/>
      <c r="K44" s="133"/>
    </row>
    <row r="45" spans="1:23" ht="15" thickBot="1" x14ac:dyDescent="0.4">
      <c r="A45" s="238"/>
      <c r="C45" s="1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PSDS</vt:lpstr>
      <vt:lpstr>Raw PSDS + ASBPA</vt:lpstr>
      <vt:lpstr>Sorted North-South</vt:lpstr>
      <vt:lpstr>Community-specific Data</vt:lpstr>
      <vt:lpstr>Community-specific Data (cont.)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Arye Janoff</dc:creator>
  <dc:description/>
  <cp:lastModifiedBy>Arye Janoff</cp:lastModifiedBy>
  <cp:revision>4</cp:revision>
  <dcterms:created xsi:type="dcterms:W3CDTF">2016-06-13T11:51:34Z</dcterms:created>
  <dcterms:modified xsi:type="dcterms:W3CDTF">2020-12-08T18:57:00Z</dcterms:modified>
  <dc:language>en-US</dc:language>
</cp:coreProperties>
</file>