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CCK8_Assay_Plots/"/>
    </mc:Choice>
  </mc:AlternateContent>
  <xr:revisionPtr revIDLastSave="0" documentId="13_ncr:1_{68104614-6627-B147-B91D-A9E7E2EFFDFF}" xr6:coauthVersionLast="47" xr6:coauthVersionMax="47" xr10:uidLastSave="{00000000-0000-0000-0000-000000000000}"/>
  <bookViews>
    <workbookView xWindow="13000" yWindow="640" windowWidth="12600" windowHeight="16000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-720776384</definedName>
    <definedName name="MethodPointer2">588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D6" i="3"/>
  <c r="D7" i="3"/>
  <c r="E7" i="3" s="1"/>
  <c r="D8" i="3"/>
  <c r="E8" i="3" s="1"/>
  <c r="D9" i="3"/>
  <c r="E9" i="3" s="1"/>
  <c r="D10" i="3"/>
  <c r="E10" i="3" s="1"/>
  <c r="D5" i="3"/>
  <c r="M31" i="2"/>
  <c r="M32" i="2"/>
  <c r="M33" i="2"/>
  <c r="M34" i="2"/>
  <c r="M35" i="2"/>
  <c r="L35" i="2"/>
  <c r="K35" i="2"/>
  <c r="J35" i="2"/>
  <c r="I35" i="2"/>
  <c r="E35" i="2"/>
  <c r="D35" i="2"/>
  <c r="C35" i="2"/>
  <c r="K34" i="2"/>
  <c r="J34" i="2"/>
  <c r="I34" i="2"/>
  <c r="L33" i="2"/>
  <c r="K33" i="2"/>
  <c r="J33" i="2"/>
  <c r="I33" i="2"/>
  <c r="K32" i="2"/>
  <c r="J32" i="2"/>
  <c r="I32" i="2"/>
  <c r="L32" i="2" s="1"/>
  <c r="K31" i="2"/>
  <c r="J31" i="2"/>
  <c r="I31" i="2"/>
  <c r="L31" i="2" s="1"/>
  <c r="K30" i="2"/>
  <c r="J30" i="2"/>
  <c r="I30" i="2"/>
  <c r="K29" i="2"/>
  <c r="J29" i="2"/>
  <c r="I29" i="2"/>
  <c r="L28" i="2"/>
  <c r="M28" i="2" s="1"/>
  <c r="K28" i="2"/>
  <c r="J28" i="2"/>
  <c r="I28" i="2"/>
  <c r="K27" i="2"/>
  <c r="J27" i="2"/>
  <c r="I27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0" i="2"/>
  <c r="E23" i="2" s="1"/>
  <c r="D20" i="2"/>
  <c r="D23" i="2" s="1"/>
  <c r="C20" i="2"/>
  <c r="C23" i="2" s="1"/>
  <c r="F23" i="2" s="1"/>
  <c r="I17" i="2"/>
  <c r="H17" i="2"/>
  <c r="E5" i="3"/>
  <c r="D4" i="3"/>
  <c r="E4" i="3" s="1"/>
  <c r="D3" i="3"/>
  <c r="E3" i="3" s="1"/>
  <c r="D2" i="3"/>
  <c r="E2" i="3" s="1"/>
  <c r="I10" i="2"/>
  <c r="I11" i="2"/>
  <c r="I12" i="2"/>
  <c r="I13" i="2"/>
  <c r="I14" i="2"/>
  <c r="I15" i="2"/>
  <c r="I16" i="2"/>
  <c r="I9" i="2"/>
  <c r="H10" i="2"/>
  <c r="H11" i="2"/>
  <c r="H12" i="2"/>
  <c r="H13" i="2"/>
  <c r="H14" i="2"/>
  <c r="H15" i="2"/>
  <c r="H16" i="2"/>
  <c r="H9" i="2"/>
  <c r="F17" i="2"/>
  <c r="F10" i="2"/>
  <c r="F11" i="2"/>
  <c r="F12" i="2"/>
  <c r="F13" i="2"/>
  <c r="F14" i="2"/>
  <c r="F15" i="2"/>
  <c r="F16" i="2"/>
  <c r="F9" i="2"/>
  <c r="D17" i="2"/>
  <c r="C17" i="2"/>
  <c r="D16" i="2"/>
  <c r="C16" i="2"/>
  <c r="D15" i="2"/>
  <c r="C15" i="2"/>
  <c r="D14" i="2"/>
  <c r="C14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M27" i="2" l="1"/>
  <c r="L29" i="2"/>
  <c r="M29" i="2" s="1"/>
  <c r="L30" i="2"/>
  <c r="M30" i="2" s="1"/>
  <c r="L34" i="2"/>
  <c r="L27" i="2"/>
  <c r="F20" i="2"/>
</calcChain>
</file>

<file path=xl/sharedStrings.xml><?xml version="1.0" encoding="utf-8"?>
<sst xmlns="http://schemas.openxmlformats.org/spreadsheetml/2006/main" count="140" uniqueCount="71">
  <si>
    <t>Software Version</t>
  </si>
  <si>
    <t>3.11.19</t>
  </si>
  <si>
    <t>Experiment File Path:</t>
  </si>
  <si>
    <t>C:\Users\Public\Documents\Experiments\Kumar Lab\Aryelle\20231006_PolymerScreening_AW.xpt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</si>
  <si>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</si>
  <si>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</si>
  <si>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</si>
  <si>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</si>
  <si>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</si>
  <si>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</si>
  <si>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</si>
  <si>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</si>
  <si>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</si>
  <si>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</si>
  <si>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</si>
  <si>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</si>
  <si>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</si>
  <si>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</si>
  <si>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</si>
  <si>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</si>
  <si>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B2..E7</t>
  </si>
  <si>
    <t>Wavelengths:  460, 470, 720</t>
  </si>
  <si>
    <t>Read Speed: Normal,  Delay: 100 msec,  Measurements/Data Point: 8</t>
  </si>
  <si>
    <t>Fluorescence Endpoint</t>
  </si>
  <si>
    <t>Filter Set 1 (Green)</t>
  </si>
  <si>
    <t xml:space="preserve">    Excitation: 485/20,  Emission: 528/20</t>
  </si>
  <si>
    <t xml:space="preserve">    Mirror: Top 510 nm,  Gain: 35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</si>
  <si>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</si>
  <si>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</si>
  <si>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</si>
  <si>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</si>
  <si>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</si>
  <si>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</si>
  <si>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Read 1:460</t>
  </si>
  <si>
    <t>Read 1:470</t>
  </si>
  <si>
    <t>Read 1:720</t>
  </si>
  <si>
    <t>Read 2:485/20,528/20</t>
  </si>
  <si>
    <t>B</t>
  </si>
  <si>
    <t>C</t>
  </si>
  <si>
    <t>D</t>
  </si>
  <si>
    <t>E</t>
  </si>
  <si>
    <t>F</t>
  </si>
  <si>
    <t>G</t>
  </si>
  <si>
    <t>H</t>
  </si>
  <si>
    <t xml:space="preserve">Variable </t>
  </si>
  <si>
    <t>Absorbance at 460</t>
  </si>
  <si>
    <t>Well 1</t>
  </si>
  <si>
    <t>Well 2</t>
  </si>
  <si>
    <t>Well 3</t>
  </si>
  <si>
    <t>Viability</t>
  </si>
  <si>
    <t>% Viability</t>
  </si>
  <si>
    <t>pDNA</t>
  </si>
  <si>
    <t>UT</t>
  </si>
  <si>
    <t>LPF</t>
  </si>
  <si>
    <t>Normalization with UT</t>
  </si>
  <si>
    <t>Standard Deviation</t>
  </si>
  <si>
    <t>Standard Deviation %</t>
  </si>
  <si>
    <t>Average</t>
  </si>
  <si>
    <t>StdDev</t>
  </si>
  <si>
    <t>jetPEI</t>
  </si>
  <si>
    <t>DMAEMA</t>
  </si>
  <si>
    <t>DIP Block</t>
  </si>
  <si>
    <t>DIP30min</t>
  </si>
  <si>
    <t>DIP3hr</t>
  </si>
  <si>
    <t xml:space="preserve">DIP6hr </t>
  </si>
  <si>
    <t>Variables</t>
  </si>
  <si>
    <t>Transfection</t>
  </si>
  <si>
    <t>LPF2000</t>
  </si>
  <si>
    <t>DIP 30min</t>
  </si>
  <si>
    <t>DIP 3hrs</t>
  </si>
  <si>
    <t>DIP 6hrs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</si>
</sst>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5" xfId="0" applyFont="1" applyBorder="1"/>
    <xf numFmtId="0" fontId="5" fillId="18" borderId="5" xfId="0" applyFont="1" applyFill="1" applyBorder="1"/>
    <xf numFmtId="0" fontId="0" fillId="0" borderId="5" xfId="0" applyBorder="1"/>
    <xf numFmtId="0" fontId="2" fillId="10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8" borderId="3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139700</xdr:colOff>
      <xdr:row>2</xdr:row>
      <xdr:rowOff>10143</xdr:rowOff>
    </xdr:from>
    <xdr:to>
      <xdr:col>17</xdr:col>
      <xdr:colOff>533400</xdr:colOff>
      <xdr:row>23</xdr:row>
      <xdr:rowOff>145155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9D3CDB-0509-F2E7-CD30-5D1F0EF1E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340343"/>
          <a:ext cx="5232400" cy="3792612"/>
        </a:xfrm>
        <a:prstGeom prst="rect">
          <a:avLst/>
        </a:prstGeom>
      </xdr:spPr>
    </xdr:pic>
    <xdr:clientData/>
  </xdr:twoCellAnchor>
  <xdr:twoCellAnchor editAs="oneCell">
    <xdr:from>
      <xdr:col>13</xdr:col>
      <xdr:colOff>812800</xdr:colOff>
      <xdr:row>24</xdr:row>
      <xdr:rowOff>111743</xdr:rowOff>
    </xdr:from>
    <xdr:to>
      <xdr:col>19</xdr:col>
      <xdr:colOff>600545</xdr:colOff>
      <xdr:row>43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1CED36-20A1-B731-10A8-69CBDFFF4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98200" y="4264643"/>
          <a:ext cx="4296245" cy="3114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7"/>
  <sheetViews>
    <sheetView tabSelected="1" topLeftCell="E30" workbookViewId="0">
      <selection activeCell="D40" sqref="D40:I55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45205</v>
      </c>
    </row>
    <row r="8" spans="1:2" x14ac:dyDescent="0.15">
      <c r="A8" t="s">
        <v>8</v>
      </c>
      <c r="B8" s="2">
        <v>0.47409722222222223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>
        <v>14092513</v>
      </c>
    </row>
    <row r="11" spans="1:2" x14ac:dyDescent="0.15">
      <c r="A11" t="s">
        <v>12</v>
      </c>
      <c r="B11" t="s">
        <v>13</v>
      </c>
    </row>
    <row r="13" spans="1:2" ht="14" x14ac:dyDescent="0.15">
      <c r="A13" s="3" t="s">
        <v>14</v>
      </c>
      <c r="B13" s="4"/>
    </row>
    <row r="14" spans="1:2" x14ac:dyDescent="0.15">
      <c r="A14" t="s">
        <v>15</v>
      </c>
      <c r="B14" t="s">
        <v>16</v>
      </c>
    </row>
    <row r="15" spans="1:2" x14ac:dyDescent="0.15">
      <c r="A15" t="s">
        <v>17</v>
      </c>
    </row>
    <row r="16" spans="1:2" x14ac:dyDescent="0.15">
      <c r="A16" t="s">
        <v>18</v>
      </c>
      <c r="B16" t="s">
        <v>19</v>
      </c>
    </row>
    <row r="17" spans="1:2" x14ac:dyDescent="0.15">
      <c r="B17" t="s">
        <v>20</v>
      </c>
    </row>
    <row r="18" spans="1:2" x14ac:dyDescent="0.15">
      <c r="B18" t="s">
        <v>21</v>
      </c>
    </row>
    <row r="19" spans="1:2" x14ac:dyDescent="0.15">
      <c r="B19" t="s">
        <v>22</v>
      </c>
    </row>
    <row r="20" spans="1:2" x14ac:dyDescent="0.15">
      <c r="A20" t="s">
        <v>18</v>
      </c>
      <c r="B20" t="s">
        <v>23</v>
      </c>
    </row>
    <row r="21" spans="1:2" x14ac:dyDescent="0.15">
      <c r="B21" t="s">
        <v>20</v>
      </c>
    </row>
    <row r="22" spans="1:2" x14ac:dyDescent="0.15">
      <c r="B22" t="s">
        <v>24</v>
      </c>
    </row>
    <row r="23" spans="1:2" x14ac:dyDescent="0.15">
      <c r="B23" t="s">
        <v>25</v>
      </c>
    </row>
    <row r="24" spans="1:2" x14ac:dyDescent="0.15">
      <c r="B24" t="s">
        <v>26</v>
      </c>
    </row>
    <row r="25" spans="1:2" x14ac:dyDescent="0.15">
      <c r="B25" t="s">
        <v>27</v>
      </c>
    </row>
    <row r="26" spans="1:2" x14ac:dyDescent="0.15">
      <c r="B26" t="s">
        <v>28</v>
      </c>
    </row>
    <row r="27" spans="1:2" x14ac:dyDescent="0.15">
      <c r="B27" t="s">
        <v>29</v>
      </c>
    </row>
    <row r="29" spans="1:2" ht="14" x14ac:dyDescent="0.15">
      <c r="A29" s="3" t="s">
        <v>30</v>
      </c>
      <c r="B29" s="4"/>
    </row>
    <row r="30" spans="1:2" x14ac:dyDescent="0.15">
      <c r="A30" t="s">
        <v>31</v>
      </c>
      <c r="B30">
        <v>24.4</v>
      </c>
    </row>
    <row r="31" spans="1:2" x14ac:dyDescent="0.15">
      <c r="A31" t="s">
        <v>31</v>
      </c>
      <c r="B31">
        <v>24.4</v>
      </c>
    </row>
    <row r="32" spans="1:2" x14ac:dyDescent="0.15">
      <c r="A32" t="s">
        <v>31</v>
      </c>
      <c r="B32">
        <v>24.4</v>
      </c>
    </row>
    <row r="33" spans="1:15" x14ac:dyDescent="0.15">
      <c r="A33" t="s">
        <v>31</v>
      </c>
      <c r="B33">
        <v>24.4</v>
      </c>
    </row>
    <row r="35" spans="1:15" x14ac:dyDescent="0.15">
      <c r="B35" s="5"/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  <c r="M35" s="6">
        <v>11</v>
      </c>
      <c r="N35" s="6">
        <v>12</v>
      </c>
    </row>
    <row r="36" spans="1:15" x14ac:dyDescent="0.15">
      <c r="B36" s="53" t="s">
        <v>32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 t="s">
        <v>33</v>
      </c>
    </row>
    <row r="37" spans="1:15" x14ac:dyDescent="0.15">
      <c r="B37" s="54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8" t="s">
        <v>34</v>
      </c>
    </row>
    <row r="38" spans="1:15" x14ac:dyDescent="0.15">
      <c r="B38" s="54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8" t="s">
        <v>35</v>
      </c>
    </row>
    <row r="39" spans="1:15" ht="36" x14ac:dyDescent="0.15">
      <c r="B39" s="55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8" t="s">
        <v>36</v>
      </c>
    </row>
    <row r="40" spans="1:15" x14ac:dyDescent="0.15">
      <c r="B40" s="53" t="s">
        <v>37</v>
      </c>
      <c r="C40" s="7"/>
      <c r="D40" s="11">
        <v>0.55500000000000005</v>
      </c>
      <c r="E40" s="12">
        <v>0.53300000000000003</v>
      </c>
      <c r="F40" s="13">
        <v>0.59399999999999997</v>
      </c>
      <c r="G40" s="13">
        <v>0.61</v>
      </c>
      <c r="H40" s="14">
        <v>0.66200000000000003</v>
      </c>
      <c r="I40" s="13">
        <v>0.61099999999999999</v>
      </c>
      <c r="J40" s="7"/>
      <c r="K40" s="7"/>
      <c r="L40" s="7"/>
      <c r="M40" s="7"/>
      <c r="N40" s="7"/>
      <c r="O40" s="8" t="s">
        <v>33</v>
      </c>
    </row>
    <row r="41" spans="1:15" x14ac:dyDescent="0.15">
      <c r="B41" s="54"/>
      <c r="C41" s="9"/>
      <c r="D41" s="15">
        <v>0.54</v>
      </c>
      <c r="E41" s="16">
        <v>0.52</v>
      </c>
      <c r="F41" s="17">
        <v>0.57899999999999996</v>
      </c>
      <c r="G41" s="17">
        <v>0.59399999999999997</v>
      </c>
      <c r="H41" s="18">
        <v>0.64500000000000002</v>
      </c>
      <c r="I41" s="17">
        <v>0.59599999999999997</v>
      </c>
      <c r="J41" s="9"/>
      <c r="K41" s="9"/>
      <c r="L41" s="9"/>
      <c r="M41" s="9"/>
      <c r="N41" s="9"/>
      <c r="O41" s="8" t="s">
        <v>34</v>
      </c>
    </row>
    <row r="42" spans="1:15" x14ac:dyDescent="0.15">
      <c r="B42" s="54"/>
      <c r="C42" s="9"/>
      <c r="D42" s="15">
        <v>3.9E-2</v>
      </c>
      <c r="E42" s="19">
        <v>3.7999999999999999E-2</v>
      </c>
      <c r="F42" s="20">
        <v>3.6999999999999998E-2</v>
      </c>
      <c r="G42" s="21">
        <v>3.7999999999999999E-2</v>
      </c>
      <c r="H42" s="22">
        <v>3.6999999999999998E-2</v>
      </c>
      <c r="I42" s="23">
        <v>3.7999999999999999E-2</v>
      </c>
      <c r="J42" s="9"/>
      <c r="K42" s="9"/>
      <c r="L42" s="9"/>
      <c r="M42" s="9"/>
      <c r="N42" s="9"/>
      <c r="O42" s="8" t="s">
        <v>35</v>
      </c>
    </row>
    <row r="43" spans="1:15" ht="36" x14ac:dyDescent="0.15">
      <c r="B43" s="55"/>
      <c r="C43" s="10"/>
      <c r="D43" s="24">
        <v>52398</v>
      </c>
      <c r="E43" s="24">
        <v>57832</v>
      </c>
      <c r="F43" s="24">
        <v>57820</v>
      </c>
      <c r="G43" s="24">
        <v>52303</v>
      </c>
      <c r="H43" s="24">
        <v>61395</v>
      </c>
      <c r="I43" s="24">
        <v>55552</v>
      </c>
      <c r="J43" s="10"/>
      <c r="K43" s="10"/>
      <c r="L43" s="10"/>
      <c r="M43" s="10"/>
      <c r="N43" s="10"/>
      <c r="O43" s="8" t="s">
        <v>36</v>
      </c>
    </row>
    <row r="44" spans="1:15" x14ac:dyDescent="0.15">
      <c r="B44" s="53" t="s">
        <v>38</v>
      </c>
      <c r="C44" s="7"/>
      <c r="D44" s="25">
        <v>0.159</v>
      </c>
      <c r="E44" s="25">
        <v>0.17899999999999999</v>
      </c>
      <c r="F44" s="26">
        <v>0.214</v>
      </c>
      <c r="G44" s="12">
        <v>0.54800000000000004</v>
      </c>
      <c r="H44" s="12">
        <v>0.54400000000000004</v>
      </c>
      <c r="I44" s="12">
        <v>0.55300000000000005</v>
      </c>
      <c r="J44" s="7"/>
      <c r="K44" s="7"/>
      <c r="L44" s="7"/>
      <c r="M44" s="7"/>
      <c r="N44" s="7"/>
      <c r="O44" s="8" t="s">
        <v>33</v>
      </c>
    </row>
    <row r="45" spans="1:15" x14ac:dyDescent="0.15">
      <c r="B45" s="54"/>
      <c r="C45" s="9"/>
      <c r="D45" s="20">
        <v>0.156</v>
      </c>
      <c r="E45" s="20">
        <v>0.17499999999999999</v>
      </c>
      <c r="F45" s="27">
        <v>0.20899999999999999</v>
      </c>
      <c r="G45" s="16">
        <v>0.53400000000000003</v>
      </c>
      <c r="H45" s="16">
        <v>0.53100000000000003</v>
      </c>
      <c r="I45" s="16">
        <v>0.54</v>
      </c>
      <c r="J45" s="9"/>
      <c r="K45" s="9"/>
      <c r="L45" s="9"/>
      <c r="M45" s="9"/>
      <c r="N45" s="9"/>
      <c r="O45" s="8" t="s">
        <v>34</v>
      </c>
    </row>
    <row r="46" spans="1:15" x14ac:dyDescent="0.15">
      <c r="B46" s="54"/>
      <c r="C46" s="9"/>
      <c r="D46" s="15">
        <v>3.9E-2</v>
      </c>
      <c r="E46" s="18">
        <v>0.04</v>
      </c>
      <c r="F46" s="19">
        <v>3.7999999999999999E-2</v>
      </c>
      <c r="G46" s="28">
        <v>3.6999999999999998E-2</v>
      </c>
      <c r="H46" s="23">
        <v>3.7999999999999999E-2</v>
      </c>
      <c r="I46" s="28">
        <v>3.6999999999999998E-2</v>
      </c>
      <c r="J46" s="9"/>
      <c r="K46" s="9"/>
      <c r="L46" s="9"/>
      <c r="M46" s="9"/>
      <c r="N46" s="9"/>
      <c r="O46" s="8" t="s">
        <v>35</v>
      </c>
    </row>
    <row r="47" spans="1:15" ht="36" x14ac:dyDescent="0.15">
      <c r="B47" s="55"/>
      <c r="C47" s="10"/>
      <c r="D47" s="29">
        <v>1642429</v>
      </c>
      <c r="E47" s="30">
        <v>848623</v>
      </c>
      <c r="F47" s="31">
        <v>169080</v>
      </c>
      <c r="G47" s="24">
        <v>48728</v>
      </c>
      <c r="H47" s="24">
        <v>50371</v>
      </c>
      <c r="I47" s="24">
        <v>51903</v>
      </c>
      <c r="J47" s="10"/>
      <c r="K47" s="10"/>
      <c r="L47" s="10"/>
      <c r="M47" s="10"/>
      <c r="N47" s="10"/>
      <c r="O47" s="8" t="s">
        <v>36</v>
      </c>
    </row>
    <row r="48" spans="1:15" x14ac:dyDescent="0.15">
      <c r="B48" s="53" t="s">
        <v>39</v>
      </c>
      <c r="C48" s="7"/>
      <c r="D48" s="32">
        <v>0.51700000000000002</v>
      </c>
      <c r="E48" s="11">
        <v>0.56799999999999995</v>
      </c>
      <c r="F48" s="12">
        <v>0.52700000000000002</v>
      </c>
      <c r="G48" s="12">
        <v>0.53300000000000003</v>
      </c>
      <c r="H48" s="33">
        <v>0.35499999999999998</v>
      </c>
      <c r="I48" s="34">
        <v>0.45400000000000001</v>
      </c>
      <c r="J48" s="7"/>
      <c r="K48" s="7"/>
      <c r="L48" s="7"/>
      <c r="M48" s="7"/>
      <c r="N48" s="7"/>
      <c r="O48" s="8" t="s">
        <v>33</v>
      </c>
    </row>
    <row r="49" spans="2:15" x14ac:dyDescent="0.15">
      <c r="B49" s="54"/>
      <c r="C49" s="9"/>
      <c r="D49" s="35">
        <v>0.504</v>
      </c>
      <c r="E49" s="15">
        <v>0.55300000000000005</v>
      </c>
      <c r="F49" s="16">
        <v>0.51400000000000001</v>
      </c>
      <c r="G49" s="16">
        <v>0.52</v>
      </c>
      <c r="H49" s="19">
        <v>0.34599999999999997</v>
      </c>
      <c r="I49" s="36">
        <v>0.442</v>
      </c>
      <c r="J49" s="9"/>
      <c r="K49" s="9"/>
      <c r="L49" s="9"/>
      <c r="M49" s="9"/>
      <c r="N49" s="9"/>
      <c r="O49" s="8" t="s">
        <v>34</v>
      </c>
    </row>
    <row r="50" spans="2:15" x14ac:dyDescent="0.15">
      <c r="B50" s="54"/>
      <c r="C50" s="9"/>
      <c r="D50" s="20">
        <v>3.6999999999999998E-2</v>
      </c>
      <c r="E50" s="22">
        <v>3.7999999999999999E-2</v>
      </c>
      <c r="F50" s="28">
        <v>3.6999999999999998E-2</v>
      </c>
      <c r="G50" s="27">
        <v>3.6999999999999998E-2</v>
      </c>
      <c r="H50" s="18">
        <v>0.04</v>
      </c>
      <c r="I50" s="20">
        <v>3.6999999999999998E-2</v>
      </c>
      <c r="J50" s="9"/>
      <c r="K50" s="9"/>
      <c r="L50" s="9"/>
      <c r="M50" s="9"/>
      <c r="N50" s="9"/>
      <c r="O50" s="8" t="s">
        <v>35</v>
      </c>
    </row>
    <row r="51" spans="2:15" ht="36" x14ac:dyDescent="0.15">
      <c r="B51" s="55"/>
      <c r="C51" s="10"/>
      <c r="D51" s="24">
        <v>54573</v>
      </c>
      <c r="E51" s="24">
        <v>52254</v>
      </c>
      <c r="F51" s="24">
        <v>53858</v>
      </c>
      <c r="G51" s="24">
        <v>50273</v>
      </c>
      <c r="H51" s="24">
        <v>67110</v>
      </c>
      <c r="I51" s="24">
        <v>58447</v>
      </c>
      <c r="J51" s="10"/>
      <c r="K51" s="10"/>
      <c r="L51" s="10"/>
      <c r="M51" s="10"/>
      <c r="N51" s="10"/>
      <c r="O51" s="8" t="s">
        <v>36</v>
      </c>
    </row>
    <row r="52" spans="2:15" x14ac:dyDescent="0.15">
      <c r="B52" s="53" t="s">
        <v>40</v>
      </c>
      <c r="C52" s="7"/>
      <c r="D52" s="26">
        <v>0.218</v>
      </c>
      <c r="E52" s="37">
        <v>0.27200000000000002</v>
      </c>
      <c r="F52" s="12">
        <v>0.52800000000000002</v>
      </c>
      <c r="G52" s="32">
        <v>0.503</v>
      </c>
      <c r="H52" s="11">
        <v>0.58799999999999997</v>
      </c>
      <c r="I52" s="12">
        <v>0.54400000000000004</v>
      </c>
      <c r="J52" s="7"/>
      <c r="K52" s="7"/>
      <c r="L52" s="7"/>
      <c r="M52" s="7"/>
      <c r="N52" s="7"/>
      <c r="O52" s="8" t="s">
        <v>33</v>
      </c>
    </row>
    <row r="53" spans="2:15" x14ac:dyDescent="0.15">
      <c r="B53" s="54"/>
      <c r="C53" s="9"/>
      <c r="D53" s="27">
        <v>0.21299999999999999</v>
      </c>
      <c r="E53" s="22">
        <v>0.26400000000000001</v>
      </c>
      <c r="F53" s="16">
        <v>0.51400000000000001</v>
      </c>
      <c r="G53" s="35">
        <v>0.49</v>
      </c>
      <c r="H53" s="15">
        <v>0.57199999999999995</v>
      </c>
      <c r="I53" s="16">
        <v>0.53100000000000003</v>
      </c>
      <c r="J53" s="9"/>
      <c r="K53" s="9"/>
      <c r="L53" s="9"/>
      <c r="M53" s="9"/>
      <c r="N53" s="9"/>
      <c r="O53" s="8" t="s">
        <v>34</v>
      </c>
    </row>
    <row r="54" spans="2:15" x14ac:dyDescent="0.15">
      <c r="B54" s="54"/>
      <c r="C54" s="9"/>
      <c r="D54" s="27">
        <v>3.6999999999999998E-2</v>
      </c>
      <c r="E54" s="19">
        <v>3.7999999999999999E-2</v>
      </c>
      <c r="F54" s="27">
        <v>3.6999999999999998E-2</v>
      </c>
      <c r="G54" s="28">
        <v>3.6999999999999998E-2</v>
      </c>
      <c r="H54" s="27">
        <v>3.6999999999999998E-2</v>
      </c>
      <c r="I54" s="22">
        <v>3.7999999999999999E-2</v>
      </c>
      <c r="J54" s="9"/>
      <c r="K54" s="9"/>
      <c r="L54" s="9"/>
      <c r="M54" s="9"/>
      <c r="N54" s="9"/>
      <c r="O54" s="8" t="s">
        <v>35</v>
      </c>
    </row>
    <row r="55" spans="2:15" ht="36" x14ac:dyDescent="0.15">
      <c r="B55" s="55"/>
      <c r="C55" s="10"/>
      <c r="D55" s="38">
        <v>453598</v>
      </c>
      <c r="E55" s="39">
        <v>348839</v>
      </c>
      <c r="F55" s="24">
        <v>59877</v>
      </c>
      <c r="G55" s="24">
        <v>57737</v>
      </c>
      <c r="H55" s="24">
        <v>54283</v>
      </c>
      <c r="I55" s="24">
        <v>63154</v>
      </c>
      <c r="J55" s="10"/>
      <c r="K55" s="10"/>
      <c r="L55" s="10"/>
      <c r="M55" s="10"/>
      <c r="N55" s="10"/>
      <c r="O55" s="8" t="s">
        <v>36</v>
      </c>
    </row>
    <row r="56" spans="2:15" x14ac:dyDescent="0.15">
      <c r="B56" s="53" t="s">
        <v>41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8" t="s">
        <v>33</v>
      </c>
    </row>
    <row r="57" spans="2:15" x14ac:dyDescent="0.15">
      <c r="B57" s="54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8" t="s">
        <v>34</v>
      </c>
    </row>
    <row r="58" spans="2:15" x14ac:dyDescent="0.15">
      <c r="B58" s="54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8" t="s">
        <v>35</v>
      </c>
    </row>
    <row r="59" spans="2:15" ht="36" x14ac:dyDescent="0.15">
      <c r="B59" s="5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8" t="s">
        <v>36</v>
      </c>
    </row>
    <row r="60" spans="2:15" x14ac:dyDescent="0.15">
      <c r="B60" s="53" t="s">
        <v>42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8" t="s">
        <v>33</v>
      </c>
    </row>
    <row r="61" spans="2:15" x14ac:dyDescent="0.15">
      <c r="B61" s="54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8" t="s">
        <v>34</v>
      </c>
    </row>
    <row r="62" spans="2:15" x14ac:dyDescent="0.15">
      <c r="B62" s="54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8" t="s">
        <v>35</v>
      </c>
    </row>
    <row r="63" spans="2:15" ht="36" x14ac:dyDescent="0.15">
      <c r="B63" s="55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8" t="s">
        <v>36</v>
      </c>
    </row>
    <row r="64" spans="2:15" x14ac:dyDescent="0.15">
      <c r="B64" s="53" t="s">
        <v>43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8" t="s">
        <v>33</v>
      </c>
    </row>
    <row r="65" spans="2:15" x14ac:dyDescent="0.15">
      <c r="B65" s="5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8" t="s">
        <v>34</v>
      </c>
    </row>
    <row r="66" spans="2:15" x14ac:dyDescent="0.15">
      <c r="B66" s="54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8" t="s">
        <v>35</v>
      </c>
    </row>
    <row r="67" spans="2:15" ht="36" x14ac:dyDescent="0.15">
      <c r="B67" s="55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8" t="s">
        <v>36</v>
      </c>
    </row>
  </sheetData>
  <mergeCells count="8">
    <mergeCell ref="B60:B63"/>
    <mergeCell ref="B64:B67"/>
    <mergeCell ref="B36:B39"/>
    <mergeCell ref="B40:B43"/>
    <mergeCell ref="B44:B47"/>
    <mergeCell ref="B48:B51"/>
    <mergeCell ref="B52:B55"/>
    <mergeCell ref="B56:B59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F8D7-B342-8848-AC05-5066C16FEDF1}">
  <dimension ref="A1:S56"/>
  <sheetViews>
    <sheetView topLeftCell="L8" workbookViewId="0">
      <selection activeCell="N44" sqref="N44"/>
    </sheetView>
  </sheetViews>
  <sheetFormatPr baseColWidth="10" defaultColWidth="8.83203125" defaultRowHeight="13" x14ac:dyDescent="0.15"/>
  <cols>
    <col min="2" max="2" width="16.6640625" customWidth="1"/>
    <col min="6" max="6" width="11.6640625" bestFit="1" customWidth="1"/>
    <col min="8" max="8" width="12.6640625" customWidth="1"/>
    <col min="13" max="14" width="13.1640625" customWidth="1"/>
    <col min="16" max="16" width="10.6640625" customWidth="1"/>
  </cols>
  <sheetData>
    <row r="1" spans="1:17" x14ac:dyDescent="0.15">
      <c r="A1" s="40" t="s">
        <v>44</v>
      </c>
    </row>
    <row r="5" spans="1:17" x14ac:dyDescent="0.15">
      <c r="B5" s="40"/>
      <c r="C5" s="9">
        <v>4.5187499999999999E-2</v>
      </c>
    </row>
    <row r="7" spans="1:17" x14ac:dyDescent="0.15">
      <c r="B7" s="40"/>
    </row>
    <row r="8" spans="1:17" x14ac:dyDescent="0.15">
      <c r="B8" s="40" t="s">
        <v>45</v>
      </c>
      <c r="C8" s="40" t="s">
        <v>46</v>
      </c>
      <c r="D8" s="40" t="s">
        <v>47</v>
      </c>
      <c r="E8" s="40" t="s">
        <v>48</v>
      </c>
      <c r="F8" s="40" t="s">
        <v>57</v>
      </c>
      <c r="H8" s="42" t="s">
        <v>49</v>
      </c>
      <c r="I8" s="43" t="s">
        <v>50</v>
      </c>
      <c r="J8" s="41"/>
      <c r="K8" s="41"/>
      <c r="L8" s="40"/>
      <c r="O8" s="40"/>
      <c r="P8" s="40"/>
      <c r="Q8" s="41"/>
    </row>
    <row r="9" spans="1:17" x14ac:dyDescent="0.15">
      <c r="B9" s="40" t="s">
        <v>51</v>
      </c>
      <c r="C9" s="22">
        <f>0.555-0.039</f>
        <v>0.51600000000000001</v>
      </c>
      <c r="D9" s="28">
        <f>0.533-0.038</f>
        <v>0.49500000000000005</v>
      </c>
      <c r="E9" s="28">
        <f>0.594-0.037</f>
        <v>0.55699999999999994</v>
      </c>
      <c r="F9" s="28">
        <f>AVERAGE(C9:E9)</f>
        <v>0.52266666666666672</v>
      </c>
      <c r="H9" s="44">
        <f>F9/F$10</f>
        <v>0.88587570621468936</v>
      </c>
      <c r="I9" s="44">
        <f>100*H9</f>
        <v>88.587570621468942</v>
      </c>
      <c r="J9" s="47"/>
      <c r="K9" s="47"/>
    </row>
    <row r="10" spans="1:17" x14ac:dyDescent="0.15">
      <c r="B10" s="40" t="s">
        <v>52</v>
      </c>
      <c r="C10" s="28">
        <f>0.61-0.038</f>
        <v>0.57199999999999995</v>
      </c>
      <c r="D10" s="45">
        <f>0.662-0.037</f>
        <v>0.625</v>
      </c>
      <c r="E10" s="19">
        <f>0.611-0.038</f>
        <v>0.57299999999999995</v>
      </c>
      <c r="F10" s="50">
        <f t="shared" ref="F10:F17" si="0">AVERAGE(C10:E10)</f>
        <v>0.59</v>
      </c>
      <c r="H10" s="44">
        <f t="shared" ref="H10:H17" si="1">F10/F$10</f>
        <v>1</v>
      </c>
      <c r="I10" s="44">
        <f t="shared" ref="I10:I17" si="2">100*H10</f>
        <v>100</v>
      </c>
      <c r="J10" s="47"/>
      <c r="K10" s="47"/>
      <c r="M10" s="40"/>
    </row>
    <row r="11" spans="1:17" x14ac:dyDescent="0.15">
      <c r="B11" s="40" t="s">
        <v>59</v>
      </c>
      <c r="C11" s="28">
        <f>0.159-0.039</f>
        <v>0.12</v>
      </c>
      <c r="D11" s="22">
        <f>0.179-0.04</f>
        <v>0.13899999999999998</v>
      </c>
      <c r="E11" s="28">
        <f>0.214-0.038</f>
        <v>0.17599999999999999</v>
      </c>
      <c r="F11" s="28">
        <f t="shared" si="0"/>
        <v>0.14499999999999999</v>
      </c>
      <c r="H11" s="44">
        <f t="shared" si="1"/>
        <v>0.24576271186440676</v>
      </c>
      <c r="I11" s="44">
        <f t="shared" si="2"/>
        <v>24.576271186440675</v>
      </c>
      <c r="J11" s="47"/>
      <c r="K11" s="47"/>
    </row>
    <row r="12" spans="1:17" x14ac:dyDescent="0.15">
      <c r="B12" s="40" t="s">
        <v>53</v>
      </c>
      <c r="C12" s="46">
        <f>0.548-0.037</f>
        <v>0.51100000000000001</v>
      </c>
      <c r="D12" s="27">
        <f>0.544-0.038</f>
        <v>0.50600000000000001</v>
      </c>
      <c r="E12" s="27">
        <f>0.553-0.037</f>
        <v>0.51600000000000001</v>
      </c>
      <c r="F12" s="28">
        <f t="shared" si="0"/>
        <v>0.51100000000000001</v>
      </c>
      <c r="H12" s="44">
        <f t="shared" si="1"/>
        <v>0.86610169491525435</v>
      </c>
      <c r="I12" s="44">
        <f t="shared" si="2"/>
        <v>86.61016949152544</v>
      </c>
      <c r="J12" s="47"/>
      <c r="K12" s="47"/>
    </row>
    <row r="13" spans="1:17" x14ac:dyDescent="0.15">
      <c r="B13" s="40" t="s">
        <v>60</v>
      </c>
      <c r="C13" s="20">
        <f>0.517-0.037</f>
        <v>0.48000000000000004</v>
      </c>
      <c r="D13" s="48">
        <f>0.568-0.038</f>
        <v>0.52999999999999992</v>
      </c>
      <c r="E13" s="47"/>
      <c r="F13" s="28">
        <f t="shared" si="0"/>
        <v>0.505</v>
      </c>
      <c r="H13" s="44">
        <f t="shared" si="1"/>
        <v>0.85593220338983056</v>
      </c>
      <c r="I13" s="44">
        <f t="shared" si="2"/>
        <v>85.593220338983059</v>
      </c>
      <c r="J13" s="47"/>
      <c r="K13" s="47"/>
    </row>
    <row r="14" spans="1:17" x14ac:dyDescent="0.15">
      <c r="B14" s="40" t="s">
        <v>61</v>
      </c>
      <c r="C14" s="20">
        <f>0.527-0.037</f>
        <v>0.49000000000000005</v>
      </c>
      <c r="D14" s="48">
        <f>0.533-0.037</f>
        <v>0.49600000000000005</v>
      </c>
      <c r="E14" s="47"/>
      <c r="F14" s="28">
        <f t="shared" si="0"/>
        <v>0.49300000000000005</v>
      </c>
      <c r="H14" s="44">
        <f t="shared" si="1"/>
        <v>0.8355932203389832</v>
      </c>
      <c r="I14" s="44">
        <f t="shared" si="2"/>
        <v>83.559322033898326</v>
      </c>
      <c r="J14" s="47"/>
      <c r="K14" s="47"/>
    </row>
    <row r="15" spans="1:17" x14ac:dyDescent="0.15">
      <c r="B15" s="40" t="s">
        <v>62</v>
      </c>
      <c r="C15" s="28">
        <f>0.355-0.04</f>
        <v>0.315</v>
      </c>
      <c r="D15" s="49">
        <f>0.454-0.037</f>
        <v>0.41700000000000004</v>
      </c>
      <c r="E15" s="47"/>
      <c r="F15" s="28">
        <f t="shared" si="0"/>
        <v>0.36599999999999999</v>
      </c>
      <c r="H15" s="44">
        <f t="shared" si="1"/>
        <v>0.62033898305084745</v>
      </c>
      <c r="I15" s="44">
        <f t="shared" si="2"/>
        <v>62.033898305084747</v>
      </c>
      <c r="J15" s="47"/>
      <c r="K15" s="47"/>
    </row>
    <row r="16" spans="1:17" x14ac:dyDescent="0.15">
      <c r="B16" s="40" t="s">
        <v>63</v>
      </c>
      <c r="C16" s="28">
        <f>0.218-0.037</f>
        <v>0.18099999999999999</v>
      </c>
      <c r="D16" s="49">
        <f>0.272-0.038</f>
        <v>0.23400000000000001</v>
      </c>
      <c r="E16" s="47"/>
      <c r="F16" s="28">
        <f t="shared" si="0"/>
        <v>0.20750000000000002</v>
      </c>
      <c r="H16" s="44">
        <f t="shared" si="1"/>
        <v>0.35169491525423735</v>
      </c>
      <c r="I16" s="44">
        <f t="shared" si="2"/>
        <v>35.169491525423737</v>
      </c>
      <c r="J16" s="47"/>
      <c r="K16" s="47"/>
    </row>
    <row r="17" spans="1:19" x14ac:dyDescent="0.15">
      <c r="B17" s="40" t="s">
        <v>64</v>
      </c>
      <c r="C17">
        <f>0.528-0.037</f>
        <v>0.49100000000000005</v>
      </c>
      <c r="D17" s="40">
        <f>0.503-0.037</f>
        <v>0.46600000000000003</v>
      </c>
      <c r="F17" s="28">
        <f t="shared" si="0"/>
        <v>0.47850000000000004</v>
      </c>
      <c r="H17" s="44">
        <f t="shared" si="1"/>
        <v>0.81101694915254252</v>
      </c>
      <c r="I17" s="44">
        <f t="shared" si="2"/>
        <v>81.101694915254257</v>
      </c>
    </row>
    <row r="20" spans="1:19" ht="28" x14ac:dyDescent="0.15">
      <c r="B20" s="41" t="s">
        <v>54</v>
      </c>
      <c r="C20">
        <f>C10/F10</f>
        <v>0.96949152542372874</v>
      </c>
      <c r="D20">
        <f>D10/F10</f>
        <v>1.0593220338983051</v>
      </c>
      <c r="E20">
        <f>E10/F10</f>
        <v>0.97118644067796611</v>
      </c>
      <c r="F20">
        <f>AVERAGE(C20:E20)</f>
        <v>1</v>
      </c>
      <c r="H20" s="41"/>
    </row>
    <row r="23" spans="1:19" x14ac:dyDescent="0.15">
      <c r="C23">
        <f>C20*100</f>
        <v>96.949152542372872</v>
      </c>
      <c r="D23">
        <f>D20*100</f>
        <v>105.93220338983052</v>
      </c>
      <c r="E23">
        <f>E20*100</f>
        <v>97.118644067796609</v>
      </c>
      <c r="F23">
        <f>AVERAGE(C23:E23)</f>
        <v>100</v>
      </c>
    </row>
    <row r="24" spans="1:19" x14ac:dyDescent="0.15">
      <c r="D24" s="47"/>
      <c r="E24" s="47"/>
    </row>
    <row r="25" spans="1:19" x14ac:dyDescent="0.15">
      <c r="E25" s="47"/>
    </row>
    <row r="26" spans="1:19" ht="14" x14ac:dyDescent="0.15">
      <c r="B26" s="41" t="s">
        <v>55</v>
      </c>
      <c r="C26" s="40" t="s">
        <v>46</v>
      </c>
      <c r="D26" s="40" t="s">
        <v>47</v>
      </c>
      <c r="E26" s="40" t="s">
        <v>48</v>
      </c>
      <c r="H26" s="40" t="s">
        <v>56</v>
      </c>
      <c r="I26" s="40" t="s">
        <v>46</v>
      </c>
      <c r="J26" s="40" t="s">
        <v>47</v>
      </c>
      <c r="K26" s="40" t="s">
        <v>48</v>
      </c>
      <c r="L26" s="40" t="s">
        <v>57</v>
      </c>
      <c r="M26" s="40" t="s">
        <v>58</v>
      </c>
      <c r="N26" s="40"/>
      <c r="O26" s="40"/>
      <c r="P26" s="40"/>
      <c r="Q26" s="40"/>
      <c r="R26" s="40"/>
      <c r="S26" s="40"/>
    </row>
    <row r="27" spans="1:19" x14ac:dyDescent="0.15">
      <c r="B27" s="40" t="s">
        <v>51</v>
      </c>
      <c r="C27" s="44">
        <f>C9/F$10</f>
        <v>0.87457627118644077</v>
      </c>
      <c r="D27" s="44">
        <f>D9/F$10</f>
        <v>0.83898305084745772</v>
      </c>
      <c r="E27" s="44">
        <f>E9/F$10</f>
        <v>0.94406779661016949</v>
      </c>
      <c r="H27" s="40" t="s">
        <v>51</v>
      </c>
      <c r="I27" s="44">
        <f>C27*100</f>
        <v>87.457627118644083</v>
      </c>
      <c r="J27" s="44">
        <f>D27*100</f>
        <v>83.898305084745772</v>
      </c>
      <c r="K27" s="44">
        <f>+E27*100</f>
        <v>94.406779661016955</v>
      </c>
      <c r="L27" s="44">
        <f>AVERAGE(I$27:K$27)</f>
        <v>88.587570621468942</v>
      </c>
      <c r="M27" s="44">
        <f>STDEV(I$27:L$27)</f>
        <v>4.3638353711474602</v>
      </c>
      <c r="N27" s="40"/>
    </row>
    <row r="28" spans="1:19" x14ac:dyDescent="0.15">
      <c r="B28" s="40" t="s">
        <v>52</v>
      </c>
      <c r="C28" s="44">
        <f t="shared" ref="C28:C35" si="3">C10/F$10</f>
        <v>0.96949152542372874</v>
      </c>
      <c r="D28" s="44">
        <f t="shared" ref="D28:D35" si="4">D10/F$10</f>
        <v>1.0593220338983051</v>
      </c>
      <c r="E28" s="44">
        <f t="shared" ref="E28:E35" si="5">E10/F$10</f>
        <v>0.97118644067796611</v>
      </c>
      <c r="H28" s="40" t="s">
        <v>52</v>
      </c>
      <c r="I28" s="44">
        <f t="shared" ref="I28:I35" si="6">C28*100</f>
        <v>96.949152542372872</v>
      </c>
      <c r="J28" s="44">
        <f t="shared" ref="J28:J35" si="7">D28*100</f>
        <v>105.93220338983052</v>
      </c>
      <c r="K28" s="44">
        <f t="shared" ref="K28:K35" si="8">+E28*100</f>
        <v>97.118644067796609</v>
      </c>
      <c r="L28" s="44">
        <f>AVERAGE(I$28:K$28)</f>
        <v>100</v>
      </c>
      <c r="M28" s="44">
        <f>STDEV(I$28:L$28)</f>
        <v>4.1952719131609051</v>
      </c>
      <c r="N28" s="40"/>
    </row>
    <row r="29" spans="1:19" x14ac:dyDescent="0.15">
      <c r="A29" s="47"/>
      <c r="B29" s="40" t="s">
        <v>59</v>
      </c>
      <c r="C29" s="44">
        <f t="shared" si="3"/>
        <v>0.20338983050847459</v>
      </c>
      <c r="D29" s="44">
        <f t="shared" si="4"/>
        <v>0.23559322033898303</v>
      </c>
      <c r="E29" s="44">
        <f t="shared" si="5"/>
        <v>0.29830508474576273</v>
      </c>
      <c r="H29" s="40" t="s">
        <v>59</v>
      </c>
      <c r="I29" s="44">
        <f t="shared" si="6"/>
        <v>20.33898305084746</v>
      </c>
      <c r="J29" s="44">
        <f t="shared" si="7"/>
        <v>23.559322033898304</v>
      </c>
      <c r="K29" s="44">
        <f t="shared" si="8"/>
        <v>29.830508474576273</v>
      </c>
      <c r="L29" s="44">
        <f>AVERAGE(I$29:K$29)</f>
        <v>24.576271186440678</v>
      </c>
      <c r="M29" s="44">
        <f>STDEV(I$29:L$29)</f>
        <v>3.9410576331288723</v>
      </c>
      <c r="N29" s="40"/>
    </row>
    <row r="30" spans="1:19" x14ac:dyDescent="0.15">
      <c r="A30" s="47"/>
      <c r="B30" s="40" t="s">
        <v>53</v>
      </c>
      <c r="C30" s="44">
        <f t="shared" si="3"/>
        <v>0.86610169491525435</v>
      </c>
      <c r="D30" s="44">
        <f t="shared" si="4"/>
        <v>0.85762711864406782</v>
      </c>
      <c r="E30" s="44">
        <f t="shared" si="5"/>
        <v>0.87457627118644077</v>
      </c>
      <c r="H30" s="40" t="s">
        <v>53</v>
      </c>
      <c r="I30" s="44">
        <f t="shared" si="6"/>
        <v>86.61016949152544</v>
      </c>
      <c r="J30" s="44">
        <f t="shared" si="7"/>
        <v>85.762711864406782</v>
      </c>
      <c r="K30" s="44">
        <f t="shared" si="8"/>
        <v>87.457627118644083</v>
      </c>
      <c r="L30" s="44">
        <f>AVERAGE(I$30:K$30)</f>
        <v>86.61016949152544</v>
      </c>
      <c r="M30" s="44">
        <f>STDEV(I30:L30)</f>
        <v>0.69194625502350204</v>
      </c>
      <c r="N30" s="40"/>
    </row>
    <row r="31" spans="1:19" x14ac:dyDescent="0.15">
      <c r="A31" s="47"/>
      <c r="B31" s="40" t="s">
        <v>60</v>
      </c>
      <c r="C31" s="44">
        <f t="shared" si="3"/>
        <v>0.81355932203389836</v>
      </c>
      <c r="D31" s="44">
        <f t="shared" si="4"/>
        <v>0.89830508474576265</v>
      </c>
      <c r="E31" s="44">
        <f t="shared" si="5"/>
        <v>0</v>
      </c>
      <c r="F31" s="47"/>
      <c r="H31" s="40" t="s">
        <v>60</v>
      </c>
      <c r="I31" s="44">
        <f t="shared" si="6"/>
        <v>81.355932203389841</v>
      </c>
      <c r="J31" s="44">
        <f t="shared" si="7"/>
        <v>89.830508474576263</v>
      </c>
      <c r="K31" s="44">
        <f t="shared" si="8"/>
        <v>0</v>
      </c>
      <c r="L31" s="44">
        <f>AVERAGE(I$31:K31)</f>
        <v>57.06214689265537</v>
      </c>
      <c r="M31" s="44">
        <f>STDEV(I31:J31)</f>
        <v>5.9924303490385249</v>
      </c>
      <c r="N31" s="40"/>
    </row>
    <row r="32" spans="1:19" x14ac:dyDescent="0.15">
      <c r="B32" s="40" t="s">
        <v>61</v>
      </c>
      <c r="C32" s="44">
        <f t="shared" si="3"/>
        <v>0.8305084745762713</v>
      </c>
      <c r="D32" s="44">
        <f t="shared" si="4"/>
        <v>0.8406779661016951</v>
      </c>
      <c r="E32" s="44">
        <f t="shared" si="5"/>
        <v>0</v>
      </c>
      <c r="F32" s="47"/>
      <c r="H32" s="40" t="s">
        <v>61</v>
      </c>
      <c r="I32" s="44">
        <f t="shared" si="6"/>
        <v>83.050847457627128</v>
      </c>
      <c r="J32" s="44">
        <f t="shared" si="7"/>
        <v>84.067796610169509</v>
      </c>
      <c r="K32" s="44">
        <f t="shared" si="8"/>
        <v>0</v>
      </c>
      <c r="L32" s="44">
        <f>AVERAGE(I32:K32)</f>
        <v>55.706214689265551</v>
      </c>
      <c r="M32" s="44">
        <f>STDEV(I32:J32)</f>
        <v>0.71909164188463015</v>
      </c>
      <c r="N32" s="40"/>
    </row>
    <row r="33" spans="2:14" x14ac:dyDescent="0.15">
      <c r="B33" s="40" t="s">
        <v>62</v>
      </c>
      <c r="C33" s="44">
        <f t="shared" si="3"/>
        <v>0.53389830508474578</v>
      </c>
      <c r="D33" s="44">
        <f t="shared" si="4"/>
        <v>0.70677966101694922</v>
      </c>
      <c r="E33" s="44">
        <f t="shared" si="5"/>
        <v>0</v>
      </c>
      <c r="F33" s="47"/>
      <c r="H33" s="40" t="s">
        <v>62</v>
      </c>
      <c r="I33" s="44">
        <f t="shared" si="6"/>
        <v>53.389830508474581</v>
      </c>
      <c r="J33" s="44">
        <f t="shared" si="7"/>
        <v>70.677966101694921</v>
      </c>
      <c r="K33" s="44">
        <f t="shared" si="8"/>
        <v>0</v>
      </c>
      <c r="L33" s="44">
        <f>AVERAGE(I33:K33)</f>
        <v>41.355932203389834</v>
      </c>
      <c r="M33" s="44">
        <f>STDEV(I33:J33)</f>
        <v>12.224557912038625</v>
      </c>
      <c r="N33" s="40"/>
    </row>
    <row r="34" spans="2:14" x14ac:dyDescent="0.15">
      <c r="B34" s="40" t="s">
        <v>63</v>
      </c>
      <c r="C34" s="44">
        <f t="shared" si="3"/>
        <v>0.30677966101694915</v>
      </c>
      <c r="D34" s="44">
        <f t="shared" si="4"/>
        <v>0.39661016949152544</v>
      </c>
      <c r="E34" s="44">
        <f t="shared" si="5"/>
        <v>0</v>
      </c>
      <c r="F34" s="47"/>
      <c r="H34" s="40" t="s">
        <v>63</v>
      </c>
      <c r="I34" s="44">
        <f t="shared" si="6"/>
        <v>30.677966101694913</v>
      </c>
      <c r="J34" s="44">
        <f t="shared" si="7"/>
        <v>39.661016949152547</v>
      </c>
      <c r="K34" s="44">
        <f t="shared" si="8"/>
        <v>0</v>
      </c>
      <c r="L34" s="44">
        <f>AVERAGE(I34:K34)</f>
        <v>23.44632768361582</v>
      </c>
      <c r="M34" s="44">
        <f>STDEV(I34:J34)</f>
        <v>6.351976169980837</v>
      </c>
      <c r="N34" s="40"/>
    </row>
    <row r="35" spans="2:14" x14ac:dyDescent="0.15">
      <c r="B35" s="40" t="s">
        <v>64</v>
      </c>
      <c r="C35" s="44">
        <f t="shared" si="3"/>
        <v>0.83220338983050857</v>
      </c>
      <c r="D35" s="44">
        <f t="shared" si="4"/>
        <v>0.78983050847457636</v>
      </c>
      <c r="E35" s="44">
        <f t="shared" si="5"/>
        <v>0</v>
      </c>
      <c r="H35" s="40" t="s">
        <v>64</v>
      </c>
      <c r="I35" s="44">
        <f t="shared" si="6"/>
        <v>83.220338983050851</v>
      </c>
      <c r="J35" s="44">
        <f t="shared" si="7"/>
        <v>78.983050847457633</v>
      </c>
      <c r="K35" s="44">
        <f t="shared" si="8"/>
        <v>0</v>
      </c>
      <c r="L35" s="44">
        <f>AVERAGE(I35:K35)</f>
        <v>54.067796610169495</v>
      </c>
      <c r="M35" s="44">
        <f>STDEV(I35:J35)</f>
        <v>2.9962151745192673</v>
      </c>
      <c r="N35" s="40"/>
    </row>
    <row r="36" spans="2:14" x14ac:dyDescent="0.15">
      <c r="C36" s="47"/>
      <c r="D36" s="47"/>
      <c r="E36" s="47"/>
      <c r="F36" s="47"/>
      <c r="G36" s="47"/>
      <c r="H36" s="47"/>
    </row>
    <row r="41" spans="2:14" x14ac:dyDescent="0.15">
      <c r="B41" s="47"/>
      <c r="C41" s="47"/>
      <c r="D41" s="47"/>
      <c r="E41" s="47"/>
      <c r="F41" s="47"/>
      <c r="G41" s="47"/>
      <c r="H41" s="8"/>
    </row>
    <row r="42" spans="2:14" x14ac:dyDescent="0.15">
      <c r="B42" s="47"/>
      <c r="C42" s="47"/>
      <c r="D42" s="47"/>
      <c r="E42" s="47"/>
      <c r="F42" s="47"/>
      <c r="G42" s="47"/>
      <c r="H42" s="8"/>
    </row>
    <row r="43" spans="2:14" x14ac:dyDescent="0.15">
      <c r="B43" s="47"/>
      <c r="C43" s="47"/>
      <c r="D43" s="47"/>
      <c r="E43" s="47"/>
      <c r="F43" s="47"/>
      <c r="G43" s="47"/>
      <c r="H43" s="8"/>
    </row>
    <row r="44" spans="2:14" x14ac:dyDescent="0.15">
      <c r="B44" s="47"/>
      <c r="C44" s="47"/>
      <c r="D44" s="47"/>
      <c r="E44" s="47"/>
      <c r="F44" s="47"/>
      <c r="G44" s="47"/>
      <c r="H44" s="8"/>
    </row>
    <row r="45" spans="2:14" x14ac:dyDescent="0.15">
      <c r="B45" s="47"/>
      <c r="C45" s="47"/>
      <c r="D45" s="47"/>
      <c r="E45" s="47"/>
      <c r="F45" s="47"/>
      <c r="G45" s="47"/>
      <c r="H45" s="8"/>
    </row>
    <row r="46" spans="2:14" x14ac:dyDescent="0.15">
      <c r="B46" s="47"/>
      <c r="C46" s="47"/>
      <c r="D46" s="47"/>
      <c r="E46" s="47"/>
      <c r="F46" s="47"/>
      <c r="G46" s="47"/>
      <c r="H46" s="8"/>
    </row>
    <row r="47" spans="2:14" x14ac:dyDescent="0.15">
      <c r="B47" s="47"/>
      <c r="C47" s="47"/>
      <c r="D47" s="47"/>
      <c r="E47" s="47"/>
      <c r="F47" s="47"/>
      <c r="G47" s="47"/>
      <c r="H47" s="47"/>
      <c r="I47" s="47"/>
    </row>
    <row r="48" spans="2:14" x14ac:dyDescent="0.15">
      <c r="B48" s="47"/>
      <c r="C48" s="47"/>
      <c r="D48" s="47"/>
      <c r="E48" s="47"/>
      <c r="F48" s="47"/>
      <c r="G48" s="47"/>
      <c r="H48" s="47"/>
      <c r="I48" s="47"/>
    </row>
    <row r="49" spans="2:9" x14ac:dyDescent="0.15">
      <c r="B49" s="47"/>
      <c r="C49" s="47"/>
      <c r="D49" s="47"/>
      <c r="E49" s="47"/>
      <c r="F49" s="47"/>
      <c r="G49" s="47"/>
      <c r="H49" s="47"/>
      <c r="I49" s="47"/>
    </row>
    <row r="50" spans="2:9" x14ac:dyDescent="0.15">
      <c r="B50" s="47"/>
      <c r="C50" s="47"/>
      <c r="D50" s="47"/>
      <c r="E50" s="47"/>
      <c r="F50" s="47"/>
      <c r="G50" s="47"/>
      <c r="H50" s="47"/>
      <c r="I50" s="47"/>
    </row>
    <row r="51" spans="2:9" x14ac:dyDescent="0.15">
      <c r="B51" s="47"/>
      <c r="C51" s="47"/>
      <c r="D51" s="47"/>
      <c r="E51" s="47"/>
      <c r="F51" s="47"/>
      <c r="G51" s="47"/>
      <c r="H51" s="47"/>
      <c r="I51" s="47"/>
    </row>
    <row r="52" spans="2:9" x14ac:dyDescent="0.15">
      <c r="B52" s="47"/>
      <c r="C52" s="47"/>
      <c r="D52" s="47"/>
      <c r="E52" s="47"/>
      <c r="F52" s="47"/>
      <c r="G52" s="47"/>
      <c r="H52" s="8"/>
    </row>
    <row r="53" spans="2:9" x14ac:dyDescent="0.15">
      <c r="B53" s="47"/>
      <c r="C53" s="47"/>
      <c r="D53" s="47"/>
      <c r="E53" s="47"/>
      <c r="F53" s="47"/>
      <c r="G53" s="47"/>
      <c r="H53" s="8"/>
    </row>
    <row r="54" spans="2:9" x14ac:dyDescent="0.15">
      <c r="B54" s="47"/>
      <c r="C54" s="47"/>
      <c r="D54" s="47"/>
      <c r="E54" s="47"/>
      <c r="F54" s="47"/>
      <c r="G54" s="47"/>
      <c r="H54" s="8"/>
    </row>
    <row r="55" spans="2:9" x14ac:dyDescent="0.15">
      <c r="B55" s="47"/>
      <c r="C55" s="47"/>
      <c r="D55" s="47"/>
      <c r="E55" s="47"/>
      <c r="F55" s="47"/>
      <c r="G55" s="47"/>
      <c r="H55" s="8"/>
    </row>
    <row r="56" spans="2:9" x14ac:dyDescent="0.15">
      <c r="B56" s="47"/>
      <c r="C56" s="47"/>
      <c r="D56" s="47"/>
      <c r="E56" s="47"/>
      <c r="F56" s="47"/>
      <c r="G56" s="47"/>
      <c r="H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0CCE-BE82-AF4E-AA5A-8622B4ADB83C}">
  <dimension ref="A1:H10"/>
  <sheetViews>
    <sheetView workbookViewId="0">
      <selection activeCell="C1" sqref="C1:H1"/>
    </sheetView>
  </sheetViews>
  <sheetFormatPr baseColWidth="10" defaultRowHeight="13" x14ac:dyDescent="0.15"/>
  <cols>
    <col min="1" max="1" width="15.1640625" customWidth="1"/>
    <col min="3" max="3" width="15.6640625" customWidth="1"/>
  </cols>
  <sheetData>
    <row r="1" spans="1:8" x14ac:dyDescent="0.15">
      <c r="A1" s="42" t="s">
        <v>65</v>
      </c>
      <c r="B1" s="42" t="s">
        <v>49</v>
      </c>
      <c r="C1" s="42" t="s">
        <v>55</v>
      </c>
      <c r="D1" s="42" t="s">
        <v>66</v>
      </c>
      <c r="E1" s="42" t="s">
        <v>58</v>
      </c>
      <c r="F1" s="42" t="s">
        <v>46</v>
      </c>
      <c r="G1" s="42" t="s">
        <v>47</v>
      </c>
      <c r="H1" s="42" t="s">
        <v>48</v>
      </c>
    </row>
    <row r="2" spans="1:8" x14ac:dyDescent="0.15">
      <c r="A2" s="40" t="s">
        <v>52</v>
      </c>
      <c r="B2" s="44">
        <v>100</v>
      </c>
      <c r="C2" s="44">
        <v>4.3638353711474602</v>
      </c>
      <c r="D2" s="44">
        <f>AVERAGE(F2:H2)</f>
        <v>0.01</v>
      </c>
      <c r="E2" s="44">
        <f>STDEV(F2:H2,D2)</f>
        <v>1.4142135623730951E-2</v>
      </c>
      <c r="F2" s="42">
        <v>0</v>
      </c>
      <c r="G2" s="44">
        <v>0</v>
      </c>
      <c r="H2" s="44">
        <v>0.03</v>
      </c>
    </row>
    <row r="3" spans="1:8" x14ac:dyDescent="0.15">
      <c r="A3" s="40" t="s">
        <v>51</v>
      </c>
      <c r="B3" s="44">
        <v>88.587570621468942</v>
      </c>
      <c r="C3" s="44">
        <v>4.1952719131609051</v>
      </c>
      <c r="D3" s="44">
        <f t="shared" ref="D3:D4" si="0">AVERAGE(F3:H3)</f>
        <v>3.6666666666666674E-2</v>
      </c>
      <c r="E3" s="44">
        <f t="shared" ref="E3:E5" si="1">STDEV(F3:H3,D3)</f>
        <v>1.2472191289246457E-2</v>
      </c>
      <c r="F3" s="44">
        <v>0.02</v>
      </c>
      <c r="G3" s="44">
        <v>0.05</v>
      </c>
      <c r="H3" s="44">
        <v>0.04</v>
      </c>
    </row>
    <row r="4" spans="1:8" x14ac:dyDescent="0.15">
      <c r="A4" s="40" t="s">
        <v>59</v>
      </c>
      <c r="B4" s="44">
        <v>24.576271186440675</v>
      </c>
      <c r="C4" s="44">
        <v>3.9410576331288723</v>
      </c>
      <c r="D4" s="44">
        <f t="shared" si="0"/>
        <v>50.69</v>
      </c>
      <c r="E4" s="44">
        <f t="shared" si="1"/>
        <v>24.315313419050696</v>
      </c>
      <c r="F4" s="42">
        <v>52.78</v>
      </c>
      <c r="G4" s="44">
        <v>79.37</v>
      </c>
      <c r="H4" s="44">
        <v>19.920000000000002</v>
      </c>
    </row>
    <row r="5" spans="1:8" x14ac:dyDescent="0.15">
      <c r="A5" s="40" t="s">
        <v>67</v>
      </c>
      <c r="B5" s="44">
        <v>86.61016949152544</v>
      </c>
      <c r="C5" s="44">
        <v>0.69194625502350204</v>
      </c>
      <c r="D5" s="44">
        <f>AVERAGE(F5:G5)</f>
        <v>7.7100000000000009</v>
      </c>
      <c r="E5" s="44">
        <f t="shared" si="1"/>
        <v>0.51558219519296833</v>
      </c>
      <c r="F5" s="44">
        <v>7.29</v>
      </c>
      <c r="G5" s="44">
        <v>8.1300000000000008</v>
      </c>
      <c r="H5" s="44">
        <v>8.48</v>
      </c>
    </row>
    <row r="6" spans="1:8" x14ac:dyDescent="0.15">
      <c r="A6" s="40" t="s">
        <v>60</v>
      </c>
      <c r="B6" s="44">
        <v>85.593220338983059</v>
      </c>
      <c r="C6" s="44">
        <v>5.9924303490385249</v>
      </c>
      <c r="D6" s="44">
        <f t="shared" ref="D6:D10" si="2">AVERAGE(F6:G6)</f>
        <v>0.03</v>
      </c>
      <c r="E6" s="44">
        <f>STDEV(F6:G6,D6)</f>
        <v>0</v>
      </c>
      <c r="F6" s="44">
        <v>0.03</v>
      </c>
      <c r="G6" s="44">
        <v>0.03</v>
      </c>
      <c r="H6" s="44"/>
    </row>
    <row r="7" spans="1:8" x14ac:dyDescent="0.15">
      <c r="A7" s="40" t="s">
        <v>61</v>
      </c>
      <c r="B7" s="44">
        <v>83.559322033898326</v>
      </c>
      <c r="C7" s="44">
        <v>0.71909164188463015</v>
      </c>
      <c r="D7" s="44">
        <f t="shared" si="2"/>
        <v>6.5000000000000002E-2</v>
      </c>
      <c r="E7" s="44">
        <f t="shared" ref="E7:E10" si="3">STDEV(F7:G7,D7)</f>
        <v>5.0000000000000044E-3</v>
      </c>
      <c r="F7" s="44">
        <v>0.06</v>
      </c>
      <c r="G7" s="44">
        <v>7.0000000000000007E-2</v>
      </c>
      <c r="H7" s="44"/>
    </row>
    <row r="8" spans="1:8" x14ac:dyDescent="0.15">
      <c r="A8" s="40" t="s">
        <v>68</v>
      </c>
      <c r="B8" s="44">
        <v>62.033898305084747</v>
      </c>
      <c r="C8" s="44">
        <v>12.224557912038625</v>
      </c>
      <c r="D8" s="44">
        <f t="shared" si="2"/>
        <v>4.91</v>
      </c>
      <c r="E8" s="44">
        <f t="shared" si="3"/>
        <v>1.519999999999998</v>
      </c>
      <c r="F8" s="51">
        <v>6.43</v>
      </c>
      <c r="G8" s="51">
        <v>3.39</v>
      </c>
      <c r="H8" s="51"/>
    </row>
    <row r="9" spans="1:8" x14ac:dyDescent="0.15">
      <c r="A9" s="40" t="s">
        <v>69</v>
      </c>
      <c r="B9" s="44">
        <v>35.169491525423737</v>
      </c>
      <c r="C9" s="44">
        <v>6.351976169980837</v>
      </c>
      <c r="D9" s="44">
        <f t="shared" si="2"/>
        <v>15.399999999999999</v>
      </c>
      <c r="E9" s="44">
        <f t="shared" si="3"/>
        <v>0.65999999999999925</v>
      </c>
      <c r="F9" s="52">
        <v>14.74</v>
      </c>
      <c r="G9" s="52">
        <v>16.059999999999999</v>
      </c>
    </row>
    <row r="10" spans="1:8" x14ac:dyDescent="0.15">
      <c r="A10" s="40" t="s">
        <v>70</v>
      </c>
      <c r="B10" s="44">
        <v>81.101694915254257</v>
      </c>
      <c r="C10" s="44">
        <v>2.9962151745192673</v>
      </c>
      <c r="D10" s="44">
        <f t="shared" si="2"/>
        <v>0.42499999999999999</v>
      </c>
      <c r="E10" s="44">
        <f t="shared" si="3"/>
        <v>0.15500000000000005</v>
      </c>
      <c r="F10" s="52">
        <v>0.27</v>
      </c>
      <c r="G10" s="52">
        <v>0.57999999999999996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Mendonsa</dc:creator>
  <cp:keywords/>
  <dc:description/>
  <cp:lastModifiedBy>Aryelle Wright</cp:lastModifiedBy>
  <cp:revision/>
  <dcterms:created xsi:type="dcterms:W3CDTF">2011-01-18T20:51:17Z</dcterms:created>
  <dcterms:modified xsi:type="dcterms:W3CDTF">2023-10-26T16:40:29Z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