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ryellewright/Documents/Documents - Aryelle’s MacBook Air/Kumar-Biomaterials-Lab/DLS_Plots/"/>
    </mc:Choice>
  </mc:AlternateContent>
  <xr:revisionPtr revIDLastSave="0" documentId="13_ncr:1_{5E841951-1A46-B34D-9BE1-A4E54494B095}" xr6:coauthVersionLast="47" xr6:coauthVersionMax="47" xr10:uidLastSave="{00000000-0000-0000-0000-000000000000}"/>
  <bookViews>
    <workbookView xWindow="7740" yWindow="740" windowWidth="10000" windowHeight="15180" firstSheet="1" activeTab="4" xr2:uid="{A79C2818-BA8F-4D9F-83BF-5E9D73C64859}"/>
  </bookViews>
  <sheets>
    <sheet name="NP 1" sheetId="1" r:id="rId1"/>
    <sheet name="NP 5" sheetId="2" r:id="rId2"/>
    <sheet name="NP 7.5" sheetId="3" r:id="rId3"/>
    <sheet name="NP 10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C2" i="5"/>
  <c r="H27" i="4"/>
  <c r="G27" i="4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L14" i="4"/>
  <c r="L11" i="4"/>
  <c r="L8" i="4"/>
  <c r="L5" i="4"/>
  <c r="L2" i="4"/>
  <c r="F14" i="4"/>
  <c r="F11" i="4"/>
  <c r="F8" i="4"/>
  <c r="F5" i="4"/>
  <c r="F2" i="4"/>
  <c r="L14" i="3"/>
  <c r="L11" i="3"/>
  <c r="L8" i="3"/>
  <c r="L5" i="3"/>
  <c r="L2" i="3"/>
  <c r="F14" i="3"/>
  <c r="F11" i="3"/>
  <c r="F8" i="3"/>
  <c r="F5" i="3"/>
  <c r="F2" i="3"/>
  <c r="L14" i="2"/>
  <c r="L11" i="2"/>
  <c r="L8" i="2"/>
  <c r="L5" i="2"/>
  <c r="L2" i="2"/>
  <c r="F14" i="2"/>
  <c r="F11" i="2"/>
  <c r="F8" i="2"/>
  <c r="F5" i="2"/>
  <c r="F2" i="2"/>
  <c r="F14" i="1"/>
  <c r="F11" i="1"/>
  <c r="F8" i="1"/>
  <c r="F5" i="1"/>
  <c r="F2" i="1"/>
  <c r="L14" i="1"/>
  <c r="L11" i="1"/>
  <c r="L8" i="1"/>
  <c r="L5" i="1"/>
  <c r="L2" i="1"/>
  <c r="K14" i="1"/>
  <c r="K11" i="1"/>
  <c r="K8" i="1"/>
  <c r="K5" i="1"/>
  <c r="K2" i="1"/>
  <c r="K14" i="2"/>
  <c r="K11" i="2"/>
  <c r="K8" i="2"/>
  <c r="K5" i="2"/>
  <c r="K2" i="2"/>
  <c r="K14" i="4"/>
  <c r="K11" i="4"/>
  <c r="K8" i="4"/>
  <c r="K5" i="4"/>
  <c r="K2" i="4"/>
  <c r="K14" i="3"/>
  <c r="K11" i="3"/>
  <c r="K8" i="3"/>
  <c r="K5" i="3"/>
  <c r="K2" i="3"/>
  <c r="E15" i="4"/>
  <c r="E14" i="4"/>
  <c r="E12" i="4"/>
  <c r="E11" i="4"/>
  <c r="E9" i="4"/>
  <c r="E8" i="4"/>
  <c r="E6" i="4"/>
  <c r="E5" i="4"/>
  <c r="E3" i="4"/>
  <c r="E2" i="4"/>
  <c r="E15" i="3"/>
  <c r="E14" i="3"/>
  <c r="E12" i="3"/>
  <c r="E11" i="3"/>
  <c r="E9" i="3"/>
  <c r="E8" i="3"/>
  <c r="E6" i="3"/>
  <c r="E5" i="3"/>
  <c r="E3" i="3"/>
  <c r="E2" i="3"/>
  <c r="E15" i="2"/>
  <c r="E14" i="2"/>
  <c r="E12" i="2"/>
  <c r="E11" i="2"/>
  <c r="E9" i="2"/>
  <c r="E8" i="2"/>
  <c r="E6" i="2"/>
  <c r="E5" i="2"/>
  <c r="E3" i="2"/>
  <c r="E2" i="2"/>
  <c r="E3" i="1"/>
  <c r="E6" i="1"/>
  <c r="E9" i="1"/>
  <c r="E15" i="1"/>
  <c r="E14" i="1"/>
  <c r="E12" i="1"/>
  <c r="E11" i="1"/>
  <c r="E8" i="1"/>
  <c r="E5" i="1"/>
  <c r="E2" i="1"/>
</calcChain>
</file>

<file path=xl/sharedStrings.xml><?xml version="1.0" encoding="utf-8"?>
<sst xmlns="http://schemas.openxmlformats.org/spreadsheetml/2006/main" count="73" uniqueCount="15">
  <si>
    <t>Name</t>
  </si>
  <si>
    <t>Average</t>
  </si>
  <si>
    <t>S</t>
  </si>
  <si>
    <t>B</t>
  </si>
  <si>
    <t>G1</t>
  </si>
  <si>
    <t>G2</t>
  </si>
  <si>
    <t>G3</t>
  </si>
  <si>
    <t>STD</t>
  </si>
  <si>
    <t>DLS 1</t>
  </si>
  <si>
    <t>Zeta 1</t>
  </si>
  <si>
    <t>Polymer</t>
  </si>
  <si>
    <t>N/P ratio</t>
  </si>
  <si>
    <t>Effective Diameter Avg.</t>
  </si>
  <si>
    <t>Stddev</t>
  </si>
  <si>
    <t>pDNA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</si>
</sst>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8B728-0E4E-459C-B35E-B8791FE171F1}">
  <dimension ref="A1:L15"/>
  <sheetViews>
    <sheetView workbookViewId="0">
      <selection activeCell="E2" sqref="E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328.28</v>
      </c>
      <c r="C2" s="1">
        <v>321.58</v>
      </c>
      <c r="D2" s="1">
        <v>313.08999999999997</v>
      </c>
      <c r="E2" s="1">
        <f>AVERAGE(B2:D2)</f>
        <v>320.98333333333329</v>
      </c>
      <c r="F2" s="1">
        <f>_xlfn.STDEV.P(B2:D2)</f>
        <v>6.2156272589516028</v>
      </c>
      <c r="H2" s="1">
        <v>-33.26</v>
      </c>
      <c r="I2" s="1">
        <v>-33.64</v>
      </c>
      <c r="J2" s="1">
        <v>-33</v>
      </c>
      <c r="K2" s="1">
        <f>AVERAGE(H2:J2)</f>
        <v>-33.300000000000004</v>
      </c>
      <c r="L2" s="1">
        <f>_xlfn.STDEV.P(H2:J2)</f>
        <v>0.26280537792569397</v>
      </c>
    </row>
    <row r="3" spans="1:12" x14ac:dyDescent="0.2">
      <c r="B3" s="1">
        <v>0.27100000000000002</v>
      </c>
      <c r="C3" s="1">
        <v>0.29699999999999999</v>
      </c>
      <c r="D3" s="1">
        <v>0.188</v>
      </c>
      <c r="E3" s="1">
        <f>AVERAGE(B3:D3)</f>
        <v>0.252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425.77</v>
      </c>
      <c r="C5" s="1">
        <v>422.78</v>
      </c>
      <c r="D5" s="1">
        <v>416.43</v>
      </c>
      <c r="E5" s="1">
        <f>AVERAGE(B5:D5)</f>
        <v>421.66</v>
      </c>
      <c r="F5" s="1">
        <f>_xlfn.STDEV.P(B5:D5)</f>
        <v>3.8944148041350926</v>
      </c>
      <c r="H5" s="1">
        <v>-33.83</v>
      </c>
      <c r="I5" s="1">
        <v>-35.19</v>
      </c>
      <c r="J5" s="1">
        <v>-34.96</v>
      </c>
      <c r="K5" s="1">
        <f>AVERAGE(H5:J5)</f>
        <v>-34.659999999999997</v>
      </c>
      <c r="L5" s="1">
        <f>_xlfn.STDEV.P(H5:J5)</f>
        <v>0.59436240347675673</v>
      </c>
    </row>
    <row r="6" spans="1:12" x14ac:dyDescent="0.2">
      <c r="B6" s="1">
        <v>0.32800000000000001</v>
      </c>
      <c r="C6" s="1">
        <v>0.29799999999999999</v>
      </c>
      <c r="D6" s="1">
        <v>0.308</v>
      </c>
      <c r="E6" s="1">
        <f>AVERAGE(B6:D6)</f>
        <v>0.3113333333333333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334.35</v>
      </c>
      <c r="C8" s="1">
        <v>327.52</v>
      </c>
      <c r="D8" s="1">
        <v>332.46</v>
      </c>
      <c r="E8" s="1">
        <f>AVERAGE(B8:D8)</f>
        <v>331.44333333333333</v>
      </c>
      <c r="F8" s="1">
        <f>_xlfn.STDEV.P(B8:D8)</f>
        <v>2.8795177065304354</v>
      </c>
      <c r="H8" s="1">
        <v>-24.82</v>
      </c>
      <c r="I8" s="1">
        <v>-31.25</v>
      </c>
      <c r="J8" s="1">
        <v>-29.52</v>
      </c>
      <c r="K8" s="1">
        <f>AVERAGE(H8:J8)</f>
        <v>-28.53</v>
      </c>
      <c r="L8" s="1">
        <f>_xlfn.STDEV.P(H8:J8)</f>
        <v>2.7167750489627709</v>
      </c>
    </row>
    <row r="9" spans="1:12" x14ac:dyDescent="0.2">
      <c r="B9" s="1">
        <v>0.29699999999999999</v>
      </c>
      <c r="C9" s="1">
        <v>0.30099999999999999</v>
      </c>
      <c r="D9" s="1">
        <v>0.26600000000000001</v>
      </c>
      <c r="E9" s="1">
        <f>AVERAGE(B9:D9)</f>
        <v>0.28799999999999998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345.85</v>
      </c>
      <c r="C11" s="1">
        <v>347.76</v>
      </c>
      <c r="D11" s="1">
        <v>345.85</v>
      </c>
      <c r="E11" s="1">
        <f>AVERAGE(B11:D11)</f>
        <v>346.48666666666668</v>
      </c>
      <c r="F11" s="1">
        <f>_xlfn.STDEV.P(B11:D11)</f>
        <v>0.90038263471085545</v>
      </c>
      <c r="H11" s="1">
        <v>-26.24</v>
      </c>
      <c r="I11" s="1">
        <v>-27.15</v>
      </c>
      <c r="J11" s="1">
        <v>-31.06</v>
      </c>
      <c r="K11" s="1">
        <f>AVERAGE(H11:J11)</f>
        <v>-28.150000000000002</v>
      </c>
      <c r="L11" s="1">
        <f>_xlfn.STDEV.P(H11:J11)</f>
        <v>2.0909487479770199</v>
      </c>
    </row>
    <row r="12" spans="1:12" x14ac:dyDescent="0.2">
      <c r="B12" s="1">
        <v>0.28599999999999998</v>
      </c>
      <c r="C12" s="1">
        <v>0.30099999999999999</v>
      </c>
      <c r="D12" s="1">
        <v>0.314</v>
      </c>
      <c r="E12" s="1">
        <f>AVERAGE(B12:D12)</f>
        <v>0.30033333333333334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300.01</v>
      </c>
      <c r="C14" s="1">
        <v>307.43</v>
      </c>
      <c r="D14" s="1">
        <v>290.60000000000002</v>
      </c>
      <c r="E14" s="1">
        <f>AVERAGE(B14:D14)</f>
        <v>299.34666666666669</v>
      </c>
      <c r="F14" s="1">
        <f>_xlfn.STDEV.P(B14:D14)</f>
        <v>6.8868102598776062</v>
      </c>
      <c r="H14" s="1">
        <v>-31.41</v>
      </c>
      <c r="I14" s="1">
        <v>-32.03</v>
      </c>
      <c r="J14" s="1">
        <v>-30.62</v>
      </c>
      <c r="K14" s="1">
        <f>AVERAGE(H14:J14)</f>
        <v>-31.353333333333335</v>
      </c>
      <c r="L14" s="1">
        <f>_xlfn.STDEV.P(H14:J14)</f>
        <v>0.57702301128772637</v>
      </c>
    </row>
    <row r="15" spans="1:12" x14ac:dyDescent="0.2">
      <c r="B15" s="1">
        <v>0.29699999999999999</v>
      </c>
      <c r="C15" s="1">
        <v>0.245</v>
      </c>
      <c r="D15" s="1">
        <v>0.29599999999999999</v>
      </c>
      <c r="E15" s="1">
        <f>AVERAGE(B15:D15)</f>
        <v>0.27933333333333338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FE55-0A2A-47C2-9D65-41BC0BBEF2BA}">
  <dimension ref="A1:L15"/>
  <sheetViews>
    <sheetView workbookViewId="0">
      <selection activeCell="E2" sqref="E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1853.93</v>
      </c>
      <c r="C2" s="1">
        <v>1784.18</v>
      </c>
      <c r="D2" s="1">
        <v>2014.71</v>
      </c>
      <c r="E2" s="1">
        <f>AVERAGE(B2:D2)</f>
        <v>1884.2733333333333</v>
      </c>
      <c r="F2" s="1">
        <f>_xlfn.STDEV.P(B2:D2)</f>
        <v>96.528264024354826</v>
      </c>
      <c r="H2" s="1">
        <v>-24.9</v>
      </c>
      <c r="I2" s="1">
        <v>-22.41</v>
      </c>
      <c r="J2" s="1">
        <v>-26.15</v>
      </c>
      <c r="K2" s="1">
        <f>AVERAGE(H2:J2)</f>
        <v>-24.486666666666668</v>
      </c>
      <c r="L2" s="1">
        <f>_xlfn.STDEV.P(H2:J2)</f>
        <v>1.5545703229152699</v>
      </c>
    </row>
    <row r="3" spans="1:12" x14ac:dyDescent="0.2">
      <c r="B3" s="1">
        <v>0.33900000000000002</v>
      </c>
      <c r="C3" s="1">
        <v>0.32500000000000001</v>
      </c>
      <c r="D3" s="1">
        <v>0.41</v>
      </c>
      <c r="E3" s="1">
        <f>AVERAGE(B3:D3)</f>
        <v>0.35800000000000004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324.72000000000003</v>
      </c>
      <c r="C5" s="1">
        <v>317.54000000000002</v>
      </c>
      <c r="D5" s="1">
        <v>315.47000000000003</v>
      </c>
      <c r="E5" s="1">
        <f>AVERAGE(B5:D5)</f>
        <v>319.24333333333334</v>
      </c>
      <c r="F5" s="1">
        <f>_xlfn.STDEV.P(B5:D5)</f>
        <v>3.96372159578456</v>
      </c>
      <c r="H5" s="1">
        <v>-30.57</v>
      </c>
      <c r="I5" s="1">
        <v>-32.24</v>
      </c>
      <c r="J5" s="1">
        <v>-34.81</v>
      </c>
      <c r="K5" s="1">
        <f>AVERAGE(H5:J5)</f>
        <v>-32.54</v>
      </c>
      <c r="L5" s="1">
        <f>_xlfn.STDEV.P(H5:J5)</f>
        <v>1.7439227811651148</v>
      </c>
    </row>
    <row r="6" spans="1:12" x14ac:dyDescent="0.2">
      <c r="B6" s="1">
        <v>0.26300000000000001</v>
      </c>
      <c r="C6" s="1">
        <v>0.25</v>
      </c>
      <c r="D6" s="1">
        <v>0.24099999999999999</v>
      </c>
      <c r="E6" s="1">
        <f>AVERAGE(B6:D6)</f>
        <v>0.25133333333333335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312.14</v>
      </c>
      <c r="C8" s="1">
        <v>311.83</v>
      </c>
      <c r="D8" s="1">
        <v>304.33</v>
      </c>
      <c r="E8" s="1">
        <f>AVERAGE(B8:D8)</f>
        <v>309.43333333333334</v>
      </c>
      <c r="F8" s="1">
        <f>_xlfn.STDEV.P(B8:D8)</f>
        <v>3.6108201592189864</v>
      </c>
      <c r="H8" s="1">
        <v>-31.14</v>
      </c>
      <c r="I8" s="1">
        <v>-31.98</v>
      </c>
      <c r="J8" s="1">
        <v>-34.81</v>
      </c>
      <c r="K8" s="1">
        <f>AVERAGE(H8:J8)</f>
        <v>-32.643333333333338</v>
      </c>
      <c r="L8" s="1">
        <f>_xlfn.STDEV.P(H8:J8)</f>
        <v>1.569975229811676</v>
      </c>
    </row>
    <row r="9" spans="1:12" x14ac:dyDescent="0.2">
      <c r="B9" s="1">
        <v>0.218</v>
      </c>
      <c r="C9" s="1">
        <v>0.245</v>
      </c>
      <c r="D9" s="1">
        <v>0.24099999999999999</v>
      </c>
      <c r="E9" s="1">
        <f>AVERAGE(B9:D9)</f>
        <v>0.23466666666666666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522.54</v>
      </c>
      <c r="C11" s="1">
        <v>502.67</v>
      </c>
      <c r="D11" s="1">
        <v>484.06</v>
      </c>
      <c r="E11" s="1">
        <f>AVERAGE(B11:D11)</f>
        <v>503.09</v>
      </c>
      <c r="F11" s="1">
        <f>_xlfn.STDEV.P(B11:D11)</f>
        <v>15.712201203735464</v>
      </c>
      <c r="H11" s="1">
        <v>-27.72</v>
      </c>
      <c r="I11" s="1">
        <v>-20.6</v>
      </c>
      <c r="J11" s="1">
        <v>-27.93</v>
      </c>
      <c r="K11" s="1">
        <f>AVERAGE(H11:J11)</f>
        <v>-25.416666666666668</v>
      </c>
      <c r="L11" s="1">
        <f>_xlfn.STDEV.P(H11:J11)</f>
        <v>3.4069765025442775</v>
      </c>
    </row>
    <row r="12" spans="1:12" x14ac:dyDescent="0.2">
      <c r="B12" s="1">
        <v>0.215</v>
      </c>
      <c r="C12" s="1">
        <v>0.19900000000000001</v>
      </c>
      <c r="D12" s="1">
        <v>0.17100000000000001</v>
      </c>
      <c r="E12" s="1">
        <f>AVERAGE(B12:D12)</f>
        <v>0.19500000000000003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2132.83</v>
      </c>
      <c r="C14" s="1">
        <v>2072.7600000000002</v>
      </c>
      <c r="D14" s="1">
        <v>2156.12</v>
      </c>
      <c r="E14" s="1">
        <f>AVERAGE(B14:D14)</f>
        <v>2120.5700000000002</v>
      </c>
      <c r="F14" s="1">
        <f>_xlfn.STDEV.P(B14:D14)</f>
        <v>35.11840068492095</v>
      </c>
      <c r="H14" s="1">
        <v>-29.69</v>
      </c>
      <c r="I14" s="1">
        <v>-20.6</v>
      </c>
      <c r="J14" s="1">
        <v>-25.25</v>
      </c>
      <c r="K14" s="1">
        <f>AVERAGE(H14:J14)</f>
        <v>-25.180000000000003</v>
      </c>
      <c r="L14" s="1">
        <f>_xlfn.STDEV.P(H14:J14)</f>
        <v>3.7113070473890915</v>
      </c>
    </row>
    <row r="15" spans="1:12" x14ac:dyDescent="0.2">
      <c r="B15" s="1">
        <v>0.23699999999999999</v>
      </c>
      <c r="C15" s="1">
        <v>0.20200000000000001</v>
      </c>
      <c r="D15" s="1">
        <v>0.18099999999999999</v>
      </c>
      <c r="E15" s="1">
        <f>AVERAGE(B15:D15)</f>
        <v>0.20666666666666667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6089C-FDB1-48FE-89DB-07908BAF5F23}">
  <dimension ref="A1:L15"/>
  <sheetViews>
    <sheetView workbookViewId="0">
      <selection activeCell="E2" sqref="E2:F15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2282.4</v>
      </c>
      <c r="C2" s="1">
        <v>2173.23</v>
      </c>
      <c r="D2" s="1">
        <v>1990.06</v>
      </c>
      <c r="E2" s="1">
        <f>AVERAGE(B2:D2)</f>
        <v>2148.5633333333335</v>
      </c>
      <c r="F2" s="1">
        <f>_xlfn.STDEV.P(B2:D2)</f>
        <v>120.61509643858393</v>
      </c>
      <c r="H2" s="1">
        <v>-18.34</v>
      </c>
      <c r="I2" s="1">
        <v>-17.79</v>
      </c>
      <c r="J2" s="1">
        <v>-23.43</v>
      </c>
      <c r="K2" s="1">
        <f>AVERAGE(H2:J2)</f>
        <v>-19.853333333333332</v>
      </c>
      <c r="L2" s="1">
        <f>_xlfn.STDEV.P(H2:J2)</f>
        <v>2.5390330617951653</v>
      </c>
    </row>
    <row r="3" spans="1:12" x14ac:dyDescent="0.2">
      <c r="B3" s="1">
        <v>0.151</v>
      </c>
      <c r="C3" s="1">
        <v>0.17</v>
      </c>
      <c r="D3" s="1">
        <v>0.33300000000000002</v>
      </c>
      <c r="E3" s="1">
        <f>AVERAGE(B3:D3)</f>
        <v>0.218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327.76</v>
      </c>
      <c r="C5" s="1">
        <v>312.39</v>
      </c>
      <c r="D5" s="1">
        <v>314.63</v>
      </c>
      <c r="E5" s="1">
        <f>AVERAGE(B5:D5)</f>
        <v>318.26</v>
      </c>
      <c r="F5" s="1">
        <f>_xlfn.STDEV.P(B5:D5)</f>
        <v>6.7794739225596752</v>
      </c>
      <c r="H5" s="1">
        <v>-26.34</v>
      </c>
      <c r="I5" s="1">
        <v>-28.37</v>
      </c>
      <c r="J5" s="1">
        <v>-28.07</v>
      </c>
      <c r="K5" s="1">
        <f>AVERAGE(H5:J5)</f>
        <v>-27.593333333333334</v>
      </c>
      <c r="L5" s="1">
        <f>_xlfn.STDEV.P(H5:J5)</f>
        <v>0.89466318926298904</v>
      </c>
    </row>
    <row r="6" spans="1:12" x14ac:dyDescent="0.2">
      <c r="B6" s="1">
        <v>0.14399999999999999</v>
      </c>
      <c r="C6" s="1">
        <v>0.157</v>
      </c>
      <c r="D6" s="1">
        <v>0.14399999999999999</v>
      </c>
      <c r="E6" s="1">
        <f>AVERAGE(B6:D6)</f>
        <v>0.14833333333333332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937.87</v>
      </c>
      <c r="C8" s="1">
        <v>917.47</v>
      </c>
      <c r="D8" s="1">
        <v>905.86</v>
      </c>
      <c r="E8" s="1">
        <f>AVERAGE(B8:D8)</f>
        <v>920.40000000000009</v>
      </c>
      <c r="F8" s="1">
        <f>_xlfn.STDEV.P(B8:D8)</f>
        <v>13.231243327820703</v>
      </c>
      <c r="H8" s="1">
        <v>-26.95</v>
      </c>
      <c r="I8" s="1">
        <v>-24.15</v>
      </c>
      <c r="J8" s="1">
        <v>-27.35</v>
      </c>
      <c r="K8" s="1">
        <f>AVERAGE(H8:J8)</f>
        <v>-26.149999999999995</v>
      </c>
      <c r="L8" s="1">
        <f>_xlfn.STDEV.P(H8:J8)</f>
        <v>1.4236104336041757</v>
      </c>
    </row>
    <row r="9" spans="1:12" x14ac:dyDescent="0.2">
      <c r="B9" s="1">
        <v>0.312</v>
      </c>
      <c r="C9" s="1">
        <v>0.183</v>
      </c>
      <c r="D9" s="1">
        <v>0.27700000000000002</v>
      </c>
      <c r="E9" s="1">
        <f>AVERAGE(B9:D9)</f>
        <v>0.25733333333333336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845.18</v>
      </c>
      <c r="C11" s="1">
        <v>854.68</v>
      </c>
      <c r="D11" s="1">
        <v>843.89</v>
      </c>
      <c r="E11" s="1">
        <f>AVERAGE(B11:D11)</f>
        <v>847.91666666666663</v>
      </c>
      <c r="F11" s="1">
        <f>_xlfn.STDEV.P(B11:D11)</f>
        <v>4.811308438344895</v>
      </c>
      <c r="H11" s="1">
        <v>-29.16</v>
      </c>
      <c r="I11" s="1">
        <v>-30.08</v>
      </c>
      <c r="J11" s="1">
        <v>-25.92</v>
      </c>
      <c r="K11" s="1">
        <f>AVERAGE(H11:J11)</f>
        <v>-28.386666666666667</v>
      </c>
      <c r="L11" s="1">
        <f>_xlfn.STDEV.P(H11:J11)</f>
        <v>1.7841773703555608</v>
      </c>
    </row>
    <row r="12" spans="1:12" x14ac:dyDescent="0.2">
      <c r="B12" s="1">
        <v>0.251</v>
      </c>
      <c r="C12" s="1">
        <v>0.29099999999999998</v>
      </c>
      <c r="D12" s="1">
        <v>0.25</v>
      </c>
      <c r="E12" s="1">
        <f>AVERAGE(B12:D12)</f>
        <v>0.26400000000000001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3139.62</v>
      </c>
      <c r="C14" s="1">
        <v>3594.66</v>
      </c>
      <c r="D14" s="1">
        <v>3648.41</v>
      </c>
      <c r="E14" s="1">
        <f>AVERAGE(B14:D14)</f>
        <v>3460.8966666666661</v>
      </c>
      <c r="F14" s="1">
        <f>_xlfn.STDEV.P(B14:D14)</f>
        <v>228.23421892627948</v>
      </c>
      <c r="H14" s="1">
        <v>-20.95</v>
      </c>
      <c r="I14" s="1">
        <v>-20.89</v>
      </c>
      <c r="J14" s="1">
        <v>-21.07</v>
      </c>
      <c r="K14" s="1">
        <f>AVERAGE(H14:J14)</f>
        <v>-20.970000000000002</v>
      </c>
      <c r="L14" s="1">
        <f>_xlfn.STDEV.P(H14:J14)</f>
        <v>7.4833147735478819E-2</v>
      </c>
    </row>
    <row r="15" spans="1:12" x14ac:dyDescent="0.2">
      <c r="B15" s="1">
        <v>0.17499999999999999</v>
      </c>
      <c r="C15" s="1">
        <v>1.2E-2</v>
      </c>
      <c r="D15" s="1">
        <v>0.36699999999999999</v>
      </c>
      <c r="E15" s="1">
        <f>AVERAGE(B15:D15)</f>
        <v>0.18466666666666667</v>
      </c>
      <c r="H15" s="1"/>
      <c r="I15" s="1"/>
      <c r="J15" s="1"/>
      <c r="K1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EB23B-3CCE-4304-B9BD-64EAA1B3DC0B}">
  <dimension ref="A1:L27"/>
  <sheetViews>
    <sheetView workbookViewId="0">
      <selection activeCell="G27" sqref="G27:H27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8</v>
      </c>
      <c r="C1">
        <v>2</v>
      </c>
      <c r="D1">
        <v>3</v>
      </c>
      <c r="E1" t="s">
        <v>1</v>
      </c>
      <c r="F1" t="s">
        <v>7</v>
      </c>
      <c r="H1" t="s">
        <v>9</v>
      </c>
      <c r="I1">
        <v>2</v>
      </c>
      <c r="J1">
        <v>3</v>
      </c>
      <c r="K1" t="s">
        <v>1</v>
      </c>
      <c r="L1" t="s">
        <v>7</v>
      </c>
    </row>
    <row r="2" spans="1:12" x14ac:dyDescent="0.2">
      <c r="A2" t="s">
        <v>2</v>
      </c>
      <c r="B2" s="1">
        <v>2688.96</v>
      </c>
      <c r="C2" s="1">
        <v>2843</v>
      </c>
      <c r="D2" s="1">
        <v>3245.98</v>
      </c>
      <c r="E2" s="1">
        <f>AVERAGE(B2:D2)</f>
        <v>2925.98</v>
      </c>
      <c r="F2" s="1">
        <f>_xlfn.STDEV.P(B2:D2)</f>
        <v>234.85042104851902</v>
      </c>
      <c r="H2" s="1">
        <v>-21.85</v>
      </c>
      <c r="I2" s="1">
        <v>-21.92</v>
      </c>
      <c r="J2" s="1">
        <v>-21.57</v>
      </c>
      <c r="K2" s="1">
        <f>AVERAGE(H2:J2)</f>
        <v>-21.78</v>
      </c>
      <c r="L2" s="1">
        <f>_xlfn.STDEV.P(H2:J2)</f>
        <v>0.1512172829628507</v>
      </c>
    </row>
    <row r="3" spans="1:12" x14ac:dyDescent="0.2">
      <c r="B3" s="1">
        <v>6.5000000000000002E-2</v>
      </c>
      <c r="C3" s="1">
        <v>3.6999999999999998E-2</v>
      </c>
      <c r="D3" s="1">
        <v>0.436</v>
      </c>
      <c r="E3" s="1">
        <f>AVERAGE(B3:D3)</f>
        <v>0.17933333333333334</v>
      </c>
      <c r="H3" s="1"/>
      <c r="I3" s="1"/>
      <c r="J3" s="1"/>
      <c r="K3" s="1"/>
    </row>
    <row r="4" spans="1:12" x14ac:dyDescent="0.2">
      <c r="B4" s="1"/>
      <c r="C4" s="1"/>
      <c r="D4" s="1"/>
      <c r="E4" s="1"/>
      <c r="H4" s="1"/>
      <c r="I4" s="1"/>
      <c r="J4" s="1"/>
      <c r="K4" s="1"/>
    </row>
    <row r="5" spans="1:12" x14ac:dyDescent="0.2">
      <c r="A5" t="s">
        <v>3</v>
      </c>
      <c r="B5" s="1">
        <v>331.73</v>
      </c>
      <c r="C5" s="1">
        <v>326.73</v>
      </c>
      <c r="D5" s="1">
        <v>330.77</v>
      </c>
      <c r="E5" s="1">
        <f>AVERAGE(B5:D5)</f>
        <v>329.74333333333334</v>
      </c>
      <c r="F5" s="1">
        <f>_xlfn.STDEV.P(B5:D5)</f>
        <v>2.1664923006761101</v>
      </c>
      <c r="H5" s="1">
        <v>-31.74</v>
      </c>
      <c r="I5" s="1">
        <v>-23.84</v>
      </c>
      <c r="J5" s="1">
        <v>-27.87</v>
      </c>
      <c r="K5" s="1">
        <f>AVERAGE(H5:J5)</f>
        <v>-27.816666666666666</v>
      </c>
      <c r="L5" s="1">
        <f>_xlfn.STDEV.P(H5:J5)</f>
        <v>3.225381975656358</v>
      </c>
    </row>
    <row r="6" spans="1:12" x14ac:dyDescent="0.2">
      <c r="B6" s="1">
        <v>0.10199999999999999</v>
      </c>
      <c r="C6" s="1">
        <v>0.192</v>
      </c>
      <c r="D6" s="1">
        <v>0.20399999999999999</v>
      </c>
      <c r="E6" s="1">
        <f>AVERAGE(B6:D6)</f>
        <v>0.16600000000000001</v>
      </c>
      <c r="H6" s="1"/>
      <c r="I6" s="1"/>
      <c r="J6" s="1"/>
      <c r="K6" s="1"/>
    </row>
    <row r="7" spans="1:12" x14ac:dyDescent="0.2">
      <c r="B7" s="1"/>
      <c r="C7" s="1"/>
      <c r="D7" s="1"/>
      <c r="E7" s="1"/>
      <c r="K7" s="1"/>
    </row>
    <row r="8" spans="1:12" x14ac:dyDescent="0.2">
      <c r="A8" t="s">
        <v>4</v>
      </c>
      <c r="B8" s="1">
        <v>2579.71</v>
      </c>
      <c r="C8" s="1">
        <v>2732.26</v>
      </c>
      <c r="D8" s="1">
        <v>3151.08</v>
      </c>
      <c r="E8" s="1">
        <f>AVERAGE(B8:D8)</f>
        <v>2821.0166666666664</v>
      </c>
      <c r="F8" s="1">
        <f>_xlfn.STDEV.P(B8:D8)</f>
        <v>241.55638214618864</v>
      </c>
      <c r="H8" s="1">
        <v>-28.79</v>
      </c>
      <c r="I8" s="1">
        <v>-17.12</v>
      </c>
      <c r="J8" s="1">
        <v>-26.26</v>
      </c>
      <c r="K8" s="1">
        <f>AVERAGE(H8:J8)</f>
        <v>-24.056666666666668</v>
      </c>
      <c r="L8" s="1">
        <f>_xlfn.STDEV.P(H8:J8)</f>
        <v>5.0125331808267335</v>
      </c>
    </row>
    <row r="9" spans="1:12" x14ac:dyDescent="0.2">
      <c r="B9" s="1">
        <v>0.151</v>
      </c>
      <c r="C9" s="1">
        <v>0.151</v>
      </c>
      <c r="D9" s="1">
        <v>0.22900000000000001</v>
      </c>
      <c r="E9" s="1">
        <f>AVERAGE(B9:D9)</f>
        <v>0.17700000000000002</v>
      </c>
      <c r="H9" s="1"/>
      <c r="I9" s="1"/>
      <c r="J9" s="1"/>
      <c r="K9" s="1"/>
    </row>
    <row r="10" spans="1:12" x14ac:dyDescent="0.2">
      <c r="B10" s="1"/>
      <c r="C10" s="1"/>
      <c r="D10" s="1"/>
      <c r="E10" s="1"/>
      <c r="H10" s="1"/>
      <c r="I10" s="1"/>
      <c r="J10" s="1"/>
      <c r="K10" s="1"/>
    </row>
    <row r="11" spans="1:12" x14ac:dyDescent="0.2">
      <c r="A11" t="s">
        <v>5</v>
      </c>
      <c r="B11" s="1">
        <v>2626.18</v>
      </c>
      <c r="C11" s="1">
        <v>2737.6</v>
      </c>
      <c r="D11" s="1">
        <v>3331.09</v>
      </c>
      <c r="E11" s="1">
        <f>AVERAGE(B11:D11)</f>
        <v>2898.2899999999995</v>
      </c>
      <c r="F11" s="1">
        <f>_xlfn.STDEV.P(B11:D11)</f>
        <v>309.39778505994678</v>
      </c>
      <c r="H11" s="1">
        <v>-13.8</v>
      </c>
      <c r="I11" s="1">
        <v>-18.489999999999998</v>
      </c>
      <c r="J11" s="1">
        <v>-24.25</v>
      </c>
      <c r="K11" s="1">
        <f>AVERAGE(H11:J11)</f>
        <v>-18.846666666666668</v>
      </c>
      <c r="L11" s="1">
        <f>_xlfn.STDEV.P(H11:J11)</f>
        <v>4.2736427345090728</v>
      </c>
    </row>
    <row r="12" spans="1:12" x14ac:dyDescent="0.2">
      <c r="B12" s="1">
        <v>0.26100000000000001</v>
      </c>
      <c r="C12" s="1">
        <v>7.0999999999999994E-2</v>
      </c>
      <c r="D12" s="1">
        <v>0.17499999999999999</v>
      </c>
      <c r="E12" s="1">
        <f>AVERAGE(B12:D12)</f>
        <v>0.16900000000000001</v>
      </c>
      <c r="H12" s="1"/>
      <c r="I12" s="1"/>
      <c r="J12" s="1"/>
      <c r="K12" s="1"/>
    </row>
    <row r="13" spans="1:12" x14ac:dyDescent="0.2">
      <c r="B13" s="1"/>
      <c r="C13" s="1"/>
      <c r="D13" s="1"/>
      <c r="E13" s="1"/>
      <c r="H13" s="1"/>
      <c r="I13" s="1"/>
      <c r="J13" s="1"/>
      <c r="K13" s="1"/>
    </row>
    <row r="14" spans="1:12" x14ac:dyDescent="0.2">
      <c r="A14" t="s">
        <v>6</v>
      </c>
      <c r="B14" s="1">
        <v>2994.2</v>
      </c>
      <c r="C14" s="1">
        <v>3424.36</v>
      </c>
      <c r="D14" s="1">
        <v>4004.3</v>
      </c>
      <c r="E14" s="1">
        <f>AVERAGE(B14:D14)</f>
        <v>3474.2866666666669</v>
      </c>
      <c r="F14" s="1">
        <f>_xlfn.STDEV.P(B14:D14)</f>
        <v>413.88002008096674</v>
      </c>
      <c r="H14" s="1">
        <v>-13.91</v>
      </c>
      <c r="I14" s="1">
        <v>-15.47</v>
      </c>
      <c r="J14" s="1">
        <v>-17.96</v>
      </c>
      <c r="K14" s="1">
        <f>AVERAGE(H14:J14)</f>
        <v>-15.780000000000001</v>
      </c>
      <c r="L14" s="1">
        <f>_xlfn.STDEV.P(H14:J14)</f>
        <v>1.6678728968359673</v>
      </c>
    </row>
    <row r="15" spans="1:12" x14ac:dyDescent="0.2">
      <c r="B15" s="1">
        <v>0.32200000000000001</v>
      </c>
      <c r="C15" s="1">
        <v>7.6999999999999999E-2</v>
      </c>
      <c r="D15" s="1">
        <v>0.123</v>
      </c>
      <c r="E15" s="1">
        <f>AVERAGE(B15:D15)</f>
        <v>0.17400000000000002</v>
      </c>
      <c r="H15" s="1"/>
      <c r="I15" s="1"/>
      <c r="J15" s="1"/>
      <c r="K15" s="1"/>
    </row>
    <row r="27" spans="4:8" x14ac:dyDescent="0.2">
      <c r="D27">
        <v>252.77</v>
      </c>
      <c r="E27">
        <v>266.12</v>
      </c>
      <c r="F27">
        <v>290.02</v>
      </c>
      <c r="G27">
        <f>AVERAGE(D27:F27)</f>
        <v>269.63666666666666</v>
      </c>
      <c r="H27">
        <f>STDEV(D27:F27)</f>
        <v>18.872356327002009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CF3E1-1AEE-9744-959A-90370B0EB327}">
  <dimension ref="A1:D22"/>
  <sheetViews>
    <sheetView tabSelected="1" workbookViewId="0">
      <selection activeCell="F23" sqref="F23"/>
    </sheetView>
  </sheetViews>
  <sheetFormatPr baseColWidth="10" defaultRowHeight="15" x14ac:dyDescent="0.2"/>
  <sheetData>
    <row r="1" spans="1:4" x14ac:dyDescent="0.2">
      <c r="A1" t="s">
        <v>10</v>
      </c>
      <c r="B1" t="s">
        <v>11</v>
      </c>
      <c r="C1" s="2" t="s">
        <v>12</v>
      </c>
      <c r="D1" s="2" t="s">
        <v>13</v>
      </c>
    </row>
    <row r="2" spans="1:4" x14ac:dyDescent="0.2">
      <c r="A2" t="s">
        <v>14</v>
      </c>
      <c r="B2">
        <v>0</v>
      </c>
      <c r="C2">
        <f>269.636666666667/2</f>
        <v>134.8183333333335</v>
      </c>
      <c r="D2">
        <f>18.872356327002/2</f>
        <v>9.4361781635009994</v>
      </c>
    </row>
    <row r="3" spans="1:4" x14ac:dyDescent="0.2">
      <c r="A3" t="s">
        <v>2</v>
      </c>
      <c r="B3">
        <v>1</v>
      </c>
      <c r="C3">
        <f>320.9833333/2</f>
        <v>160.49166665000001</v>
      </c>
      <c r="D3">
        <f>6.215627259/2</f>
        <v>3.1078136294999998</v>
      </c>
    </row>
    <row r="4" spans="1:4" x14ac:dyDescent="0.2">
      <c r="A4" t="s">
        <v>2</v>
      </c>
      <c r="B4">
        <v>5</v>
      </c>
      <c r="C4">
        <f>1884.273333/2</f>
        <v>942.13666650000005</v>
      </c>
      <c r="D4">
        <f>96.52826402/2</f>
        <v>48.264132009999997</v>
      </c>
    </row>
    <row r="5" spans="1:4" x14ac:dyDescent="0.2">
      <c r="A5" t="s">
        <v>2</v>
      </c>
      <c r="B5">
        <v>7.5</v>
      </c>
      <c r="C5">
        <f>2148.563333/2</f>
        <v>1074.2816665</v>
      </c>
      <c r="D5">
        <f>120.6150964/2</f>
        <v>60.307548199999999</v>
      </c>
    </row>
    <row r="6" spans="1:4" x14ac:dyDescent="0.2">
      <c r="A6" t="s">
        <v>2</v>
      </c>
      <c r="B6">
        <v>10</v>
      </c>
      <c r="C6">
        <f>2925.98/2</f>
        <v>1462.99</v>
      </c>
      <c r="D6">
        <f>234.850421/2</f>
        <v>117.42521050000001</v>
      </c>
    </row>
    <row r="7" spans="1:4" x14ac:dyDescent="0.2">
      <c r="A7" t="s">
        <v>3</v>
      </c>
      <c r="B7">
        <v>1</v>
      </c>
      <c r="C7">
        <f>421.66/2</f>
        <v>210.83</v>
      </c>
      <c r="D7">
        <f>3.894414804/2</f>
        <v>1.9472074020000001</v>
      </c>
    </row>
    <row r="8" spans="1:4" x14ac:dyDescent="0.2">
      <c r="A8" t="s">
        <v>3</v>
      </c>
      <c r="B8">
        <v>5</v>
      </c>
      <c r="C8">
        <f>319.2433333/2</f>
        <v>159.62166665000001</v>
      </c>
      <c r="D8">
        <f>3.963721596/2</f>
        <v>1.981860798</v>
      </c>
    </row>
    <row r="9" spans="1:4" x14ac:dyDescent="0.2">
      <c r="A9" t="s">
        <v>3</v>
      </c>
      <c r="B9">
        <v>7.5</v>
      </c>
      <c r="C9">
        <f>318.26/2</f>
        <v>159.13</v>
      </c>
      <c r="D9">
        <f>6.779473923/2</f>
        <v>3.3897369615000001</v>
      </c>
    </row>
    <row r="10" spans="1:4" x14ac:dyDescent="0.2">
      <c r="A10" t="s">
        <v>3</v>
      </c>
      <c r="B10">
        <v>10</v>
      </c>
      <c r="C10">
        <f>329.7433333/2</f>
        <v>164.87166665000001</v>
      </c>
      <c r="D10">
        <f>2.166492301/2</f>
        <v>1.0832461504999999</v>
      </c>
    </row>
    <row r="11" spans="1:4" x14ac:dyDescent="0.2">
      <c r="A11" t="s">
        <v>4</v>
      </c>
      <c r="B11">
        <v>1</v>
      </c>
      <c r="C11">
        <f>331.4433333/2</f>
        <v>165.72166665</v>
      </c>
      <c r="D11">
        <f>2.879517707/2</f>
        <v>1.4397588535000001</v>
      </c>
    </row>
    <row r="12" spans="1:4" x14ac:dyDescent="0.2">
      <c r="A12" t="s">
        <v>4</v>
      </c>
      <c r="B12">
        <v>5</v>
      </c>
      <c r="C12">
        <f>309.4333333/2</f>
        <v>154.71666665000001</v>
      </c>
      <c r="D12">
        <f>3.610820159/2</f>
        <v>1.8054100795000001</v>
      </c>
    </row>
    <row r="13" spans="1:4" x14ac:dyDescent="0.2">
      <c r="A13" t="s">
        <v>4</v>
      </c>
      <c r="B13">
        <v>7.5</v>
      </c>
      <c r="C13">
        <f>920.4/2</f>
        <v>460.2</v>
      </c>
      <c r="D13">
        <f>13.23124333/2</f>
        <v>6.6156216649999999</v>
      </c>
    </row>
    <row r="14" spans="1:4" x14ac:dyDescent="0.2">
      <c r="A14" t="s">
        <v>4</v>
      </c>
      <c r="B14">
        <v>10</v>
      </c>
      <c r="C14">
        <f>2821.016667/2</f>
        <v>1410.5083334999999</v>
      </c>
      <c r="D14">
        <f>241.5563821/2</f>
        <v>120.77819105</v>
      </c>
    </row>
    <row r="15" spans="1:4" x14ac:dyDescent="0.2">
      <c r="A15" t="s">
        <v>5</v>
      </c>
      <c r="B15">
        <v>1</v>
      </c>
      <c r="C15">
        <f>346.4866667/2</f>
        <v>173.24333335</v>
      </c>
      <c r="D15">
        <f>0.900382635/2</f>
        <v>0.45019131750000002</v>
      </c>
    </row>
    <row r="16" spans="1:4" x14ac:dyDescent="0.2">
      <c r="A16" t="s">
        <v>5</v>
      </c>
      <c r="B16">
        <v>5</v>
      </c>
      <c r="C16">
        <f>503.09/2</f>
        <v>251.54499999999999</v>
      </c>
      <c r="D16">
        <f>15.7122012/2</f>
        <v>7.8561006000000004</v>
      </c>
    </row>
    <row r="17" spans="1:4" x14ac:dyDescent="0.2">
      <c r="A17" t="s">
        <v>5</v>
      </c>
      <c r="B17">
        <v>7.5</v>
      </c>
      <c r="C17">
        <f>847.9166667/2</f>
        <v>423.95833334999998</v>
      </c>
      <c r="D17">
        <f>4.811308438/2</f>
        <v>2.4056542190000001</v>
      </c>
    </row>
    <row r="18" spans="1:4" x14ac:dyDescent="0.2">
      <c r="A18" t="s">
        <v>5</v>
      </c>
      <c r="B18">
        <v>10</v>
      </c>
      <c r="C18">
        <f>2898.29/2</f>
        <v>1449.145</v>
      </c>
      <c r="D18">
        <f>309.3977851/2</f>
        <v>154.69889255000001</v>
      </c>
    </row>
    <row r="19" spans="1:4" x14ac:dyDescent="0.2">
      <c r="A19" t="s">
        <v>6</v>
      </c>
      <c r="B19">
        <v>1</v>
      </c>
      <c r="C19">
        <f>299.3466667/2</f>
        <v>149.67333335000001</v>
      </c>
      <c r="D19">
        <f>6.88681026/2</f>
        <v>3.4434051299999999</v>
      </c>
    </row>
    <row r="20" spans="1:4" x14ac:dyDescent="0.2">
      <c r="A20" t="s">
        <v>6</v>
      </c>
      <c r="B20">
        <v>5</v>
      </c>
      <c r="C20">
        <f>2120.57/2</f>
        <v>1060.2850000000001</v>
      </c>
      <c r="D20">
        <f>35.11840068/2</f>
        <v>17.55920034</v>
      </c>
    </row>
    <row r="21" spans="1:4" x14ac:dyDescent="0.2">
      <c r="A21" t="s">
        <v>6</v>
      </c>
      <c r="B21">
        <v>7.5</v>
      </c>
      <c r="C21">
        <f>3460.896667/2</f>
        <v>1730.4483335</v>
      </c>
      <c r="D21">
        <f>228.2342189/2</f>
        <v>114.11710945</v>
      </c>
    </row>
    <row r="22" spans="1:4" x14ac:dyDescent="0.2">
      <c r="A22" t="s">
        <v>6</v>
      </c>
      <c r="B22">
        <v>10</v>
      </c>
      <c r="C22">
        <f>3474.286667/2</f>
        <v>1737.1433334999999</v>
      </c>
      <c r="D22">
        <f>413.8800201/2</f>
        <v>206.94001005000001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 1</vt:lpstr>
      <vt:lpstr>NP 5</vt:lpstr>
      <vt:lpstr>NP 7.5</vt:lpstr>
      <vt:lpstr>NP 10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Aryelle Wright</cp:lastModifiedBy>
  <dcterms:created xsi:type="dcterms:W3CDTF">2024-02-21T22:04:24Z</dcterms:created>
  <dcterms:modified xsi:type="dcterms:W3CDTF">2024-03-26T02:48:15Z</dcterms:modified>
</cp:coreProperties>
</file>