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 defaultThemeVersion="166925"/>
  <xr:revisionPtr revIDLastSave="0" documentId="13_ncr:1_{FBD3BE68-A158-4A27-A888-C7599E7BB9B1}" xr6:coauthVersionLast="47" xr6:coauthVersionMax="47" xr10:uidLastSave="{00000000-0000-0000-0000-000000000000}"/>
  <bookViews>
    <workbookView xWindow="-30828" yWindow="-108" windowWidth="30936" windowHeight="16776" xr2:uid="{8BEB55FD-3D38-4AA2-9725-6750C9DA47E5}"/>
  </bookViews>
  <sheets>
    <sheet name="RSU" sheetId="1" r:id="rId1"/>
    <sheet name="ESPP" sheetId="2" r:id="rId2"/>
    <sheet name="CG" sheetId="3" r:id="rId3"/>
    <sheet name="FA" sheetId="5" r:id="rId4"/>
    <sheet name="Valida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8" i="3" l="1"/>
  <c r="D8" i="3" l="1"/>
  <c r="F8" i="3"/>
  <c r="J8" i="3"/>
  <c r="L8" i="3"/>
  <c r="N8" i="3"/>
  <c r="V28" i="5" l="1"/>
  <c r="U28" i="5"/>
  <c r="S28" i="5"/>
  <c r="R28" i="5"/>
  <c r="T28" i="5"/>
  <c r="Q28" i="5"/>
  <c r="X28" i="5" l="1"/>
  <c r="W28" i="5"/>
  <c r="Y28" i="5" l="1"/>
  <c r="V27" i="5" l="1"/>
  <c r="Q27" i="5"/>
  <c r="V14" i="5"/>
  <c r="S14" i="5"/>
  <c r="R14" i="5"/>
  <c r="Q14" i="5"/>
  <c r="T27" i="5"/>
  <c r="U27" i="5" s="1"/>
  <c r="T14" i="5"/>
  <c r="R11" i="5"/>
  <c r="P11" i="5"/>
  <c r="O11" i="5"/>
  <c r="Q11" i="5" s="1"/>
  <c r="U10" i="5"/>
  <c r="U11" i="5" s="1"/>
  <c r="P10" i="5"/>
  <c r="O10" i="5"/>
  <c r="Q10" i="5" s="1"/>
  <c r="R9" i="5"/>
  <c r="P9" i="5"/>
  <c r="O9" i="5"/>
  <c r="Q9" i="5" s="1"/>
  <c r="P8" i="5"/>
  <c r="O8" i="5"/>
  <c r="Q8" i="5" s="1"/>
  <c r="L3" i="5"/>
  <c r="L4" i="5" s="1"/>
  <c r="Q14" i="1"/>
  <c r="R14" i="1"/>
  <c r="S14" i="1"/>
  <c r="T14" i="1"/>
  <c r="U14" i="1" s="1"/>
  <c r="M4" i="2"/>
  <c r="R10" i="5" l="1"/>
  <c r="R8" i="5"/>
  <c r="V9" i="5" s="1"/>
  <c r="X14" i="5"/>
  <c r="W14" i="5"/>
  <c r="R7" i="5"/>
  <c r="U14" i="5"/>
  <c r="W9" i="5"/>
  <c r="V14" i="1"/>
  <c r="V10" i="5" l="1"/>
  <c r="V8" i="5"/>
  <c r="V11" i="5"/>
  <c r="W11" i="5"/>
  <c r="W8" i="5"/>
  <c r="Y14" i="5"/>
  <c r="X27" i="5"/>
  <c r="W27" i="5"/>
  <c r="W14" i="1"/>
  <c r="X14" i="1"/>
  <c r="S9" i="1"/>
  <c r="Y27" i="5" l="1"/>
  <c r="X11" i="5"/>
  <c r="Y14" i="1"/>
  <c r="P4" i="2"/>
  <c r="O4" i="2"/>
  <c r="N4" i="2"/>
  <c r="Q4" i="2" l="1"/>
  <c r="R4" i="2"/>
  <c r="T4" i="2" s="1"/>
  <c r="S4" i="2" l="1"/>
  <c r="U4" i="2" s="1"/>
  <c r="O11" i="1" l="1"/>
  <c r="Q11" i="1" s="1"/>
  <c r="P9" i="1"/>
  <c r="P10" i="1"/>
  <c r="L3" i="1"/>
  <c r="U10" i="1"/>
  <c r="U11" i="1" s="1"/>
  <c r="O9" i="1"/>
  <c r="Q9" i="1" s="1"/>
  <c r="O10" i="1"/>
  <c r="Q10" i="1" s="1"/>
  <c r="O8" i="1"/>
  <c r="Q8" i="1" l="1"/>
  <c r="S8" i="1"/>
  <c r="V11" i="1" s="1"/>
  <c r="W8" i="1" s="1"/>
  <c r="P11" i="1"/>
  <c r="S11" i="1"/>
  <c r="P8" i="1"/>
  <c r="L4" i="1"/>
  <c r="S10" i="1" l="1"/>
  <c r="W9" i="1" s="1"/>
  <c r="W11" i="1" s="1"/>
  <c r="V9" i="1"/>
  <c r="V8" i="1"/>
  <c r="V10" i="1"/>
  <c r="X11" i="1" l="1"/>
</calcChain>
</file>

<file path=xl/sharedStrings.xml><?xml version="1.0" encoding="utf-8"?>
<sst xmlns="http://schemas.openxmlformats.org/spreadsheetml/2006/main" count="290" uniqueCount="155">
  <si>
    <t>Year</t>
  </si>
  <si>
    <t>peak date</t>
  </si>
  <si>
    <t>peak value</t>
  </si>
  <si>
    <t>Participant ID</t>
  </si>
  <si>
    <t>Name</t>
  </si>
  <si>
    <t>Grant Date</t>
  </si>
  <si>
    <t>Vest Date</t>
  </si>
  <si>
    <t>Grant Type</t>
  </si>
  <si>
    <t>FMV per Share USD</t>
  </si>
  <si>
    <t>Tax Description</t>
  </si>
  <si>
    <t>Taxable Gain USD</t>
  </si>
  <si>
    <t>Total Shares (Whole Only)</t>
  </si>
  <si>
    <t>Total Shares (w/ Div Equiv)</t>
  </si>
  <si>
    <t>Grant Number</t>
  </si>
  <si>
    <t>SBI TT Rate ( USD to INR conversion Rate</t>
  </si>
  <si>
    <t>Taxable Gain / Perq Value in INR</t>
  </si>
  <si>
    <t>Tax Amount in INR</t>
  </si>
  <si>
    <t>RSU</t>
  </si>
  <si>
    <t>India</t>
  </si>
  <si>
    <t>Purchase Date</t>
  </si>
  <si>
    <t>ESPP Shares</t>
  </si>
  <si>
    <t>Purchase Price USD</t>
  </si>
  <si>
    <t>FMV on Purchase Date USD</t>
  </si>
  <si>
    <t>Gain USD (G-F)*E</t>
  </si>
  <si>
    <t>Work/Host Country</t>
  </si>
  <si>
    <t>IND</t>
  </si>
  <si>
    <t>Sellable Qty.</t>
  </si>
  <si>
    <t>Tax Amount USD = 34.32% of Taxable Gain</t>
  </si>
  <si>
    <t>name of entity</t>
  </si>
  <si>
    <t>Address of entity</t>
  </si>
  <si>
    <t>zipcode</t>
  </si>
  <si>
    <t>Nature of entity</t>
  </si>
  <si>
    <t>Peak value of investment</t>
  </si>
  <si>
    <t>Closing value of investment</t>
  </si>
  <si>
    <t>Peak value of investment INR</t>
  </si>
  <si>
    <t>Closing value of investment 
INR</t>
  </si>
  <si>
    <t>DIV1</t>
  </si>
  <si>
    <t>DIV2</t>
  </si>
  <si>
    <t>DIV3</t>
  </si>
  <si>
    <t>DIV4</t>
  </si>
  <si>
    <t>value per share</t>
  </si>
  <si>
    <t>vest Date 
dd-mm--yyyy</t>
  </si>
  <si>
    <t xml:space="preserve">Qualcomm </t>
  </si>
  <si>
    <t>Dividend earned USD</t>
  </si>
  <si>
    <t>QUALCOMM INC.(QCOM)</t>
  </si>
  <si>
    <t>5775 Morehouse Dr, San Diego, CA</t>
  </si>
  <si>
    <t>Initial Investment</t>
  </si>
  <si>
    <t>25% tax</t>
  </si>
  <si>
    <t>delta tax</t>
  </si>
  <si>
    <t>Issue Date</t>
  </si>
  <si>
    <t>Dividend Tax deducted in US at 25%</t>
  </si>
  <si>
    <t>Dividend earned 
(INR)</t>
  </si>
  <si>
    <t>Dividend earned (INR)</t>
  </si>
  <si>
    <t>Tax</t>
  </si>
  <si>
    <t>4% cess</t>
  </si>
  <si>
    <t>Total Tax</t>
  </si>
  <si>
    <t>Dividend Tax in india @ 30%</t>
  </si>
  <si>
    <t>Tax liability</t>
  </si>
  <si>
    <t>Sum of delta Tax</t>
  </si>
  <si>
    <t>1042-S Tax summary check</t>
  </si>
  <si>
    <t>Federal Tax  withheld from Form 1042-s</t>
  </si>
  <si>
    <t>Tax computed by this sheet</t>
  </si>
  <si>
    <t>This is used to fill in Form 67 for DTAA tax relief</t>
  </si>
  <si>
    <t>SBI TT BUY rate on same date stock Peak date</t>
  </si>
  <si>
    <t>Closing value in 31st December</t>
  </si>
  <si>
    <t>SBI TT buy rate as on 31st December.</t>
  </si>
  <si>
    <t>11/20/2022</t>
  </si>
  <si>
    <t>11/20/2023</t>
  </si>
  <si>
    <t>82.86</t>
  </si>
  <si>
    <t>7/31/2023</t>
  </si>
  <si>
    <t>10% tax surcharge</t>
  </si>
  <si>
    <t>CG</t>
  </si>
  <si>
    <t>2024-25</t>
  </si>
  <si>
    <t xml:space="preserve">Dividend ID </t>
  </si>
  <si>
    <t>SBI TT Buy rate for Divident ID at end of last month</t>
  </si>
  <si>
    <t>7/31/2024</t>
  </si>
  <si>
    <t>1/31/2024</t>
  </si>
  <si>
    <t>Dividend Tax in US @ 25%</t>
  </si>
  <si>
    <t>Total Div INR</t>
  </si>
  <si>
    <t>Total Div USD</t>
  </si>
  <si>
    <t>10% tax surcharge are applicable on salary above 50L</t>
  </si>
  <si>
    <t>4% cess in applied on tax</t>
  </si>
  <si>
    <t>Dividend Tax in india @ 31.32%</t>
  </si>
  <si>
    <t>31.32% tax</t>
  </si>
  <si>
    <t>31.32% Tax INR</t>
  </si>
  <si>
    <t>25% Tax INR</t>
  </si>
  <si>
    <t>25% Tax USD</t>
  </si>
  <si>
    <t>STCG</t>
  </si>
  <si>
    <t>Closing Value</t>
  </si>
  <si>
    <t>Date Sold</t>
  </si>
  <si>
    <t>Execution Price USD</t>
  </si>
  <si>
    <t>Gain Calculation</t>
  </si>
  <si>
    <t>Purchase Price</t>
  </si>
  <si>
    <t>Purchase Price INR</t>
  </si>
  <si>
    <t>Purchase TT Rate</t>
  </si>
  <si>
    <t>Sell Date</t>
  </si>
  <si>
    <t>Sell TT Rate</t>
  </si>
  <si>
    <t>Sell Price INR</t>
  </si>
  <si>
    <t>Sell Price USD</t>
  </si>
  <si>
    <t>Gain INR</t>
  </si>
  <si>
    <t>DIV0</t>
  </si>
  <si>
    <t>Delta : This is not working as dividend calculation is being done for 1Apr 2024 to 31st March 2025. Validate this in FA Sheet.</t>
  </si>
  <si>
    <t>Delta</t>
  </si>
  <si>
    <t>Aggregates</t>
  </si>
  <si>
    <t>Aggregates Value</t>
  </si>
  <si>
    <t>Tax Id for Indian</t>
  </si>
  <si>
    <t>Tax % to be paid in India</t>
  </si>
  <si>
    <t>AIS</t>
  </si>
  <si>
    <t>Gross Salary</t>
  </si>
  <si>
    <t>Chargeable Salary</t>
  </si>
  <si>
    <t>Bank Interest</t>
  </si>
  <si>
    <t>Gross Total income </t>
  </si>
  <si>
    <t>Total income</t>
  </si>
  <si>
    <t>TDS</t>
  </si>
  <si>
    <t>Tax Payable</t>
  </si>
  <si>
    <t>Cess</t>
  </si>
  <si>
    <t>Pay Now</t>
  </si>
  <si>
    <t>CG+DIV</t>
  </si>
  <si>
    <t>Dividend</t>
  </si>
  <si>
    <t>Total</t>
  </si>
  <si>
    <t>Relief</t>
  </si>
  <si>
    <t>Tax after relief</t>
  </si>
  <si>
    <t xml:space="preserve">Interest </t>
  </si>
  <si>
    <t>Diff with CG+DIV</t>
  </si>
  <si>
    <t>Comments</t>
  </si>
  <si>
    <t>Taxed at 30%</t>
  </si>
  <si>
    <t>Extra Income should be here</t>
  </si>
  <si>
    <t>ESPP and Dividend both cessed @ 4%</t>
  </si>
  <si>
    <t>Relief from US paid tax</t>
  </si>
  <si>
    <t>Final Diff</t>
  </si>
  <si>
    <t>Interest for missing ESPP and Dividend</t>
  </si>
  <si>
    <t>Extra for espp and dividend</t>
  </si>
  <si>
    <t>ESPP Sale</t>
  </si>
  <si>
    <t>Example : Copy from previous sheets. Or add entry if not reported</t>
  </si>
  <si>
    <t>Testing</t>
  </si>
  <si>
    <t>Aman, Aryan</t>
  </si>
  <si>
    <t>Copy the rows from RSU and ESPP sold during April 24 to Mar 25 from sheet RSU and ESPP.</t>
  </si>
  <si>
    <t>Take the rows from above and fill purchase and selling price in USD, dates and TT Rate on that date.</t>
  </si>
  <si>
    <t>Download Etrade ClientStatements between January 2024 to December 2024.
Search Qualified Dividend in each sheet. Fill Qualified Dividend and  Tax Withholding in column M and N,  Validate the date from that statement</t>
  </si>
  <si>
    <t>Only fill the entries for RSU and ESPP received till 31 December 2024</t>
  </si>
  <si>
    <t>Fill the entries for RSU and ESPP received till 31 March 2025</t>
  </si>
  <si>
    <t>If anything sold early, then edit the equation of Divident Earned USD and INR, to consider only valid Quarters for RSU and ESPP</t>
  </si>
  <si>
    <t>Check the equation difference in U27 and U28.  Same for V27 and V28</t>
  </si>
  <si>
    <t>TEMP</t>
  </si>
  <si>
    <t>Company Listed on NASDAQ</t>
  </si>
  <si>
    <t>Dividend Tax in India</t>
  </si>
  <si>
    <t>&gt;Download Etrade ClientStatements between April 2024 to March 2025. Search Qualified Dividend in each sheet. Fill Qualified Dividend and  Tax Withholding in column M and N,  Validate the date from that statement</t>
  </si>
  <si>
    <t>&gt;Download RSU Reports From My Reports ADP and Paste as it is col A:O. Fill Sellable Quantity col P from Etrade -&gt; Holdings -&gt; Sellable.  Drag rest of the column sample to autopopulate.</t>
  </si>
  <si>
    <t xml:space="preserve">&gt;Download ESPP Reports From My Reports ADP and Paste as it is col A:L. Repeat to auto fill remaining. </t>
  </si>
  <si>
    <t>Download Reports From My Reports ADP and Paste as it is col A:O. Fill Sellable Quantity col P from Etrade -&gt; Holdings -&gt; Sellable.  Drag rest of the column sample to autopopulate.</t>
  </si>
  <si>
    <t>Download ESPP Reports From My Reports ADP and Paste as it is col A:O. Fill Sellable Quantity col P from Etrade -&gt; Holdings -&gt; Sellable.  Drag rest of the column sample to autopopulate.</t>
  </si>
  <si>
    <t>FMV Purchase Date USD</t>
  </si>
  <si>
    <t>Number Shares</t>
  </si>
  <si>
    <t>Sell Price Per Unit</t>
  </si>
  <si>
    <t>Tax @ 31.24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</si>
</sst>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$-409]#,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rgb="FF3F3F7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0" borderId="0"/>
    <xf numFmtId="0" fontId="19" fillId="0" borderId="0"/>
  </cellStyleXfs>
  <cellXfs count="58">
    <xf numFmtId="0" fontId="0" fillId="0" borderId="0" xfId="0"/>
    <xf numFmtId="0" fontId="0" fillId="0" borderId="0" xfId="0" applyAlignment="1">
      <alignment horizontal="center" vertical="top" wrapText="1"/>
    </xf>
    <xf numFmtId="0" fontId="18" fillId="0" borderId="0" xfId="42" applyAlignment="1">
      <alignment horizontal="center" vertical="center" wrapText="1"/>
    </xf>
    <xf numFmtId="0" fontId="12" fillId="34" borderId="5" xfId="10" applyFill="1" applyAlignment="1">
      <alignment horizontal="center" vertical="center" wrapText="1"/>
    </xf>
    <xf numFmtId="0" fontId="18" fillId="33" borderId="0" xfId="42" applyFill="1" applyAlignment="1">
      <alignment horizontal="center" vertical="center" wrapText="1"/>
    </xf>
    <xf numFmtId="3" fontId="18" fillId="0" borderId="0" xfId="42" applyNumberFormat="1" applyAlignment="1">
      <alignment horizontal="center" vertical="center" wrapText="1"/>
    </xf>
    <xf numFmtId="164" fontId="18" fillId="0" borderId="0" xfId="42" applyNumberFormat="1" applyAlignment="1">
      <alignment horizontal="center" vertical="center" wrapText="1"/>
    </xf>
    <xf numFmtId="0" fontId="12" fillId="34" borderId="10" xfId="10" applyFill="1" applyBorder="1" applyAlignment="1">
      <alignment horizontal="center" vertical="center" wrapText="1"/>
    </xf>
    <xf numFmtId="0" fontId="18" fillId="0" borderId="0" xfId="42" applyFill="1" applyBorder="1" applyAlignment="1">
      <alignment horizontal="center" vertical="center" wrapText="1"/>
    </xf>
    <xf numFmtId="0" fontId="12" fillId="6" borderId="5" xfId="10" applyAlignment="1">
      <alignment horizontal="center" vertical="center" wrapText="1"/>
    </xf>
    <xf numFmtId="14" fontId="12" fillId="6" borderId="5" xfId="1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6" borderId="5" xfId="10" applyAlignment="1">
      <alignment horizontal="center" vertical="center"/>
    </xf>
    <xf numFmtId="14" fontId="12" fillId="6" borderId="5" xfId="10" applyNumberFormat="1" applyAlignment="1">
      <alignment horizontal="center" vertical="center"/>
    </xf>
    <xf numFmtId="164" fontId="12" fillId="6" borderId="5" xfId="1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5" borderId="4" xfId="9" applyAlignment="1">
      <alignment horizontal="center" vertical="center" wrapText="1"/>
    </xf>
    <xf numFmtId="15" fontId="12" fillId="6" borderId="5" xfId="10" applyNumberFormat="1" applyAlignment="1">
      <alignment horizontal="center" vertical="center" wrapText="1"/>
    </xf>
    <xf numFmtId="165" fontId="12" fillId="6" borderId="5" xfId="1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2" fillId="6" borderId="5" xfId="10" applyAlignment="1">
      <alignment horizontal="center" vertical="center" wrapText="1"/>
    </xf>
    <xf numFmtId="0" fontId="0" fillId="0" borderId="0" xfId="0" applyAlignment="1">
      <alignment wrapText="1"/>
    </xf>
    <xf numFmtId="15" fontId="12" fillId="6" borderId="5" xfId="10" applyNumberFormat="1" applyAlignment="1">
      <alignment horizontal="center"/>
    </xf>
    <xf numFmtId="0" fontId="12" fillId="6" borderId="5" xfId="10" applyAlignment="1">
      <alignment horizontal="center" vertical="top" wrapText="1"/>
    </xf>
    <xf numFmtId="0" fontId="12" fillId="6" borderId="5" xfId="10" applyAlignment="1">
      <alignment horizontal="center"/>
    </xf>
    <xf numFmtId="14" fontId="0" fillId="0" borderId="0" xfId="0" applyNumberFormat="1"/>
    <xf numFmtId="0" fontId="1" fillId="0" borderId="0" xfId="0" applyFont="1"/>
    <xf numFmtId="0" fontId="12" fillId="6" borderId="5" xfId="1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5" fillId="7" borderId="7" xfId="13" applyNumberFormat="1"/>
    <xf numFmtId="0" fontId="15" fillId="7" borderId="7" xfId="13"/>
    <xf numFmtId="0" fontId="12" fillId="35" borderId="5" xfId="10" applyFill="1" applyAlignment="1">
      <alignment horizontal="center" vertical="center" wrapText="1"/>
    </xf>
    <xf numFmtId="165" fontId="12" fillId="35" borderId="5" xfId="10" applyNumberForma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6" borderId="5" xfId="10" applyFont="1" applyAlignment="1">
      <alignment horizontal="center" vertical="center" wrapText="1"/>
    </xf>
    <xf numFmtId="165" fontId="12" fillId="6" borderId="5" xfId="10" applyNumberFormat="1" applyFont="1" applyAlignment="1">
      <alignment horizontal="center" vertical="center" wrapText="1"/>
    </xf>
    <xf numFmtId="0" fontId="22" fillId="5" borderId="4" xfId="9" applyFont="1" applyAlignment="1">
      <alignment horizontal="center" vertical="center" wrapText="1"/>
    </xf>
    <xf numFmtId="0" fontId="18" fillId="0" borderId="0" xfId="42"/>
    <xf numFmtId="0" fontId="12" fillId="6" borderId="5" xfId="10" applyAlignment="1">
      <alignment horizontal="center" vertical="center" wrapText="1"/>
    </xf>
    <xf numFmtId="0" fontId="1" fillId="36" borderId="11" xfId="0" applyFont="1" applyFill="1" applyBorder="1" applyAlignment="1">
      <alignment horizontal="center" vertical="center" wrapText="1"/>
    </xf>
    <xf numFmtId="0" fontId="20" fillId="36" borderId="11" xfId="0" applyFont="1" applyFill="1" applyBorder="1" applyAlignment="1">
      <alignment horizontal="center" vertical="center" wrapText="1"/>
    </xf>
    <xf numFmtId="0" fontId="1" fillId="37" borderId="0" xfId="0" applyFont="1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0" fontId="1" fillId="36" borderId="0" xfId="0" applyFont="1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21" fillId="36" borderId="12" xfId="42" applyFont="1" applyFill="1" applyBorder="1" applyAlignment="1">
      <alignment horizontal="center" vertical="center" wrapText="1"/>
    </xf>
    <xf numFmtId="0" fontId="1" fillId="36" borderId="12" xfId="0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42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36" borderId="13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0FFBC18-1D8E-4DCE-B8C8-9F0A13F3AA2B}"/>
    <cellStyle name="Normal 3" xfId="43" xr:uid="{C3E08FDC-277E-4152-948D-9FCD6DDA4D8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A4CB-5922-42AD-9312-C77D74614993}">
  <dimension ref="A1:Y100"/>
  <sheetViews>
    <sheetView tabSelected="1" zoomScaleNormal="100" workbookViewId="0">
      <selection activeCell="I19" sqref="I19"/>
    </sheetView>
  </sheetViews>
  <sheetFormatPr defaultRowHeight="14.4" x14ac:dyDescent="0.3"/>
  <cols>
    <col min="1" max="1" width="11.77734375" style="1" customWidth="1"/>
    <col min="2" max="2" width="14.6640625" style="1" bestFit="1" customWidth="1"/>
    <col min="3" max="3" width="14.109375" style="1" customWidth="1"/>
    <col min="4" max="4" width="17" style="1" customWidth="1"/>
    <col min="5" max="5" width="9.88671875" style="1" bestFit="1" customWidth="1"/>
    <col min="6" max="6" width="14.88671875" style="1" customWidth="1"/>
    <col min="7" max="7" width="16.5546875" style="1" customWidth="1"/>
    <col min="8" max="8" width="16.88671875" style="1" customWidth="1"/>
    <col min="9" max="9" width="13.33203125" style="1" customWidth="1"/>
    <col min="10" max="10" width="17.109375" style="1" customWidth="1"/>
    <col min="11" max="11" width="15.44140625" style="1" customWidth="1"/>
    <col min="12" max="12" width="14.5546875" style="1" customWidth="1"/>
    <col min="13" max="13" width="13.109375" style="1" customWidth="1"/>
    <col min="14" max="14" width="12.33203125" style="1" customWidth="1"/>
    <col min="15" max="15" width="10.6640625" style="1" customWidth="1"/>
    <col min="16" max="16" width="11.109375" style="1" customWidth="1"/>
    <col min="17" max="17" width="15" style="1" customWidth="1"/>
    <col min="18" max="18" width="13.88671875" style="1" customWidth="1"/>
    <col min="19" max="19" width="17.21875" style="1" customWidth="1"/>
    <col min="20" max="20" width="16.5546875" style="1" customWidth="1"/>
    <col min="21" max="21" width="14.33203125" style="1" customWidth="1"/>
    <col min="22" max="22" width="14" style="1" customWidth="1"/>
    <col min="23" max="23" width="10.44140625" style="1" customWidth="1"/>
    <col min="24" max="24" width="8.5546875" style="1" customWidth="1"/>
    <col min="25" max="25" width="12.5546875" style="1" customWidth="1"/>
    <col min="26" max="16384" width="8.88671875" style="1"/>
  </cols>
  <sheetData>
    <row r="1" spans="1:25" x14ac:dyDescent="0.3">
      <c r="A1" s="42" t="s">
        <v>140</v>
      </c>
      <c r="B1" s="43"/>
      <c r="C1" s="43"/>
      <c r="D1" s="43"/>
      <c r="E1" s="43"/>
      <c r="F1" s="43"/>
      <c r="G1" s="44"/>
      <c r="H1" s="39" t="s">
        <v>59</v>
      </c>
      <c r="I1" s="39"/>
      <c r="J1" s="39"/>
      <c r="K1" s="39"/>
      <c r="L1" s="39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3">
      <c r="A2" s="43"/>
      <c r="B2" s="43"/>
      <c r="C2" s="43"/>
      <c r="D2" s="43"/>
      <c r="E2" s="43"/>
      <c r="F2" s="43"/>
      <c r="G2" s="44"/>
      <c r="H2" s="39" t="s">
        <v>60</v>
      </c>
      <c r="I2" s="39"/>
      <c r="J2" s="39"/>
      <c r="K2" s="39"/>
      <c r="L2" s="32">
        <v>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28.8" x14ac:dyDescent="0.3">
      <c r="A3" s="15" t="s">
        <v>28</v>
      </c>
      <c r="B3" s="15"/>
      <c r="C3" s="15" t="s">
        <v>44</v>
      </c>
      <c r="D3" s="15"/>
      <c r="E3" s="15"/>
      <c r="F3" s="15"/>
      <c r="G3" s="15"/>
      <c r="H3" s="39" t="s">
        <v>61</v>
      </c>
      <c r="I3" s="39"/>
      <c r="J3" s="39"/>
      <c r="K3" s="39"/>
      <c r="L3" s="33">
        <f>SUM(N8:N10,N11)</f>
        <v>0</v>
      </c>
      <c r="M3" s="15"/>
      <c r="N3" s="15"/>
      <c r="O3" s="15"/>
      <c r="P3" s="15"/>
      <c r="Q3" s="15"/>
      <c r="S3" s="15"/>
      <c r="T3" s="15"/>
      <c r="U3" s="15"/>
      <c r="V3" s="15"/>
      <c r="W3" s="15"/>
      <c r="X3" s="15"/>
      <c r="Y3" s="15"/>
    </row>
    <row r="4" spans="1:25" ht="43.2" x14ac:dyDescent="0.3">
      <c r="A4" s="15" t="s">
        <v>29</v>
      </c>
      <c r="B4" s="15"/>
      <c r="C4" s="15" t="s">
        <v>45</v>
      </c>
      <c r="D4" s="15"/>
      <c r="E4" s="15"/>
      <c r="F4" s="15"/>
      <c r="G4" s="15"/>
      <c r="H4" s="39" t="s">
        <v>101</v>
      </c>
      <c r="I4" s="39"/>
      <c r="J4" s="39"/>
      <c r="K4" s="39"/>
      <c r="L4" s="9">
        <f>CEILING(L2-L3,1)</f>
        <v>0</v>
      </c>
      <c r="M4" s="15"/>
      <c r="N4" s="15"/>
      <c r="O4" s="15"/>
      <c r="P4" s="15"/>
      <c r="Q4" s="15"/>
      <c r="S4" s="15"/>
      <c r="T4" s="9" t="s">
        <v>80</v>
      </c>
      <c r="U4" s="9" t="s">
        <v>81</v>
      </c>
      <c r="V4" s="15"/>
      <c r="W4" s="15"/>
      <c r="X4" s="15"/>
      <c r="Y4" s="15"/>
    </row>
    <row r="5" spans="1:25" ht="43.2" x14ac:dyDescent="0.3">
      <c r="A5" s="15" t="s">
        <v>30</v>
      </c>
      <c r="B5" s="15"/>
      <c r="C5" s="15">
        <v>92121</v>
      </c>
      <c r="D5" s="15"/>
      <c r="E5" s="15"/>
      <c r="F5" s="15"/>
      <c r="G5" s="15"/>
      <c r="H5" s="9" t="s">
        <v>62</v>
      </c>
      <c r="I5" s="9"/>
      <c r="J5" s="9"/>
      <c r="K5" s="9"/>
      <c r="L5" s="9"/>
      <c r="M5" s="15"/>
      <c r="N5" s="15"/>
      <c r="O5" s="15"/>
      <c r="P5" s="15"/>
      <c r="Q5" s="15"/>
      <c r="S5" s="15"/>
      <c r="T5" s="15"/>
      <c r="U5" s="15"/>
      <c r="V5" s="15"/>
      <c r="W5" s="15"/>
      <c r="X5" s="15"/>
      <c r="Y5" s="15"/>
    </row>
    <row r="6" spans="1:25" ht="28.8" x14ac:dyDescent="0.3">
      <c r="A6" s="15" t="s">
        <v>31</v>
      </c>
      <c r="B6" s="15"/>
      <c r="C6" s="15" t="s">
        <v>144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S6" s="15"/>
      <c r="T6" s="15"/>
      <c r="U6" s="15"/>
      <c r="V6" s="15"/>
      <c r="W6" s="15"/>
      <c r="X6" s="15"/>
      <c r="Y6" s="15"/>
    </row>
    <row r="7" spans="1:25" ht="72" x14ac:dyDescent="0.3">
      <c r="A7" s="15"/>
      <c r="B7" s="15"/>
      <c r="C7" s="16" t="s">
        <v>0</v>
      </c>
      <c r="D7" s="16" t="s">
        <v>1</v>
      </c>
      <c r="E7" s="16" t="s">
        <v>2</v>
      </c>
      <c r="F7" s="16" t="s">
        <v>63</v>
      </c>
      <c r="G7" s="16" t="s">
        <v>64</v>
      </c>
      <c r="H7" s="16" t="s">
        <v>65</v>
      </c>
      <c r="I7" s="16" t="s">
        <v>73</v>
      </c>
      <c r="J7" s="16" t="s">
        <v>49</v>
      </c>
      <c r="K7" s="16" t="s">
        <v>40</v>
      </c>
      <c r="L7" s="16" t="s">
        <v>74</v>
      </c>
      <c r="M7" s="16" t="s">
        <v>43</v>
      </c>
      <c r="N7" s="16" t="s">
        <v>50</v>
      </c>
      <c r="O7" s="16" t="s">
        <v>51</v>
      </c>
      <c r="P7" s="16" t="s">
        <v>77</v>
      </c>
      <c r="Q7" s="16" t="s">
        <v>82</v>
      </c>
      <c r="R7" s="37" t="s">
        <v>103</v>
      </c>
      <c r="S7" s="37" t="s">
        <v>104</v>
      </c>
      <c r="T7" s="16" t="s">
        <v>105</v>
      </c>
      <c r="U7" s="16" t="s">
        <v>106</v>
      </c>
      <c r="V7" s="37" t="s">
        <v>145</v>
      </c>
      <c r="W7" s="37" t="s">
        <v>57</v>
      </c>
      <c r="X7" s="16" t="s">
        <v>58</v>
      </c>
      <c r="Y7" s="15"/>
    </row>
    <row r="8" spans="1:25" x14ac:dyDescent="0.3">
      <c r="A8" s="15" t="s">
        <v>42</v>
      </c>
      <c r="B8" s="15"/>
      <c r="C8" t="s">
        <v>72</v>
      </c>
      <c r="D8">
        <v>45461</v>
      </c>
      <c r="E8">
        <v>227.09</v>
      </c>
      <c r="F8">
        <v>83.12</v>
      </c>
      <c r="G8">
        <v>153.62</v>
      </c>
      <c r="H8">
        <v>85.2</v>
      </c>
      <c r="I8" t="s">
        <v>36</v>
      </c>
      <c r="J8" s="57">
        <v>45463</v>
      </c>
      <c r="K8">
        <v>0.85</v>
      </c>
      <c r="L8">
        <v>83.05</v>
      </c>
      <c r="M8" s="18">
        <v>0</v>
      </c>
      <c r="N8" s="18">
        <v>0</v>
      </c>
      <c r="O8">
        <f>M8*L8</f>
        <v>0</v>
      </c>
      <c r="P8">
        <f>VALUE(N8)*L8</f>
        <v>0</v>
      </c>
      <c r="Q8">
        <f>0.3132*O8</f>
        <v>0</v>
      </c>
      <c r="R8" s="34" t="s">
        <v>78</v>
      </c>
      <c r="S8" s="35">
        <f>ROUND(SUM((O8:O11)), 0)</f>
        <v>0</v>
      </c>
      <c r="T8" t="s">
        <v>53</v>
      </c>
      <c r="U8">
        <v>0.3</v>
      </c>
      <c r="V8" s="9">
        <f>S8*U8</f>
        <v>0</v>
      </c>
      <c r="W8" s="9">
        <f>ROUND(V11, 0)</f>
        <v>0</v>
      </c>
      <c r="X8" s="9"/>
      <c r="Y8" s="15"/>
    </row>
    <row r="9" spans="1:25" x14ac:dyDescent="0.3">
      <c r="A9" s="15"/>
      <c r="B9" s="15"/>
      <c r="C9" s="38"/>
      <c r="D9" s="38"/>
      <c r="E9" s="38"/>
      <c r="F9" s="38"/>
      <c r="G9" s="38"/>
      <c r="H9" s="38"/>
      <c r="I9" t="s">
        <v>37</v>
      </c>
      <c r="J9" s="57">
        <v>45561</v>
      </c>
      <c r="K9">
        <v>0.85</v>
      </c>
      <c r="L9">
        <v>83.5</v>
      </c>
      <c r="M9" s="18">
        <v>0</v>
      </c>
      <c r="N9" s="18">
        <v>0</v>
      </c>
      <c r="O9">
        <f t="shared" ref="O9:O10" si="0">M9*L9</f>
        <v>0</v>
      </c>
      <c r="P9">
        <f t="shared" ref="P9:P10" si="1">VALUE(N9)*L9</f>
        <v>0</v>
      </c>
      <c r="Q9">
        <f t="shared" ref="Q9:Q11" si="2">0.3132*O9</f>
        <v>0</v>
      </c>
      <c r="R9" s="34" t="s">
        <v>79</v>
      </c>
      <c r="S9" s="36">
        <f>SUM(M8:M11)</f>
        <v>0</v>
      </c>
      <c r="T9" t="s">
        <v>70</v>
      </c>
      <c r="U9">
        <v>0</v>
      </c>
      <c r="V9" s="9">
        <f>$S$8*U9</f>
        <v>0</v>
      </c>
      <c r="W9" s="9">
        <f>ROUND(S10, 0)</f>
        <v>0</v>
      </c>
      <c r="X9" s="9"/>
      <c r="Y9" s="15"/>
    </row>
    <row r="10" spans="1:25" x14ac:dyDescent="0.3">
      <c r="A10" s="45" t="s">
        <v>146</v>
      </c>
      <c r="B10" s="46"/>
      <c r="C10" s="46"/>
      <c r="D10" s="46"/>
      <c r="E10" s="46"/>
      <c r="F10" s="46"/>
      <c r="G10" s="46"/>
      <c r="H10" s="38"/>
      <c r="I10" t="s">
        <v>38</v>
      </c>
      <c r="J10" s="57">
        <v>45645</v>
      </c>
      <c r="K10">
        <v>0.85</v>
      </c>
      <c r="L10">
        <v>84.15</v>
      </c>
      <c r="M10" s="18">
        <v>0</v>
      </c>
      <c r="N10" s="18">
        <v>0</v>
      </c>
      <c r="O10">
        <f t="shared" si="0"/>
        <v>0</v>
      </c>
      <c r="P10">
        <f t="shared" si="1"/>
        <v>0</v>
      </c>
      <c r="Q10">
        <f t="shared" si="2"/>
        <v>0</v>
      </c>
      <c r="R10" s="34" t="s">
        <v>85</v>
      </c>
      <c r="S10" s="35">
        <f>SUM((P8:P11))</f>
        <v>0</v>
      </c>
      <c r="T10" t="s">
        <v>54</v>
      </c>
      <c r="U10">
        <f>0.04*0.33</f>
        <v>1.3200000000000002E-2</v>
      </c>
      <c r="V10" s="9">
        <f>$S$8*U10</f>
        <v>0</v>
      </c>
      <c r="W10" s="9"/>
      <c r="X10" s="9"/>
      <c r="Y10" s="15"/>
    </row>
    <row r="11" spans="1:25" x14ac:dyDescent="0.3">
      <c r="A11" s="46"/>
      <c r="B11" s="46"/>
      <c r="C11" s="46"/>
      <c r="D11" s="46"/>
      <c r="E11" s="46"/>
      <c r="F11" s="46"/>
      <c r="G11" s="46"/>
      <c r="H11" s="38"/>
      <c r="I11" t="s">
        <v>39</v>
      </c>
      <c r="J11" s="57">
        <v>45743</v>
      </c>
      <c r="K11">
        <v>0.85</v>
      </c>
      <c r="L11">
        <v>86.95</v>
      </c>
      <c r="M11" s="18">
        <v>0</v>
      </c>
      <c r="N11" s="18">
        <v>0</v>
      </c>
      <c r="O11">
        <f>M11*L11</f>
        <v>0</v>
      </c>
      <c r="P11">
        <f>VALUE(N11)*L11</f>
        <v>0</v>
      </c>
      <c r="Q11">
        <f t="shared" si="2"/>
        <v>0</v>
      </c>
      <c r="R11" s="34" t="s">
        <v>86</v>
      </c>
      <c r="S11" s="36">
        <f>SUM(N8:N11)</f>
        <v>0</v>
      </c>
      <c r="T11" t="s">
        <v>55</v>
      </c>
      <c r="U11">
        <f>SUM(U8:U10)</f>
        <v>0.31319999999999998</v>
      </c>
      <c r="V11" s="9">
        <f>$S$8*U11</f>
        <v>0</v>
      </c>
      <c r="W11" s="9">
        <f>W8-W9</f>
        <v>0</v>
      </c>
      <c r="X11" s="9">
        <f>SUM($Y:$Y)+SUM(ESPP!$U:$U)</f>
        <v>557.83385199999987</v>
      </c>
      <c r="Y11" s="15"/>
    </row>
    <row r="12" spans="1:25" x14ac:dyDescent="0.3">
      <c r="A12" s="40" t="s">
        <v>147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s="22" customFormat="1" ht="57.6" x14ac:dyDescent="0.3">
      <c r="A13" s="16" t="s">
        <v>3</v>
      </c>
      <c r="B13" s="16" t="s">
        <v>4</v>
      </c>
      <c r="C13" s="16" t="s">
        <v>5</v>
      </c>
      <c r="D13" s="16" t="s">
        <v>6</v>
      </c>
      <c r="E13" s="16" t="s">
        <v>7</v>
      </c>
      <c r="F13" s="16" t="s">
        <v>8</v>
      </c>
      <c r="G13" s="16" t="s">
        <v>9</v>
      </c>
      <c r="H13" s="16" t="s">
        <v>10</v>
      </c>
      <c r="I13" s="16" t="s">
        <v>27</v>
      </c>
      <c r="J13" s="16" t="s">
        <v>11</v>
      </c>
      <c r="K13" s="16" t="s">
        <v>12</v>
      </c>
      <c r="L13" s="16" t="s">
        <v>13</v>
      </c>
      <c r="M13" s="16" t="s">
        <v>14</v>
      </c>
      <c r="N13" s="16" t="s">
        <v>15</v>
      </c>
      <c r="O13" s="16" t="s">
        <v>16</v>
      </c>
      <c r="P13" s="16" t="s">
        <v>26</v>
      </c>
      <c r="Q13" s="16" t="s">
        <v>46</v>
      </c>
      <c r="R13" s="16" t="s">
        <v>34</v>
      </c>
      <c r="S13" s="16" t="s">
        <v>35</v>
      </c>
      <c r="T13" s="16" t="s">
        <v>41</v>
      </c>
      <c r="U13" s="16" t="s">
        <v>43</v>
      </c>
      <c r="V13" s="16" t="s">
        <v>52</v>
      </c>
      <c r="W13" s="16" t="s">
        <v>47</v>
      </c>
      <c r="X13" s="16" t="s">
        <v>83</v>
      </c>
      <c r="Y13" s="16" t="s">
        <v>48</v>
      </c>
    </row>
    <row r="14" spans="1:25" ht="18" customHeight="1" x14ac:dyDescent="0.3">
      <c r="A14" s="2">
        <v>12312</v>
      </c>
      <c r="B14" s="1" t="s">
        <v>134</v>
      </c>
      <c r="C14" s="11" t="s">
        <v>66</v>
      </c>
      <c r="D14" s="11" t="s">
        <v>67</v>
      </c>
      <c r="E14" s="11" t="s">
        <v>17</v>
      </c>
      <c r="F14" s="11">
        <v>100</v>
      </c>
      <c r="G14" s="11" t="s">
        <v>18</v>
      </c>
      <c r="H14" s="11">
        <v>100</v>
      </c>
      <c r="I14" s="11">
        <v>34.32</v>
      </c>
      <c r="J14" s="11">
        <v>1</v>
      </c>
      <c r="K14" s="11">
        <v>1</v>
      </c>
      <c r="L14" s="29" t="s">
        <v>143</v>
      </c>
      <c r="M14" s="11" t="s">
        <v>68</v>
      </c>
      <c r="N14" s="11">
        <v>123423</v>
      </c>
      <c r="O14" s="11">
        <v>12341</v>
      </c>
      <c r="P14" s="11">
        <v>30</v>
      </c>
      <c r="Q14" s="21">
        <f t="shared" ref="Q14" si="3">N14-O14</f>
        <v>111082</v>
      </c>
      <c r="R14" s="21">
        <f>RSU!$E$8*RSU!$F$8*P14</f>
        <v>566271.62400000007</v>
      </c>
      <c r="S14" s="21">
        <f>RSU!$G$8*RSU!$H$8*P14</f>
        <v>392652.72000000003</v>
      </c>
      <c r="T14" s="17">
        <f t="shared" ref="T14" si="4">DATE(VALUE(RIGHT(D14,4)), IFERROR(VALUE(LEFT(D14,2)), VALUE(LEFT(D14,1))), IFERROR(VALUE(MID(D14,3,2)),VALUE(MID(D14,4,2))))</f>
        <v>45250</v>
      </c>
      <c r="U14" s="21">
        <f t="shared" ref="U14" si="5">IF($T14&lt;$J$8,1,0)*$K$8*P14 + IF($T14&lt;$J$9,1,0)*$K$9*P14 + IF($T14&lt;$J$10,1,0)*$K$10*P14 + IF($T14&lt;$J$11,1,0)*$K$11*P14</f>
        <v>102</v>
      </c>
      <c r="V14" s="21">
        <f t="shared" ref="V14" si="6">(IF($T14&lt;$J$8,1,0)*$K$8*$L$8 + IF($T14&lt;$J$9,1,0)*$K$9*$L$9 + IF($T14&lt;$J$10,1,0)*$K$10*$L$10 + IF($T14&lt;$J$11,1,0)*$K$11*$L$11)*$P14</f>
        <v>8610.0750000000007</v>
      </c>
      <c r="W14" s="21">
        <f t="shared" ref="W14" si="7">0.25*V14</f>
        <v>2152.5187500000002</v>
      </c>
      <c r="X14" s="21">
        <f t="shared" ref="X14" si="8">0.3132*V14</f>
        <v>2696.6754900000001</v>
      </c>
      <c r="Y14" s="21">
        <f t="shared" ref="Y14" si="9">X14-W14</f>
        <v>544.1567399999999</v>
      </c>
    </row>
    <row r="15" spans="1:25" ht="18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21"/>
      <c r="R15" s="21"/>
      <c r="S15" s="21"/>
      <c r="T15" s="17"/>
      <c r="U15" s="21"/>
      <c r="V15" s="21"/>
      <c r="W15" s="21"/>
      <c r="X15" s="21"/>
      <c r="Y15" s="21"/>
    </row>
    <row r="16" spans="1:25" ht="18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  <c r="R16" s="21"/>
      <c r="S16" s="21"/>
      <c r="T16" s="17"/>
      <c r="U16" s="21"/>
      <c r="V16" s="21"/>
      <c r="W16" s="21"/>
      <c r="X16" s="21"/>
      <c r="Y16" s="21"/>
    </row>
    <row r="17" spans="1:2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  <c r="R17" s="21"/>
      <c r="S17" s="21"/>
      <c r="T17" s="17"/>
      <c r="U17" s="21"/>
      <c r="V17" s="21"/>
      <c r="W17" s="21"/>
      <c r="X17" s="21"/>
      <c r="Y17" s="21"/>
    </row>
    <row r="18" spans="1:2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9"/>
      <c r="R18" s="9"/>
      <c r="S18" s="9"/>
      <c r="T18" s="17"/>
      <c r="U18" s="9"/>
      <c r="V18" s="9"/>
      <c r="W18" s="9"/>
      <c r="X18" s="9"/>
      <c r="Y18" s="9"/>
    </row>
    <row r="19" spans="1:25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9"/>
      <c r="R19" s="9"/>
      <c r="S19" s="9"/>
      <c r="T19" s="17"/>
      <c r="U19" s="9"/>
      <c r="V19" s="9"/>
      <c r="W19" s="9"/>
      <c r="X19" s="9"/>
      <c r="Y19" s="9"/>
    </row>
    <row r="20" spans="1:2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9"/>
      <c r="R20" s="9"/>
      <c r="S20" s="9"/>
      <c r="T20" s="17"/>
      <c r="U20" s="9"/>
      <c r="V20" s="9"/>
      <c r="W20" s="9"/>
      <c r="X20" s="9"/>
      <c r="Y20" s="9"/>
    </row>
    <row r="21" spans="1:25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9"/>
      <c r="R21" s="9"/>
      <c r="S21" s="9"/>
      <c r="T21" s="17"/>
      <c r="U21" s="9"/>
      <c r="V21" s="9"/>
      <c r="W21" s="9"/>
      <c r="X21" s="9"/>
      <c r="Y21" s="9"/>
    </row>
    <row r="22" spans="1:2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9"/>
      <c r="R22" s="9"/>
      <c r="S22" s="9"/>
      <c r="T22" s="17"/>
      <c r="U22" s="9"/>
      <c r="V22" s="9"/>
      <c r="W22" s="9"/>
      <c r="X22" s="9"/>
      <c r="Y22" s="9"/>
    </row>
    <row r="23" spans="1:25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9"/>
      <c r="R23" s="9"/>
      <c r="S23" s="9"/>
      <c r="T23" s="17"/>
      <c r="U23" s="9"/>
      <c r="V23" s="9"/>
      <c r="W23" s="9"/>
      <c r="X23" s="9"/>
      <c r="Y23" s="9"/>
    </row>
    <row r="24" spans="1:25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9"/>
      <c r="R24" s="9"/>
      <c r="S24" s="9"/>
      <c r="T24" s="17"/>
      <c r="U24" s="9"/>
      <c r="V24" s="9"/>
      <c r="W24" s="9"/>
      <c r="X24" s="9"/>
      <c r="Y24" s="9"/>
    </row>
    <row r="25" spans="1:25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9"/>
      <c r="R25" s="9"/>
      <c r="S25" s="9"/>
      <c r="T25" s="17"/>
      <c r="U25" s="9"/>
      <c r="V25" s="9"/>
      <c r="W25" s="9"/>
      <c r="X25" s="9"/>
      <c r="Y25" s="9"/>
    </row>
    <row r="26" spans="1:2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100" spans="1:1" x14ac:dyDescent="0.3">
      <c r="A100" s="11" t="s">
        <v>135</v>
      </c>
    </row>
  </sheetData>
  <mergeCells count="7">
    <mergeCell ref="H2:K2"/>
    <mergeCell ref="H3:K3"/>
    <mergeCell ref="H4:K4"/>
    <mergeCell ref="H1:L1"/>
    <mergeCell ref="A12:L12"/>
    <mergeCell ref="A1:G2"/>
    <mergeCell ref="A10:G11"/>
  </mergeCells>
  <conditionalFormatting sqref="X11">
    <cfRule type="cellIs" dxfId="7" priority="5" operator="greaterThan">
      <formula>$W$11</formula>
    </cfRule>
    <cfRule type="cellIs" dxfId="6" priority="6" operator="lessThan">
      <formula>$W$11</formula>
    </cfRule>
    <cfRule type="cellIs" dxfId="5" priority="7" operator="lessThan">
      <formula>$W$11</formula>
    </cfRule>
  </conditionalFormatting>
  <conditionalFormatting sqref="L4">
    <cfRule type="cellIs" dxfId="4" priority="4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35A7-34EE-453C-A973-CB35AFDB0BF1}">
  <dimension ref="A1:U35"/>
  <sheetViews>
    <sheetView topLeftCell="E1" zoomScaleNormal="100" workbookViewId="0">
      <selection activeCell="L4" sqref="L4"/>
    </sheetView>
  </sheetViews>
  <sheetFormatPr defaultRowHeight="13.2" x14ac:dyDescent="0.3"/>
  <cols>
    <col min="1" max="1" width="10" style="2" bestFit="1" customWidth="1"/>
    <col min="2" max="2" width="11.6640625" style="2" bestFit="1" customWidth="1"/>
    <col min="3" max="3" width="10" style="2" bestFit="1" customWidth="1"/>
    <col min="4" max="4" width="9.5546875" style="2" bestFit="1" customWidth="1"/>
    <col min="5" max="5" width="6.5546875" style="2" bestFit="1" customWidth="1"/>
    <col min="6" max="6" width="9.109375" style="2" bestFit="1" customWidth="1"/>
    <col min="7" max="7" width="8.88671875" style="2" bestFit="1" customWidth="1"/>
    <col min="8" max="8" width="8.77734375" style="2" bestFit="1" customWidth="1"/>
    <col min="9" max="9" width="10.21875" style="2" bestFit="1" customWidth="1"/>
    <col min="10" max="10" width="11.44140625" style="2" bestFit="1" customWidth="1"/>
    <col min="11" max="11" width="15.6640625" style="2" bestFit="1" customWidth="1"/>
    <col min="12" max="12" width="7.44140625" style="2" bestFit="1" customWidth="1"/>
    <col min="13" max="13" width="11.5546875" style="2" bestFit="1" customWidth="1"/>
    <col min="14" max="14" width="11.5546875" style="2" customWidth="1"/>
    <col min="15" max="15" width="12" style="2" bestFit="1" customWidth="1"/>
    <col min="16" max="16" width="12.5546875" style="2" bestFit="1" customWidth="1"/>
    <col min="17" max="17" width="8.44140625" style="2" bestFit="1" customWidth="1"/>
    <col min="18" max="18" width="9.5546875" style="2" bestFit="1" customWidth="1"/>
    <col min="19" max="21" width="10.5546875" style="2" bestFit="1" customWidth="1"/>
    <col min="22" max="22" width="8.88671875" style="2"/>
    <col min="23" max="23" width="22.5546875" style="2" bestFit="1" customWidth="1"/>
    <col min="24" max="16384" width="8.88671875" style="2"/>
  </cols>
  <sheetData>
    <row r="1" spans="1:21" ht="13.2" customHeight="1" x14ac:dyDescent="0.3">
      <c r="A1" s="47" t="s">
        <v>148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21" s="4" customFormat="1" ht="57.6" x14ac:dyDescent="0.3">
      <c r="A2" s="3" t="s">
        <v>3</v>
      </c>
      <c r="B2" s="3" t="s">
        <v>4</v>
      </c>
      <c r="C2" s="3" t="s">
        <v>5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14</v>
      </c>
      <c r="K2" s="3" t="s">
        <v>15</v>
      </c>
      <c r="L2" s="3" t="s">
        <v>26</v>
      </c>
      <c r="M2" s="3" t="s">
        <v>46</v>
      </c>
      <c r="N2" s="3" t="s">
        <v>32</v>
      </c>
      <c r="O2" s="3" t="s">
        <v>33</v>
      </c>
      <c r="P2" s="3" t="s">
        <v>41</v>
      </c>
      <c r="Q2" s="3" t="s">
        <v>43</v>
      </c>
      <c r="R2" s="3" t="s">
        <v>52</v>
      </c>
      <c r="S2" s="3" t="s">
        <v>47</v>
      </c>
      <c r="T2" s="3" t="s">
        <v>83</v>
      </c>
      <c r="U2" s="3" t="s">
        <v>48</v>
      </c>
    </row>
    <row r="4" spans="1:21" ht="14.4" x14ac:dyDescent="0.3">
      <c r="A4" s="11">
        <v>12312</v>
      </c>
      <c r="B4" s="11" t="s">
        <v>134</v>
      </c>
      <c r="C4" s="19" t="s">
        <v>69</v>
      </c>
      <c r="D4" s="19" t="s">
        <v>75</v>
      </c>
      <c r="E4" s="11">
        <v>1</v>
      </c>
      <c r="F4" s="11">
        <v>1</v>
      </c>
      <c r="G4" s="11">
        <v>2</v>
      </c>
      <c r="H4" s="11">
        <v>1</v>
      </c>
      <c r="I4" s="11" t="s">
        <v>25</v>
      </c>
      <c r="J4" s="11">
        <v>83</v>
      </c>
      <c r="K4" s="11">
        <v>757</v>
      </c>
      <c r="L4" s="2">
        <v>1</v>
      </c>
      <c r="M4" s="9">
        <f>L4*G4*J4</f>
        <v>166</v>
      </c>
      <c r="N4" s="9">
        <f>RSU!$E$8*RSU!$F$8*L4</f>
        <v>18875.720800000003</v>
      </c>
      <c r="O4" s="9">
        <f>RSU!$G$8*RSU!$H$8*L4</f>
        <v>13088.424000000001</v>
      </c>
      <c r="P4" s="10">
        <f t="shared" ref="P4" si="0">DATE(VALUE(RIGHT(D4,4)), IFERROR(VALUE(LEFT(D4,2)), VALUE(LEFT(D4,1))), IFERROR(VALUE(MID(D4,3,2)),VALUE(MID(D4,4,2))))</f>
        <v>45504</v>
      </c>
      <c r="Q4" s="9">
        <f>IF($P4&lt;RSU!$J$8,1,0)*RSU!$K$8*L4 + IF($P4&lt;RSU!$J$9,1,0)*RSU!$K$9*L4 + IF($P4&lt;RSU!$J$10,1,0)*RSU!$K$10*L4 + IF($P4&lt;RSU!$J$11,1,0)*RSU!$K$11*L4</f>
        <v>2.5499999999999998</v>
      </c>
      <c r="R4" s="9">
        <f>(IF($P4&lt;RSU!$J$8,1,0)*RSU!$K$8*RSU!$L$8 + IF($P4&lt;RSU!$J$9,1,0)*RSU!$K$9*RSU!$L$9 + IF($P4&lt;RSU!$J$10,1,0)*RSU!$K$10*RSU!$L$10 + IF($P4&lt;RSU!$J$11,1,0)*RSU!$K$11*RSU!$L$11)*$L4</f>
        <v>216.41</v>
      </c>
      <c r="S4" s="9">
        <f t="shared" ref="S4" si="1">0.25*R4</f>
        <v>54.102499999999999</v>
      </c>
      <c r="T4" s="9">
        <f>0.3132*R4</f>
        <v>67.779612</v>
      </c>
      <c r="U4" s="9">
        <f t="shared" ref="U4" si="2">T4-S4</f>
        <v>13.677112000000001</v>
      </c>
    </row>
    <row r="5" spans="1:21" ht="14.4" x14ac:dyDescent="0.3">
      <c r="A5" s="11"/>
      <c r="B5" s="11"/>
      <c r="C5" s="19"/>
      <c r="D5" s="19"/>
      <c r="E5" s="11"/>
      <c r="F5" s="11"/>
      <c r="G5" s="11"/>
      <c r="H5" s="11"/>
      <c r="I5" s="11"/>
      <c r="J5" s="11"/>
      <c r="K5" s="11"/>
      <c r="M5" s="9"/>
      <c r="N5" s="9"/>
      <c r="O5" s="9"/>
      <c r="P5" s="10"/>
      <c r="Q5" s="9"/>
      <c r="R5" s="9"/>
      <c r="S5" s="9"/>
      <c r="T5" s="9"/>
      <c r="U5" s="9"/>
    </row>
    <row r="6" spans="1:21" ht="17.399999999999999" customHeight="1" x14ac:dyDescent="0.3">
      <c r="C6" s="6"/>
      <c r="D6" s="6"/>
      <c r="M6" s="9"/>
      <c r="N6" s="9"/>
      <c r="O6" s="9"/>
      <c r="P6" s="10"/>
      <c r="Q6" s="9"/>
      <c r="R6" s="9"/>
      <c r="S6" s="9"/>
      <c r="T6" s="9"/>
      <c r="U6" s="9"/>
    </row>
    <row r="7" spans="1:21" ht="14.4" x14ac:dyDescent="0.3">
      <c r="M7" s="11"/>
      <c r="N7" s="11"/>
      <c r="O7" s="11"/>
      <c r="P7" s="11"/>
      <c r="Q7" s="11"/>
      <c r="R7" s="11"/>
      <c r="S7" s="11"/>
      <c r="T7" s="11"/>
      <c r="U7" s="11"/>
    </row>
    <row r="8" spans="1:21" ht="14.4" x14ac:dyDescent="0.3">
      <c r="M8" s="11"/>
      <c r="N8" s="11"/>
      <c r="O8" s="11"/>
      <c r="P8" s="11"/>
      <c r="Q8" s="11"/>
      <c r="R8" s="11"/>
      <c r="S8" s="11"/>
      <c r="T8" s="11"/>
      <c r="U8" s="11"/>
    </row>
    <row r="9" spans="1:21" ht="14.4" x14ac:dyDescent="0.3">
      <c r="M9" s="11"/>
      <c r="N9" s="11"/>
      <c r="O9" s="11"/>
      <c r="P9" s="11"/>
      <c r="Q9" s="11"/>
      <c r="R9" s="11"/>
      <c r="S9" s="11"/>
      <c r="T9" s="11"/>
      <c r="U9" s="11"/>
    </row>
    <row r="11" spans="1:21" ht="14.4" x14ac:dyDescent="0.3">
      <c r="P11" s="20"/>
    </row>
    <row r="12" spans="1:21" x14ac:dyDescent="0.3">
      <c r="P12" s="5"/>
    </row>
    <row r="15" spans="1:21" x14ac:dyDescent="0.3">
      <c r="O15" s="5"/>
    </row>
    <row r="33" spans="6:10" x14ac:dyDescent="0.3">
      <c r="F33" s="5"/>
      <c r="G33" s="5"/>
    </row>
    <row r="35" spans="6:10" x14ac:dyDescent="0.3">
      <c r="J35" s="5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8C5B-0A34-4C05-8055-756E485EBFF6}">
  <dimension ref="A1:W8"/>
  <sheetViews>
    <sheetView topLeftCell="E1" workbookViewId="0">
      <selection activeCell="P12" sqref="P12"/>
    </sheetView>
  </sheetViews>
  <sheetFormatPr defaultRowHeight="14.4" x14ac:dyDescent="0.3"/>
  <cols>
    <col min="1" max="1" width="14.33203125" style="11" bestFit="1" customWidth="1"/>
    <col min="2" max="2" width="24.6640625" style="11" customWidth="1"/>
    <col min="3" max="3" width="17.109375" style="11" customWidth="1"/>
    <col min="4" max="4" width="16.33203125" style="11" bestFit="1" customWidth="1"/>
    <col min="5" max="5" width="15.109375" style="11" bestFit="1" customWidth="1"/>
    <col min="6" max="6" width="16.33203125" style="11" bestFit="1" customWidth="1"/>
    <col min="7" max="7" width="8.88671875" style="11"/>
    <col min="8" max="8" width="14.88671875" style="11" customWidth="1"/>
    <col min="9" max="9" width="18.33203125" style="11" customWidth="1"/>
    <col min="10" max="11" width="12.109375" style="11" customWidth="1"/>
    <col min="12" max="12" width="13" style="11" customWidth="1"/>
    <col min="13" max="13" width="11.5546875" style="11" bestFit="1" customWidth="1"/>
    <col min="14" max="14" width="8.44140625" style="11" customWidth="1"/>
    <col min="15" max="15" width="10.33203125" style="11" bestFit="1" customWidth="1"/>
    <col min="16" max="16" width="12.33203125" style="11" customWidth="1"/>
    <col min="17" max="16384" width="8.88671875" style="11"/>
  </cols>
  <sheetData>
    <row r="1" spans="1:23" x14ac:dyDescent="0.3">
      <c r="A1" s="11" t="s">
        <v>87</v>
      </c>
      <c r="B1" s="48" t="s">
        <v>136</v>
      </c>
      <c r="C1" s="49"/>
      <c r="D1" s="49"/>
      <c r="E1" s="49"/>
      <c r="F1" s="49"/>
      <c r="G1" s="49"/>
    </row>
    <row r="2" spans="1:23" ht="57.6" x14ac:dyDescent="0.3">
      <c r="A2" s="3" t="s">
        <v>3</v>
      </c>
      <c r="B2" s="3" t="s">
        <v>4</v>
      </c>
      <c r="C2" s="3" t="s">
        <v>5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14</v>
      </c>
      <c r="K2" s="3" t="s">
        <v>15</v>
      </c>
      <c r="L2" s="3" t="s">
        <v>26</v>
      </c>
      <c r="M2" s="3" t="s">
        <v>46</v>
      </c>
      <c r="N2" s="7" t="s">
        <v>88</v>
      </c>
      <c r="O2" s="7" t="s">
        <v>89</v>
      </c>
      <c r="P2" s="7" t="s">
        <v>90</v>
      </c>
    </row>
    <row r="3" spans="1:23" x14ac:dyDescent="0.3">
      <c r="A3" s="2">
        <v>9</v>
      </c>
      <c r="B3" s="2" t="s">
        <v>25</v>
      </c>
      <c r="C3" s="6">
        <v>83</v>
      </c>
      <c r="D3" s="6">
        <v>757</v>
      </c>
      <c r="E3" s="2">
        <v>1</v>
      </c>
      <c r="F3" s="2">
        <v>1231</v>
      </c>
      <c r="G3" s="2">
        <v>134</v>
      </c>
      <c r="H3" s="2">
        <v>1231</v>
      </c>
      <c r="I3" s="2">
        <v>45504</v>
      </c>
      <c r="J3" s="2">
        <v>22.95</v>
      </c>
      <c r="K3" s="2">
        <v>1947.69</v>
      </c>
      <c r="L3" s="2">
        <v>486.92250000000001</v>
      </c>
      <c r="M3">
        <v>610.01650799999993</v>
      </c>
      <c r="N3" s="8">
        <v>123.09400799999992</v>
      </c>
      <c r="Q3" s="50" t="s">
        <v>133</v>
      </c>
      <c r="R3" s="50"/>
      <c r="S3" s="50"/>
      <c r="T3" s="50"/>
      <c r="U3" s="50"/>
      <c r="V3" s="50"/>
      <c r="W3" s="50"/>
    </row>
    <row r="5" spans="1:23" x14ac:dyDescent="0.3">
      <c r="A5" s="49" t="s">
        <v>137</v>
      </c>
      <c r="B5" s="49"/>
      <c r="C5" s="49"/>
      <c r="D5" s="49"/>
      <c r="E5" s="49"/>
      <c r="F5" s="49"/>
      <c r="G5" s="49"/>
      <c r="H5" s="49"/>
    </row>
    <row r="6" spans="1:23" x14ac:dyDescent="0.3">
      <c r="A6" s="12" t="s">
        <v>91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23" x14ac:dyDescent="0.3">
      <c r="A7" s="12" t="s">
        <v>19</v>
      </c>
      <c r="B7" s="12" t="s">
        <v>151</v>
      </c>
      <c r="C7" s="12" t="s">
        <v>152</v>
      </c>
      <c r="D7" s="12" t="s">
        <v>92</v>
      </c>
      <c r="E7" s="12" t="s">
        <v>94</v>
      </c>
      <c r="F7" s="12" t="s">
        <v>93</v>
      </c>
      <c r="G7" s="12"/>
      <c r="H7" s="12" t="s">
        <v>95</v>
      </c>
      <c r="I7" s="12" t="s">
        <v>153</v>
      </c>
      <c r="J7" s="12" t="s">
        <v>98</v>
      </c>
      <c r="K7" s="12" t="s">
        <v>96</v>
      </c>
      <c r="L7" s="12" t="s">
        <v>97</v>
      </c>
      <c r="M7" s="12"/>
      <c r="N7" s="12" t="s">
        <v>99</v>
      </c>
      <c r="O7" s="12"/>
      <c r="P7" s="12" t="s">
        <v>154</v>
      </c>
    </row>
    <row r="8" spans="1:23" x14ac:dyDescent="0.3">
      <c r="A8" s="14" t="s">
        <v>76</v>
      </c>
      <c r="B8" s="9">
        <v>100</v>
      </c>
      <c r="C8" s="12">
        <v>1</v>
      </c>
      <c r="D8" s="12">
        <f>C8*B8</f>
        <v>100</v>
      </c>
      <c r="E8" s="9">
        <v>82.78</v>
      </c>
      <c r="F8" s="9">
        <f>E8*D8</f>
        <v>8278</v>
      </c>
      <c r="G8" s="12"/>
      <c r="H8" s="13">
        <v>45419</v>
      </c>
      <c r="I8" s="12">
        <v>182.45</v>
      </c>
      <c r="J8" s="12">
        <f>I8*C8</f>
        <v>182.45</v>
      </c>
      <c r="K8" s="12">
        <v>83.08</v>
      </c>
      <c r="L8" s="12">
        <f>K8*J8</f>
        <v>15157.945999999998</v>
      </c>
      <c r="M8" s="12"/>
      <c r="N8" s="12">
        <f>L8 - F8</f>
        <v>6879.9459999999981</v>
      </c>
      <c r="O8" s="12"/>
      <c r="P8" s="12">
        <f>N8*0.3124</f>
        <v>2149.2951303999994</v>
      </c>
    </row>
  </sheetData>
  <mergeCells count="3">
    <mergeCell ref="B1:G1"/>
    <mergeCell ref="Q3:W3"/>
    <mergeCell ref="A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6A94-A28D-49A0-9E93-E290917C2700}">
  <dimension ref="A1:Y48"/>
  <sheetViews>
    <sheetView zoomScaleNormal="100" workbookViewId="0">
      <selection activeCell="J8" sqref="J8"/>
    </sheetView>
  </sheetViews>
  <sheetFormatPr defaultRowHeight="14.4" x14ac:dyDescent="0.3"/>
  <cols>
    <col min="1" max="1" width="25.77734375" style="1" customWidth="1"/>
    <col min="2" max="2" width="14.6640625" style="1" bestFit="1" customWidth="1"/>
    <col min="3" max="3" width="14.109375" style="1" customWidth="1"/>
    <col min="4" max="4" width="17" style="1" customWidth="1"/>
    <col min="5" max="5" width="9.88671875" style="1" bestFit="1" customWidth="1"/>
    <col min="6" max="6" width="10.21875" style="1" customWidth="1"/>
    <col min="7" max="7" width="10.88671875" style="1" customWidth="1"/>
    <col min="8" max="8" width="16.88671875" style="1" customWidth="1"/>
    <col min="9" max="9" width="13.33203125" style="1" customWidth="1"/>
    <col min="10" max="10" width="17.109375" style="1" customWidth="1"/>
    <col min="11" max="11" width="15.44140625" style="1" customWidth="1"/>
    <col min="12" max="12" width="14.5546875" style="1" customWidth="1"/>
    <col min="13" max="13" width="13.109375" style="1" customWidth="1"/>
    <col min="14" max="14" width="12.33203125" style="1" customWidth="1"/>
    <col min="15" max="15" width="10.6640625" style="1" customWidth="1"/>
    <col min="16" max="16" width="11.109375" style="1" customWidth="1"/>
    <col min="17" max="17" width="15" style="1" customWidth="1"/>
    <col min="18" max="18" width="13.88671875" style="1" customWidth="1"/>
    <col min="19" max="19" width="17.21875" style="1" customWidth="1"/>
    <col min="20" max="20" width="16.5546875" style="1" customWidth="1"/>
    <col min="21" max="21" width="14.33203125" style="1" customWidth="1"/>
    <col min="22" max="22" width="14" style="1" customWidth="1"/>
    <col min="23" max="23" width="10.44140625" style="1" customWidth="1"/>
    <col min="24" max="24" width="8.5546875" style="1" customWidth="1"/>
    <col min="25" max="25" width="12.5546875" style="1" customWidth="1"/>
    <col min="26" max="16384" width="8.88671875" style="1"/>
  </cols>
  <sheetData>
    <row r="1" spans="1:25" x14ac:dyDescent="0.3">
      <c r="A1" s="42" t="s">
        <v>139</v>
      </c>
      <c r="B1" s="43"/>
      <c r="C1" s="43"/>
      <c r="D1" s="43"/>
      <c r="E1" s="43"/>
      <c r="F1" s="43"/>
      <c r="G1" s="44"/>
      <c r="H1" s="39" t="s">
        <v>59</v>
      </c>
      <c r="I1" s="39"/>
      <c r="J1" s="39"/>
      <c r="K1" s="39"/>
      <c r="L1" s="39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3">
      <c r="A2" s="43"/>
      <c r="B2" s="43"/>
      <c r="C2" s="43"/>
      <c r="D2" s="43"/>
      <c r="E2" s="43"/>
      <c r="F2" s="43"/>
      <c r="G2" s="44"/>
      <c r="H2" s="39" t="s">
        <v>60</v>
      </c>
      <c r="I2" s="39"/>
      <c r="J2" s="39"/>
      <c r="K2" s="39"/>
      <c r="L2" s="21">
        <v>58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28.8" x14ac:dyDescent="0.3">
      <c r="A3" s="15" t="s">
        <v>28</v>
      </c>
      <c r="B3" s="15"/>
      <c r="C3" s="15" t="s">
        <v>44</v>
      </c>
      <c r="D3" s="15"/>
      <c r="E3" s="15"/>
      <c r="F3" s="15"/>
      <c r="G3" s="15"/>
      <c r="H3" s="39" t="s">
        <v>61</v>
      </c>
      <c r="I3" s="39"/>
      <c r="J3" s="39"/>
      <c r="K3" s="39"/>
      <c r="L3" s="21">
        <f>SUM(N8:N10,N11)</f>
        <v>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43.2" x14ac:dyDescent="0.3">
      <c r="A4" s="15" t="s">
        <v>29</v>
      </c>
      <c r="B4" s="15"/>
      <c r="C4" s="15" t="s">
        <v>45</v>
      </c>
      <c r="D4" s="15"/>
      <c r="E4" s="15"/>
      <c r="F4" s="15"/>
      <c r="G4" s="15"/>
      <c r="H4" s="39" t="s">
        <v>102</v>
      </c>
      <c r="I4" s="39"/>
      <c r="J4" s="39"/>
      <c r="K4" s="39"/>
      <c r="L4" s="21">
        <f>L2-L3</f>
        <v>58</v>
      </c>
      <c r="M4" s="15"/>
      <c r="N4" s="15"/>
      <c r="O4" s="15"/>
      <c r="P4" s="15"/>
      <c r="Q4" s="15"/>
      <c r="R4" s="15"/>
      <c r="S4" s="15"/>
      <c r="T4" s="21" t="s">
        <v>80</v>
      </c>
      <c r="U4" s="21" t="s">
        <v>81</v>
      </c>
      <c r="V4" s="15"/>
      <c r="W4" s="15"/>
      <c r="X4" s="15"/>
      <c r="Y4" s="15"/>
    </row>
    <row r="5" spans="1:25" ht="43.2" x14ac:dyDescent="0.3">
      <c r="A5" s="15" t="s">
        <v>30</v>
      </c>
      <c r="B5" s="15"/>
      <c r="C5" s="15">
        <v>92121</v>
      </c>
      <c r="D5" s="15"/>
      <c r="E5" s="15"/>
      <c r="F5" s="15"/>
      <c r="G5" s="15"/>
      <c r="H5" s="21" t="s">
        <v>62</v>
      </c>
      <c r="I5" s="21"/>
      <c r="J5" s="21"/>
      <c r="K5" s="21"/>
      <c r="L5" s="21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28.8" x14ac:dyDescent="0.3">
      <c r="A6" s="15" t="s">
        <v>31</v>
      </c>
      <c r="B6" s="15"/>
      <c r="C6" s="15" t="s">
        <v>144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72" x14ac:dyDescent="0.3">
      <c r="A7" s="15"/>
      <c r="B7" s="15"/>
      <c r="C7" s="16" t="s">
        <v>0</v>
      </c>
      <c r="D7" s="16" t="s">
        <v>1</v>
      </c>
      <c r="E7" s="16" t="s">
        <v>2</v>
      </c>
      <c r="F7" s="16" t="s">
        <v>63</v>
      </c>
      <c r="G7" s="16" t="s">
        <v>64</v>
      </c>
      <c r="H7" s="16" t="s">
        <v>65</v>
      </c>
      <c r="I7" s="16" t="s">
        <v>73</v>
      </c>
      <c r="J7" s="16" t="s">
        <v>49</v>
      </c>
      <c r="K7" s="16" t="s">
        <v>40</v>
      </c>
      <c r="L7" s="16" t="s">
        <v>74</v>
      </c>
      <c r="M7" s="16" t="s">
        <v>43</v>
      </c>
      <c r="N7" s="16" t="s">
        <v>50</v>
      </c>
      <c r="O7" s="16" t="s">
        <v>51</v>
      </c>
      <c r="P7" s="16" t="s">
        <v>77</v>
      </c>
      <c r="Q7" s="16" t="s">
        <v>82</v>
      </c>
      <c r="R7" s="16">
        <f>SUM(Q8:Q11)</f>
        <v>0</v>
      </c>
      <c r="S7" s="15" t="s">
        <v>84</v>
      </c>
      <c r="T7" s="16"/>
      <c r="U7" s="16"/>
      <c r="V7" s="16" t="s">
        <v>56</v>
      </c>
      <c r="W7" s="16" t="s">
        <v>57</v>
      </c>
      <c r="X7" s="16" t="s">
        <v>58</v>
      </c>
      <c r="Y7" s="15"/>
    </row>
    <row r="8" spans="1:25" x14ac:dyDescent="0.3">
      <c r="A8" s="15" t="s">
        <v>42</v>
      </c>
      <c r="B8" s="15"/>
      <c r="C8" s="21" t="s">
        <v>72</v>
      </c>
      <c r="D8" s="17">
        <v>45461</v>
      </c>
      <c r="E8" s="21">
        <v>227.09</v>
      </c>
      <c r="F8" s="21">
        <v>83.12</v>
      </c>
      <c r="G8" s="21">
        <v>153.62</v>
      </c>
      <c r="H8" s="21">
        <v>85.2</v>
      </c>
      <c r="I8" s="21" t="s">
        <v>100</v>
      </c>
      <c r="J8" s="23">
        <v>45372</v>
      </c>
      <c r="K8" s="24">
        <v>0.8</v>
      </c>
      <c r="L8" s="25">
        <v>82.49</v>
      </c>
      <c r="M8" s="18">
        <v>0</v>
      </c>
      <c r="N8" s="18">
        <v>0</v>
      </c>
      <c r="O8" s="21">
        <f>M8*L9</f>
        <v>0</v>
      </c>
      <c r="P8" s="21">
        <f>VALUE(N8)*L9</f>
        <v>0</v>
      </c>
      <c r="Q8" s="21">
        <f>0.3132*O8</f>
        <v>0</v>
      </c>
      <c r="R8" s="21">
        <f>SUM((O8:O11))</f>
        <v>0</v>
      </c>
      <c r="S8" s="15" t="s">
        <v>78</v>
      </c>
      <c r="T8" s="21" t="s">
        <v>53</v>
      </c>
      <c r="U8" s="21">
        <v>0.3</v>
      </c>
      <c r="V8" s="21">
        <f>R8*U8</f>
        <v>0</v>
      </c>
      <c r="W8" s="21">
        <f>V11</f>
        <v>0</v>
      </c>
      <c r="X8" s="21"/>
      <c r="Y8" s="15"/>
    </row>
    <row r="9" spans="1:25" x14ac:dyDescent="0.3">
      <c r="A9" s="45" t="s">
        <v>138</v>
      </c>
      <c r="B9" s="46"/>
      <c r="C9" s="46"/>
      <c r="D9" s="46"/>
      <c r="E9" s="46"/>
      <c r="F9" s="46"/>
      <c r="G9" s="46"/>
      <c r="H9" s="53"/>
      <c r="I9" s="21" t="s">
        <v>36</v>
      </c>
      <c r="J9" s="17">
        <v>45463</v>
      </c>
      <c r="K9" s="21">
        <v>0.85</v>
      </c>
      <c r="L9" s="21">
        <v>83.05</v>
      </c>
      <c r="M9" s="18">
        <v>0</v>
      </c>
      <c r="N9" s="18">
        <v>0</v>
      </c>
      <c r="O9" s="21">
        <f>M9*L10</f>
        <v>0</v>
      </c>
      <c r="P9" s="21">
        <f>VALUE(N9)*L10</f>
        <v>0</v>
      </c>
      <c r="Q9" s="21">
        <f t="shared" ref="Q9:Q11" si="0">0.3132*O9</f>
        <v>0</v>
      </c>
      <c r="R9" s="18">
        <f>SUM(M8:M11)</f>
        <v>0</v>
      </c>
      <c r="S9" s="15" t="s">
        <v>79</v>
      </c>
      <c r="T9" s="21" t="s">
        <v>70</v>
      </c>
      <c r="U9" s="21">
        <v>0</v>
      </c>
      <c r="V9" s="21">
        <f>$R$8*U9</f>
        <v>0</v>
      </c>
      <c r="W9" s="21">
        <f>SUM(P8:P11)</f>
        <v>0</v>
      </c>
      <c r="X9" s="21"/>
      <c r="Y9" s="15"/>
    </row>
    <row r="10" spans="1:25" x14ac:dyDescent="0.3">
      <c r="A10" s="46"/>
      <c r="B10" s="46"/>
      <c r="C10" s="46"/>
      <c r="D10" s="46"/>
      <c r="E10" s="46"/>
      <c r="F10" s="46"/>
      <c r="G10" s="46"/>
      <c r="H10" s="53"/>
      <c r="I10" s="21" t="s">
        <v>37</v>
      </c>
      <c r="J10" s="17">
        <v>45561</v>
      </c>
      <c r="K10" s="21">
        <v>0.85</v>
      </c>
      <c r="L10" s="21">
        <v>83.5</v>
      </c>
      <c r="M10" s="18">
        <v>0</v>
      </c>
      <c r="N10" s="18">
        <v>0</v>
      </c>
      <c r="O10" s="21">
        <f>M10*L11</f>
        <v>0</v>
      </c>
      <c r="P10" s="21">
        <f>VALUE(N10)*L11</f>
        <v>0</v>
      </c>
      <c r="Q10" s="21">
        <f t="shared" si="0"/>
        <v>0</v>
      </c>
      <c r="R10" s="21">
        <f>SUM((P8:P11))</f>
        <v>0</v>
      </c>
      <c r="S10" s="15" t="s">
        <v>85</v>
      </c>
      <c r="T10" s="21" t="s">
        <v>54</v>
      </c>
      <c r="U10" s="21">
        <f>0.04*0.33</f>
        <v>1.3200000000000002E-2</v>
      </c>
      <c r="V10" s="21">
        <f>$R$8*U10</f>
        <v>0</v>
      </c>
      <c r="W10" s="21"/>
      <c r="X10" s="21"/>
      <c r="Y10" s="15"/>
    </row>
    <row r="11" spans="1:25" x14ac:dyDescent="0.3">
      <c r="A11" s="46"/>
      <c r="B11" s="46"/>
      <c r="C11" s="46"/>
      <c r="D11" s="46"/>
      <c r="E11" s="46"/>
      <c r="F11" s="46"/>
      <c r="G11" s="46"/>
      <c r="H11" s="53"/>
      <c r="I11" s="21" t="s">
        <v>38</v>
      </c>
      <c r="J11" s="17">
        <v>45645</v>
      </c>
      <c r="K11" s="21">
        <v>0.85</v>
      </c>
      <c r="L11" s="21">
        <v>84.15</v>
      </c>
      <c r="M11" s="24">
        <v>0</v>
      </c>
      <c r="N11" s="18">
        <v>0</v>
      </c>
      <c r="O11" s="21">
        <f>M11*L8</f>
        <v>0</v>
      </c>
      <c r="P11" s="21">
        <f>VALUE(N11)*L8</f>
        <v>0</v>
      </c>
      <c r="Q11" s="21">
        <f t="shared" si="0"/>
        <v>0</v>
      </c>
      <c r="R11" s="18">
        <f>SUM(N8:N11)</f>
        <v>0</v>
      </c>
      <c r="S11" s="15" t="s">
        <v>86</v>
      </c>
      <c r="T11" s="21" t="s">
        <v>55</v>
      </c>
      <c r="U11" s="21">
        <f>SUM(U8:U10)</f>
        <v>0.31319999999999998</v>
      </c>
      <c r="V11" s="21">
        <f>$R$8*U11</f>
        <v>0</v>
      </c>
      <c r="W11" s="21">
        <f>V11-SUM(P8:P11)</f>
        <v>0</v>
      </c>
      <c r="X11" s="21">
        <f>SUM($Y:$Y)</f>
        <v>725.47279999999955</v>
      </c>
      <c r="Y11" s="15"/>
    </row>
    <row r="12" spans="1:25" x14ac:dyDescent="0.3">
      <c r="A12" s="40" t="s">
        <v>149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s="22" customFormat="1" ht="57.6" x14ac:dyDescent="0.3">
      <c r="A13" s="16" t="s">
        <v>3</v>
      </c>
      <c r="B13" s="16" t="s">
        <v>4</v>
      </c>
      <c r="C13" s="16" t="s">
        <v>5</v>
      </c>
      <c r="D13" s="16" t="s">
        <v>6</v>
      </c>
      <c r="E13" s="16" t="s">
        <v>7</v>
      </c>
      <c r="F13" s="16" t="s">
        <v>8</v>
      </c>
      <c r="G13" s="16" t="s">
        <v>9</v>
      </c>
      <c r="H13" s="16" t="s">
        <v>10</v>
      </c>
      <c r="I13" s="16" t="s">
        <v>27</v>
      </c>
      <c r="J13" s="16" t="s">
        <v>11</v>
      </c>
      <c r="K13" s="16" t="s">
        <v>12</v>
      </c>
      <c r="L13" s="16" t="s">
        <v>13</v>
      </c>
      <c r="M13" s="16" t="s">
        <v>14</v>
      </c>
      <c r="N13" s="16" t="s">
        <v>15</v>
      </c>
      <c r="O13" s="16" t="s">
        <v>16</v>
      </c>
      <c r="P13" s="16" t="s">
        <v>26</v>
      </c>
      <c r="Q13" s="16" t="s">
        <v>46</v>
      </c>
      <c r="R13" s="16" t="s">
        <v>34</v>
      </c>
      <c r="S13" s="16" t="s">
        <v>35</v>
      </c>
      <c r="T13" s="16" t="s">
        <v>41</v>
      </c>
      <c r="U13" s="16" t="s">
        <v>43</v>
      </c>
      <c r="V13" s="16" t="s">
        <v>52</v>
      </c>
      <c r="W13" s="16" t="s">
        <v>47</v>
      </c>
      <c r="X13" s="16" t="s">
        <v>83</v>
      </c>
      <c r="Y13" s="16" t="s">
        <v>48</v>
      </c>
    </row>
    <row r="14" spans="1:25" ht="18" customHeight="1" x14ac:dyDescent="0.3">
      <c r="A14" s="2">
        <v>12312</v>
      </c>
      <c r="B14" s="11" t="s">
        <v>134</v>
      </c>
      <c r="C14" s="11" t="s">
        <v>66</v>
      </c>
      <c r="D14" s="11" t="s">
        <v>67</v>
      </c>
      <c r="E14" s="11" t="s">
        <v>17</v>
      </c>
      <c r="F14" s="11">
        <v>100</v>
      </c>
      <c r="G14" s="11" t="s">
        <v>18</v>
      </c>
      <c r="H14" s="11">
        <v>100</v>
      </c>
      <c r="I14" s="11">
        <v>34.32</v>
      </c>
      <c r="J14" s="11">
        <v>1</v>
      </c>
      <c r="K14" s="11">
        <v>1</v>
      </c>
      <c r="L14" s="11" t="s">
        <v>143</v>
      </c>
      <c r="M14" s="11">
        <v>10</v>
      </c>
      <c r="N14" s="11">
        <v>2312312</v>
      </c>
      <c r="O14" s="11">
        <v>1231212</v>
      </c>
      <c r="P14" s="11">
        <v>30</v>
      </c>
      <c r="Q14" s="21">
        <f>ROUND(N14-O14, 0)</f>
        <v>1081100</v>
      </c>
      <c r="R14" s="21">
        <f>ROUND(FA!$E$8*FA!$F$8*P14,0)</f>
        <v>566272</v>
      </c>
      <c r="S14" s="21">
        <f>ROUND(FA!$G$8*FA!$H$8*P14, 0)</f>
        <v>392653</v>
      </c>
      <c r="T14" s="17">
        <f t="shared" ref="T14" si="1">DATE(VALUE(RIGHT(D14,4)), IFERROR(VALUE(LEFT(D14,2)), VALUE(LEFT(D14,1))), IFERROR(VALUE(MID(D14,3,2)),VALUE(MID(D14,4,2))))</f>
        <v>45250</v>
      </c>
      <c r="U14" s="21">
        <f t="shared" ref="U14" si="2">IF($T14&lt;$J$9,1,0)*$K$9*P14 + IF($T14&lt;$J$10,1,0)*$K$10*P14 + IF($T14&lt;$J$11,1,0)*$K$11*P14 + IF($T14&lt;$J$8,1,0)*$K$8*P14</f>
        <v>100.5</v>
      </c>
      <c r="V14" s="21">
        <f>ROUND((IF($T14&lt;$J$9,1,0)*$K$9*$L$9 + IF($T14&lt;$J$10,1,0)*$K$10*$L$10 + IF($T14&lt;$J$11,1,0)*$K$11*$L$11 + IF($T14&lt;$J$8,1,0)*$K$8*$L$8)*$P14, 0)</f>
        <v>8373</v>
      </c>
      <c r="W14" s="21">
        <f t="shared" ref="W14" si="3">0.25*V14</f>
        <v>2093.25</v>
      </c>
      <c r="X14" s="21">
        <f t="shared" ref="X14" si="4">0.3132*V14</f>
        <v>2622.4235999999996</v>
      </c>
      <c r="Y14" s="21">
        <f t="shared" ref="Y14" si="5">X14-W14</f>
        <v>529.17359999999962</v>
      </c>
    </row>
    <row r="15" spans="1:25" ht="18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21"/>
      <c r="R15" s="21"/>
      <c r="S15" s="21"/>
      <c r="T15" s="17"/>
      <c r="U15" s="21"/>
      <c r="V15" s="21"/>
      <c r="W15" s="21"/>
      <c r="X15" s="21"/>
      <c r="Y15" s="21"/>
    </row>
    <row r="16" spans="1:25" ht="18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1"/>
      <c r="R16" s="21"/>
      <c r="S16" s="21"/>
      <c r="T16" s="17"/>
      <c r="U16" s="21"/>
      <c r="V16" s="21"/>
      <c r="W16" s="21"/>
      <c r="X16" s="21"/>
      <c r="Y16" s="21"/>
    </row>
    <row r="17" spans="1:2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1"/>
      <c r="R17" s="21"/>
      <c r="S17" s="21"/>
      <c r="T17" s="17"/>
      <c r="U17" s="21"/>
      <c r="V17" s="21"/>
      <c r="W17" s="21"/>
      <c r="X17" s="21"/>
      <c r="Y17" s="21"/>
    </row>
    <row r="18" spans="1:2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21"/>
      <c r="R18" s="21"/>
      <c r="S18" s="21"/>
      <c r="T18" s="17"/>
      <c r="U18" s="21"/>
      <c r="V18" s="21"/>
      <c r="W18" s="21"/>
      <c r="X18" s="21"/>
      <c r="Y18" s="21"/>
    </row>
    <row r="19" spans="1:25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1"/>
      <c r="R19" s="21"/>
      <c r="S19" s="21"/>
      <c r="T19" s="17"/>
      <c r="U19" s="21"/>
      <c r="V19" s="21"/>
      <c r="W19" s="21"/>
      <c r="X19" s="21"/>
      <c r="Y19" s="21"/>
    </row>
    <row r="20" spans="1:2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1"/>
      <c r="R20" s="21"/>
      <c r="S20" s="21"/>
      <c r="T20" s="17"/>
      <c r="U20" s="21"/>
      <c r="V20" s="21"/>
      <c r="W20" s="21"/>
      <c r="X20" s="21"/>
      <c r="Y20" s="21"/>
    </row>
    <row r="21" spans="1:25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21"/>
      <c r="R21" s="21"/>
      <c r="S21" s="21"/>
      <c r="T21" s="17"/>
      <c r="U21" s="21"/>
      <c r="V21" s="21"/>
      <c r="W21" s="21"/>
      <c r="X21" s="21"/>
      <c r="Y21" s="21"/>
    </row>
    <row r="22" spans="1:2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21"/>
      <c r="R22" s="21"/>
      <c r="S22" s="21"/>
      <c r="T22" s="17"/>
      <c r="U22" s="21"/>
      <c r="V22" s="21"/>
      <c r="W22" s="21"/>
      <c r="X22" s="21"/>
      <c r="Y22" s="21"/>
    </row>
    <row r="23" spans="1:25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/>
      <c r="R23"/>
      <c r="S23"/>
      <c r="T23"/>
      <c r="U23"/>
      <c r="V23"/>
      <c r="W23"/>
      <c r="X23"/>
      <c r="Y23"/>
    </row>
    <row r="24" spans="1:25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/>
      <c r="R24"/>
      <c r="S24"/>
      <c r="T24"/>
      <c r="U24"/>
      <c r="V24"/>
      <c r="W24"/>
      <c r="X24"/>
      <c r="Y24"/>
    </row>
    <row r="25" spans="1:25" x14ac:dyDescent="0.3">
      <c r="A25" s="11"/>
      <c r="B25" s="11"/>
      <c r="C25" s="11"/>
      <c r="D25" s="11"/>
      <c r="E25" s="40" t="s">
        <v>150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/>
      <c r="R25"/>
      <c r="S25"/>
      <c r="T25"/>
      <c r="U25"/>
      <c r="V25"/>
      <c r="W25"/>
      <c r="X25"/>
      <c r="Y25"/>
    </row>
    <row r="26" spans="1:25" ht="57.6" x14ac:dyDescent="0.3">
      <c r="E26" s="3" t="s">
        <v>3</v>
      </c>
      <c r="F26" s="3" t="s">
        <v>4</v>
      </c>
      <c r="G26" s="3" t="s">
        <v>5</v>
      </c>
      <c r="H26" s="3" t="s">
        <v>19</v>
      </c>
      <c r="I26" s="3" t="s">
        <v>20</v>
      </c>
      <c r="J26" s="3" t="s">
        <v>21</v>
      </c>
      <c r="K26" s="3" t="s">
        <v>22</v>
      </c>
      <c r="L26" s="3" t="s">
        <v>23</v>
      </c>
      <c r="M26" s="3" t="s">
        <v>24</v>
      </c>
      <c r="N26" s="3" t="s">
        <v>14</v>
      </c>
      <c r="O26" s="3" t="s">
        <v>15</v>
      </c>
      <c r="P26" s="3" t="s">
        <v>26</v>
      </c>
      <c r="Q26" s="3" t="s">
        <v>46</v>
      </c>
      <c r="R26" s="3" t="s">
        <v>32</v>
      </c>
      <c r="S26" s="3" t="s">
        <v>33</v>
      </c>
      <c r="T26" s="3" t="s">
        <v>41</v>
      </c>
      <c r="U26" s="3" t="s">
        <v>43</v>
      </c>
      <c r="V26" s="3" t="s">
        <v>52</v>
      </c>
      <c r="W26" s="3" t="s">
        <v>47</v>
      </c>
      <c r="X26" s="3" t="s">
        <v>83</v>
      </c>
      <c r="Y26" s="3" t="s">
        <v>48</v>
      </c>
    </row>
    <row r="27" spans="1:25" ht="26.4" customHeight="1" x14ac:dyDescent="0.3">
      <c r="A27" s="51" t="s">
        <v>141</v>
      </c>
      <c r="B27" s="51"/>
      <c r="C27" s="51"/>
      <c r="E27" s="2">
        <v>12312</v>
      </c>
      <c r="F27" s="2" t="s">
        <v>134</v>
      </c>
      <c r="G27" s="6" t="s">
        <v>69</v>
      </c>
      <c r="H27" s="6" t="s">
        <v>76</v>
      </c>
      <c r="I27" s="2">
        <v>9</v>
      </c>
      <c r="J27" s="2">
        <v>112.3445</v>
      </c>
      <c r="K27" s="2">
        <v>148.51</v>
      </c>
      <c r="L27" s="2">
        <v>325.49</v>
      </c>
      <c r="M27" s="2" t="s">
        <v>25</v>
      </c>
      <c r="N27" s="2">
        <v>82.78</v>
      </c>
      <c r="O27" s="2">
        <v>26944.0622</v>
      </c>
      <c r="P27" s="2">
        <v>9</v>
      </c>
      <c r="Q27" s="21">
        <f>ROUND(P27*K27*N27, 0)</f>
        <v>110643</v>
      </c>
      <c r="R27" s="21">
        <v>136422</v>
      </c>
      <c r="S27" s="21">
        <v>0</v>
      </c>
      <c r="T27" s="10">
        <f>DATE(VALUE(RIGHT(H27,4)), IFERROR(VALUE(LEFT(H27,2)), VALUE(LEFT(H27,1))), IFERROR(VALUE(MID(H27,3,2)),VALUE(MID(H27,4,2))))</f>
        <v>45322</v>
      </c>
      <c r="U27" s="21">
        <f>IF($T27&lt;FA!$J$8,1,0)*FA!$K$8*P27</f>
        <v>7.2</v>
      </c>
      <c r="V27" s="21">
        <f>ROUND((IF($T27&lt;FA!$J$8,1,0)*FA!$K$8*FA!$L$8)*$P27, 0)</f>
        <v>594</v>
      </c>
      <c r="W27" s="21">
        <f>0.25*V27</f>
        <v>148.5</v>
      </c>
      <c r="X27" s="21">
        <f>0.3132*V27</f>
        <v>186.04079999999999</v>
      </c>
      <c r="Y27" s="21">
        <f>X27-W27</f>
        <v>37.54079999999999</v>
      </c>
    </row>
    <row r="28" spans="1:25" ht="28.8" customHeight="1" x14ac:dyDescent="0.3">
      <c r="A28" s="52" t="s">
        <v>142</v>
      </c>
      <c r="B28" s="52"/>
      <c r="C28" s="52"/>
      <c r="E28" s="2">
        <v>12312</v>
      </c>
      <c r="F28" s="2" t="s">
        <v>134</v>
      </c>
      <c r="G28" s="6" t="s">
        <v>69</v>
      </c>
      <c r="H28" s="6" t="s">
        <v>76</v>
      </c>
      <c r="I28" s="2">
        <v>9</v>
      </c>
      <c r="J28" s="2">
        <v>112.3445</v>
      </c>
      <c r="K28" s="2">
        <v>148.51</v>
      </c>
      <c r="L28" s="2">
        <v>325.49</v>
      </c>
      <c r="M28" s="2" t="s">
        <v>25</v>
      </c>
      <c r="N28" s="2">
        <v>82.78</v>
      </c>
      <c r="O28" s="2">
        <v>26944.0622</v>
      </c>
      <c r="P28" s="2">
        <v>9</v>
      </c>
      <c r="Q28" s="28">
        <f>ROUND(P28*K28*N28, 0)</f>
        <v>110643</v>
      </c>
      <c r="R28" s="28">
        <f>ROUND(E8*F8*P28, 0)</f>
        <v>169881</v>
      </c>
      <c r="S28" s="28">
        <f>ROUND(G8*H8*P28, 0)</f>
        <v>117796</v>
      </c>
      <c r="T28" s="10">
        <f>DATE(VALUE(RIGHT(H28,4)), IFERROR(VALUE(LEFT(H28,2)), VALUE(LEFT(H28,1))), IFERROR(VALUE(MID(H28,3,2)),VALUE(MID(H28,4,2))))</f>
        <v>45322</v>
      </c>
      <c r="U28" s="28">
        <f>IF($T28&lt;FA!$J$8,1,0)*FA!$K$8*P28 + IF($T28&lt;FA!$J$9,1,0)*FA!$K$9*P28 + IF($T28&lt;FA!$J$10,1,0)*FA!$K$10*P28 + IF($T28&lt;FA!$J$11,1,0)*FA!$K$11*P28</f>
        <v>30.15</v>
      </c>
      <c r="V28" s="28">
        <f>ROUND((IF($T28&lt;FA!$J$8,1,0)*FA!$K$8*FA!$L$8 + IF($T28&lt;FA!$J$9,1,0)*FA!$K$9*FA!$L$9 + IF($T28&lt;FA!$J$10,1,0)*FA!$K$10*FA!$L$10 + IF($T28&lt;FA!$J$11,1,0)*FA!$K$11*FA!$L$11)*$P28, 0)</f>
        <v>2512</v>
      </c>
      <c r="W28" s="28">
        <f>0.25*V28</f>
        <v>628</v>
      </c>
      <c r="X28" s="28">
        <f>0.3132*V28</f>
        <v>786.75839999999994</v>
      </c>
      <c r="Y28" s="28">
        <f>X28-W28</f>
        <v>158.75839999999994</v>
      </c>
    </row>
    <row r="29" spans="1:25" x14ac:dyDescent="0.3">
      <c r="V29" s="2"/>
      <c r="W29" s="2"/>
      <c r="X29" s="2"/>
    </row>
    <row r="33" spans="1:17" x14ac:dyDescent="0.3">
      <c r="Q33" s="15"/>
    </row>
    <row r="37" spans="1:17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7" x14ac:dyDescent="0.3">
      <c r="A38"/>
      <c r="B38"/>
      <c r="C38"/>
      <c r="D38"/>
      <c r="E38"/>
      <c r="F38"/>
      <c r="G38" s="26"/>
      <c r="H38"/>
      <c r="I38"/>
      <c r="J38"/>
      <c r="K38"/>
      <c r="L38"/>
    </row>
    <row r="39" spans="1:17" x14ac:dyDescent="0.3">
      <c r="A39"/>
      <c r="B39"/>
      <c r="C39"/>
      <c r="D39"/>
      <c r="E39"/>
      <c r="F39"/>
      <c r="G39" s="26"/>
      <c r="H39"/>
      <c r="I39"/>
      <c r="J39"/>
      <c r="K39"/>
      <c r="L39"/>
    </row>
    <row r="40" spans="1:17" x14ac:dyDescent="0.3">
      <c r="A40"/>
      <c r="B40"/>
      <c r="C40"/>
      <c r="D40"/>
      <c r="E40"/>
      <c r="F40"/>
      <c r="G40" s="26"/>
      <c r="H40"/>
      <c r="I40"/>
      <c r="J40"/>
      <c r="K40"/>
      <c r="L40"/>
    </row>
    <row r="41" spans="1:17" x14ac:dyDescent="0.3">
      <c r="A41"/>
      <c r="B41"/>
      <c r="C41"/>
      <c r="D41"/>
      <c r="E41"/>
      <c r="F41"/>
      <c r="G41" s="26"/>
      <c r="H41"/>
      <c r="I41"/>
      <c r="J41"/>
      <c r="K41"/>
      <c r="L41"/>
    </row>
    <row r="42" spans="1:17" x14ac:dyDescent="0.3">
      <c r="A42"/>
      <c r="B42"/>
      <c r="C42"/>
      <c r="D42"/>
      <c r="E42"/>
      <c r="F42"/>
      <c r="G42" s="26"/>
      <c r="H42"/>
      <c r="I42"/>
      <c r="J42"/>
      <c r="K42"/>
      <c r="L42"/>
    </row>
    <row r="43" spans="1:17" x14ac:dyDescent="0.3">
      <c r="A43"/>
      <c r="B43"/>
      <c r="C43"/>
      <c r="D43"/>
      <c r="E43"/>
      <c r="F43"/>
      <c r="G43" s="26"/>
      <c r="H43"/>
      <c r="I43"/>
      <c r="J43"/>
      <c r="K43"/>
      <c r="L43"/>
    </row>
    <row r="44" spans="1:17" x14ac:dyDescent="0.3">
      <c r="A44"/>
      <c r="B44"/>
      <c r="C44"/>
      <c r="D44"/>
      <c r="E44"/>
      <c r="F44"/>
      <c r="G44" s="26"/>
      <c r="H44"/>
      <c r="I44"/>
      <c r="J44"/>
      <c r="K44"/>
      <c r="L44"/>
    </row>
    <row r="45" spans="1:17" x14ac:dyDescent="0.3">
      <c r="A45"/>
      <c r="B45"/>
      <c r="C45"/>
      <c r="D45"/>
      <c r="E45"/>
      <c r="F45"/>
      <c r="G45" s="26"/>
      <c r="H45"/>
      <c r="I45"/>
      <c r="J45"/>
      <c r="K45"/>
      <c r="L45"/>
    </row>
    <row r="46" spans="1:17" x14ac:dyDescent="0.3">
      <c r="A46"/>
      <c r="B46"/>
      <c r="C46"/>
      <c r="D46"/>
      <c r="E46"/>
      <c r="F46"/>
      <c r="G46" s="26"/>
      <c r="H46"/>
      <c r="I46"/>
      <c r="J46"/>
      <c r="K46"/>
      <c r="L46"/>
    </row>
    <row r="47" spans="1:17" x14ac:dyDescent="0.3">
      <c r="A47"/>
      <c r="B47"/>
      <c r="C47"/>
      <c r="D47"/>
      <c r="E47"/>
      <c r="F47"/>
      <c r="G47" s="26"/>
      <c r="H47"/>
      <c r="I47"/>
      <c r="J47"/>
      <c r="K47"/>
      <c r="L47"/>
    </row>
    <row r="48" spans="1:17" x14ac:dyDescent="0.3">
      <c r="A48"/>
      <c r="B48"/>
      <c r="C48"/>
      <c r="D48"/>
      <c r="E48"/>
      <c r="F48"/>
      <c r="G48" s="26"/>
      <c r="H48"/>
      <c r="I48"/>
      <c r="J48"/>
      <c r="K48"/>
      <c r="L48"/>
    </row>
  </sheetData>
  <mergeCells count="10">
    <mergeCell ref="A12:L12"/>
    <mergeCell ref="A1:G2"/>
    <mergeCell ref="E25:P25"/>
    <mergeCell ref="A27:C27"/>
    <mergeCell ref="A28:C28"/>
    <mergeCell ref="H1:L1"/>
    <mergeCell ref="H2:K2"/>
    <mergeCell ref="H3:K3"/>
    <mergeCell ref="H4:K4"/>
    <mergeCell ref="A9:H11"/>
  </mergeCells>
  <conditionalFormatting sqref="X11">
    <cfRule type="cellIs" dxfId="3" priority="2" operator="greaterThan">
      <formula>$W$11</formula>
    </cfRule>
    <cfRule type="cellIs" dxfId="2" priority="3" operator="lessThan">
      <formula>$W$11</formula>
    </cfRule>
    <cfRule type="cellIs" dxfId="1" priority="4" operator="lessThan">
      <formula>$W$11</formula>
    </cfRule>
  </conditionalFormatting>
  <conditionalFormatting sqref="L4">
    <cfRule type="cellIs" dxfId="0" priority="1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32B4-D155-4F4F-9116-4E424E2C4F7D}">
  <dimension ref="A1:J24"/>
  <sheetViews>
    <sheetView workbookViewId="0">
      <selection activeCell="M14" sqref="M14"/>
    </sheetView>
  </sheetViews>
  <sheetFormatPr defaultRowHeight="14.4" x14ac:dyDescent="0.3"/>
  <cols>
    <col min="1" max="1" width="36.44140625" customWidth="1"/>
    <col min="5" max="5" width="13.77734375" customWidth="1"/>
    <col min="6" max="6" width="13.109375" customWidth="1"/>
    <col min="7" max="7" width="15.44140625" customWidth="1"/>
    <col min="8" max="8" width="15.33203125" customWidth="1"/>
    <col min="10" max="10" width="18.6640625" customWidth="1"/>
    <col min="11" max="11" width="10.77734375" customWidth="1"/>
  </cols>
  <sheetData>
    <row r="1" spans="1:10" x14ac:dyDescent="0.3">
      <c r="H1" s="54" t="s">
        <v>124</v>
      </c>
      <c r="I1" s="54"/>
      <c r="J1" s="54"/>
    </row>
    <row r="2" spans="1:10" x14ac:dyDescent="0.3">
      <c r="A2" s="27"/>
      <c r="B2" s="27"/>
      <c r="C2" s="27" t="s">
        <v>107</v>
      </c>
      <c r="D2" s="27"/>
      <c r="E2" s="27" t="s">
        <v>117</v>
      </c>
      <c r="F2" s="27"/>
      <c r="G2" s="27" t="s">
        <v>123</v>
      </c>
      <c r="H2" s="55"/>
      <c r="I2" s="55"/>
      <c r="J2" s="55"/>
    </row>
    <row r="3" spans="1:10" ht="15" thickBot="1" x14ac:dyDescent="0.35">
      <c r="H3" s="55"/>
      <c r="I3" s="55"/>
      <c r="J3" s="55"/>
    </row>
    <row r="4" spans="1:10" ht="15.6" thickTop="1" thickBot="1" x14ac:dyDescent="0.35">
      <c r="A4" s="27" t="s">
        <v>108</v>
      </c>
      <c r="C4" s="30"/>
      <c r="E4" s="30"/>
      <c r="G4" s="30"/>
      <c r="H4" s="55"/>
      <c r="I4" s="55"/>
      <c r="J4" s="55"/>
    </row>
    <row r="5" spans="1:10" ht="15.6" thickTop="1" thickBot="1" x14ac:dyDescent="0.35">
      <c r="A5" s="27" t="s">
        <v>109</v>
      </c>
      <c r="C5" s="30"/>
      <c r="E5" s="30"/>
      <c r="G5" s="30"/>
      <c r="H5" s="55"/>
      <c r="I5" s="55"/>
      <c r="J5" s="55"/>
    </row>
    <row r="6" spans="1:10" ht="15.6" thickTop="1" thickBot="1" x14ac:dyDescent="0.35">
      <c r="A6" s="27"/>
      <c r="C6" s="31"/>
      <c r="E6" s="31"/>
      <c r="G6" s="30"/>
      <c r="H6" s="54"/>
      <c r="I6" s="54"/>
      <c r="J6" s="54"/>
    </row>
    <row r="7" spans="1:10" ht="15.6" thickTop="1" thickBot="1" x14ac:dyDescent="0.35">
      <c r="A7" s="27" t="s">
        <v>71</v>
      </c>
      <c r="C7" s="31"/>
      <c r="E7" s="30"/>
      <c r="G7" s="30"/>
      <c r="H7" s="54" t="s">
        <v>132</v>
      </c>
      <c r="I7" s="54"/>
      <c r="J7" s="54"/>
    </row>
    <row r="8" spans="1:10" ht="15.6" thickTop="1" thickBot="1" x14ac:dyDescent="0.35">
      <c r="A8" s="27" t="s">
        <v>118</v>
      </c>
      <c r="C8" s="31"/>
      <c r="E8" s="30"/>
      <c r="G8" s="30"/>
      <c r="H8" s="54" t="s">
        <v>118</v>
      </c>
      <c r="I8" s="54"/>
      <c r="J8" s="54"/>
    </row>
    <row r="9" spans="1:10" ht="15.6" thickTop="1" thickBot="1" x14ac:dyDescent="0.35">
      <c r="A9" s="27" t="s">
        <v>110</v>
      </c>
      <c r="C9" s="31"/>
      <c r="E9" s="31"/>
      <c r="G9" s="30"/>
      <c r="H9" s="54"/>
      <c r="I9" s="54"/>
      <c r="J9" s="54"/>
    </row>
    <row r="10" spans="1:10" ht="15.6" thickTop="1" thickBot="1" x14ac:dyDescent="0.35">
      <c r="A10" s="27"/>
      <c r="C10" s="31"/>
      <c r="E10" s="31"/>
      <c r="G10" s="30"/>
      <c r="H10" s="54"/>
      <c r="I10" s="54"/>
      <c r="J10" s="54"/>
    </row>
    <row r="11" spans="1:10" ht="15.6" thickTop="1" thickBot="1" x14ac:dyDescent="0.35">
      <c r="A11" s="27" t="s">
        <v>111</v>
      </c>
      <c r="C11" s="30"/>
      <c r="E11" s="30"/>
      <c r="G11" s="30"/>
      <c r="H11" s="56" t="s">
        <v>126</v>
      </c>
      <c r="I11" s="56"/>
      <c r="J11" s="56"/>
    </row>
    <row r="12" spans="1:10" ht="15.6" thickTop="1" thickBot="1" x14ac:dyDescent="0.35">
      <c r="A12" s="27" t="s">
        <v>112</v>
      </c>
      <c r="C12" s="30"/>
      <c r="E12" s="30"/>
      <c r="G12" s="30"/>
      <c r="H12" s="54"/>
      <c r="I12" s="54"/>
      <c r="J12" s="54"/>
    </row>
    <row r="13" spans="1:10" ht="15.6" thickTop="1" thickBot="1" x14ac:dyDescent="0.35">
      <c r="A13" s="27"/>
      <c r="C13" s="31"/>
      <c r="E13" s="31"/>
      <c r="G13" s="30"/>
      <c r="H13" s="54"/>
      <c r="I13" s="54"/>
      <c r="J13" s="54"/>
    </row>
    <row r="14" spans="1:10" ht="15.6" thickTop="1" thickBot="1" x14ac:dyDescent="0.35">
      <c r="A14" s="27" t="s">
        <v>114</v>
      </c>
      <c r="C14" s="30"/>
      <c r="E14" s="30"/>
      <c r="G14" s="30"/>
      <c r="H14" s="54" t="s">
        <v>125</v>
      </c>
      <c r="I14" s="54"/>
      <c r="J14" s="54"/>
    </row>
    <row r="15" spans="1:10" ht="15.6" thickTop="1" thickBot="1" x14ac:dyDescent="0.35">
      <c r="A15" s="27" t="s">
        <v>115</v>
      </c>
      <c r="C15" s="31"/>
      <c r="E15" s="31"/>
      <c r="G15" s="30"/>
      <c r="H15" s="54" t="s">
        <v>127</v>
      </c>
      <c r="I15" s="54"/>
      <c r="J15" s="54"/>
    </row>
    <row r="16" spans="1:10" ht="15.6" thickTop="1" thickBot="1" x14ac:dyDescent="0.35">
      <c r="A16" s="27" t="s">
        <v>119</v>
      </c>
      <c r="C16" s="30"/>
      <c r="E16" s="30"/>
      <c r="G16" s="30"/>
      <c r="H16" s="54"/>
      <c r="I16" s="54"/>
      <c r="J16" s="54"/>
    </row>
    <row r="17" spans="1:10" ht="15.6" thickTop="1" thickBot="1" x14ac:dyDescent="0.35">
      <c r="A17" s="27" t="s">
        <v>120</v>
      </c>
      <c r="C17" s="31"/>
      <c r="E17" s="30"/>
      <c r="G17" s="30"/>
      <c r="H17" s="54" t="s">
        <v>128</v>
      </c>
      <c r="I17" s="54"/>
      <c r="J17" s="54"/>
    </row>
    <row r="18" spans="1:10" ht="15.6" thickTop="1" thickBot="1" x14ac:dyDescent="0.35">
      <c r="A18" s="27" t="s">
        <v>121</v>
      </c>
      <c r="C18" s="30"/>
      <c r="E18" s="30"/>
      <c r="G18" s="30"/>
      <c r="H18" s="54" t="s">
        <v>129</v>
      </c>
      <c r="I18" s="54"/>
      <c r="J18" s="54"/>
    </row>
    <row r="19" spans="1:10" ht="15.6" thickTop="1" thickBot="1" x14ac:dyDescent="0.35">
      <c r="A19" s="27" t="s">
        <v>122</v>
      </c>
      <c r="C19" s="31"/>
      <c r="E19" s="31"/>
      <c r="G19" s="30"/>
      <c r="H19" s="54" t="s">
        <v>130</v>
      </c>
      <c r="I19" s="54"/>
      <c r="J19" s="54"/>
    </row>
    <row r="20" spans="1:10" ht="15.6" thickTop="1" thickBot="1" x14ac:dyDescent="0.35">
      <c r="A20" s="27"/>
      <c r="C20" s="31"/>
      <c r="E20" s="31"/>
      <c r="G20" s="30"/>
      <c r="H20" s="54"/>
      <c r="I20" s="54"/>
      <c r="J20" s="54"/>
    </row>
    <row r="21" spans="1:10" ht="15.6" thickTop="1" thickBot="1" x14ac:dyDescent="0.35">
      <c r="A21" s="27" t="s">
        <v>55</v>
      </c>
      <c r="C21" s="30"/>
      <c r="E21" s="30"/>
      <c r="G21" s="30"/>
      <c r="H21" s="54"/>
      <c r="I21" s="54"/>
      <c r="J21" s="54"/>
    </row>
    <row r="22" spans="1:10" ht="15.6" thickTop="1" thickBot="1" x14ac:dyDescent="0.35">
      <c r="A22" s="27" t="s">
        <v>113</v>
      </c>
      <c r="C22" s="30"/>
      <c r="E22" s="30"/>
      <c r="G22" s="30"/>
      <c r="H22" s="54"/>
      <c r="I22" s="54"/>
      <c r="J22" s="54"/>
    </row>
    <row r="23" spans="1:10" ht="15.6" thickTop="1" thickBot="1" x14ac:dyDescent="0.35">
      <c r="A23" s="27" t="s">
        <v>116</v>
      </c>
      <c r="C23" s="31"/>
      <c r="E23" s="30"/>
      <c r="G23" s="30"/>
      <c r="H23" s="54" t="s">
        <v>131</v>
      </c>
      <c r="I23" s="54"/>
      <c r="J23" s="54"/>
    </row>
    <row r="24" spans="1:10" ht="15" thickTop="1" x14ac:dyDescent="0.3"/>
  </sheetData>
  <mergeCells count="23">
    <mergeCell ref="H19:J19"/>
    <mergeCell ref="H20:J20"/>
    <mergeCell ref="H21:J21"/>
    <mergeCell ref="H22:J22"/>
    <mergeCell ref="H23:J23"/>
    <mergeCell ref="H18:J18"/>
    <mergeCell ref="H7:J7"/>
    <mergeCell ref="H8:J8"/>
    <mergeCell ref="H9:J9"/>
    <mergeCell ref="H10:J10"/>
    <mergeCell ref="H14:J14"/>
    <mergeCell ref="H12:J12"/>
    <mergeCell ref="H11:J11"/>
    <mergeCell ref="H13:J13"/>
    <mergeCell ref="H15:J15"/>
    <mergeCell ref="H16:J16"/>
    <mergeCell ref="H17:J17"/>
    <mergeCell ref="H6:J6"/>
    <mergeCell ref="H1:J1"/>
    <mergeCell ref="H2:J2"/>
    <mergeCell ref="H3:J3"/>
    <mergeCell ref="H4:J4"/>
    <mergeCell ref="H5:J5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98e9ba89-e1a1-4e38-9007-8bdabc25de1d}" enabled="0" method="" siteId="{98e9ba89-e1a1-4e38-9007-8bdabc25de1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RSU</vt:lpstr>
      <vt:lpstr>ESPP</vt:lpstr>
      <vt:lpstr>CG</vt:lpstr>
      <vt:lpstr>FA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2025-08-24T11:33:19Z</dcterms:created>
  <dcterms:modified xsi:type="dcterms:W3CDTF">2025-08-25T16:10:50Z</dcterms:modified>
</cp:coreProperties>
</file>