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i80068\Desktop\"/>
    </mc:Choice>
  </mc:AlternateContent>
  <bookViews>
    <workbookView xWindow="240" yWindow="615" windowWidth="19440" windowHeight="7395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F34" i="1" l="1"/>
  <c r="I102" i="9" l="1"/>
  <c r="D38" i="1" l="1"/>
  <c r="E8" i="11"/>
  <c r="M11" i="7"/>
  <c r="D24" i="11" l="1"/>
  <c r="D20" i="11"/>
  <c r="D17" i="11"/>
  <c r="D23" i="11" s="1"/>
  <c r="C74" i="1"/>
  <c r="B3" i="16"/>
  <c r="B4" i="16" s="1"/>
  <c r="B5" i="16" s="1"/>
  <c r="S43" i="14"/>
  <c r="R43" i="14"/>
  <c r="Q43" i="14"/>
  <c r="P43" i="14"/>
  <c r="M43" i="14"/>
  <c r="N43" i="14" s="1"/>
  <c r="O43" i="14" s="1"/>
  <c r="J43" i="14"/>
  <c r="S42" i="14"/>
  <c r="R42" i="14"/>
  <c r="Q42" i="14"/>
  <c r="P42" i="14"/>
  <c r="J42" i="14"/>
  <c r="S41" i="14"/>
  <c r="R41" i="14"/>
  <c r="Q41" i="14"/>
  <c r="P41" i="14"/>
  <c r="J41" i="14"/>
  <c r="S40" i="14"/>
  <c r="R40" i="14"/>
  <c r="P40" i="14"/>
  <c r="J40" i="14"/>
  <c r="S39" i="14"/>
  <c r="R39" i="14"/>
  <c r="Q39" i="14"/>
  <c r="Q40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8" i="14" s="1"/>
  <c r="Q34" i="14"/>
  <c r="Q38" i="14" s="1"/>
  <c r="P34" i="14"/>
  <c r="J34" i="14"/>
  <c r="E34" i="14"/>
  <c r="S33" i="14"/>
  <c r="Q33" i="14"/>
  <c r="P33" i="14"/>
  <c r="N33" i="14"/>
  <c r="O33" i="14" s="1"/>
  <c r="M33" i="14"/>
  <c r="J33" i="14"/>
  <c r="S32" i="14"/>
  <c r="Q32" i="14"/>
  <c r="P32" i="14"/>
  <c r="J32" i="14"/>
  <c r="S31" i="14"/>
  <c r="Q31" i="14"/>
  <c r="P31" i="14"/>
  <c r="J31" i="14"/>
  <c r="S30" i="14"/>
  <c r="Q30" i="14"/>
  <c r="P30" i="14"/>
  <c r="J30" i="14"/>
  <c r="S29" i="14"/>
  <c r="R29" i="14"/>
  <c r="R33" i="14" s="1"/>
  <c r="Q29" i="14"/>
  <c r="P29" i="14"/>
  <c r="J29" i="14"/>
  <c r="E29" i="14"/>
  <c r="S28" i="14"/>
  <c r="R28" i="14"/>
  <c r="Q28" i="14"/>
  <c r="P28" i="14"/>
  <c r="M28" i="14"/>
  <c r="N28" i="14" s="1"/>
  <c r="O28" i="14" s="1"/>
  <c r="J28" i="14"/>
  <c r="S27" i="14"/>
  <c r="R27" i="14"/>
  <c r="Q27" i="14"/>
  <c r="P27" i="14"/>
  <c r="J27" i="14"/>
  <c r="S26" i="14"/>
  <c r="R26" i="14"/>
  <c r="Q26" i="14"/>
  <c r="P26" i="14"/>
  <c r="J26" i="14"/>
  <c r="S25" i="14"/>
  <c r="R25" i="14"/>
  <c r="P25" i="14"/>
  <c r="J25" i="14"/>
  <c r="S24" i="14"/>
  <c r="R24" i="14"/>
  <c r="Q24" i="14"/>
  <c r="Q25" i="14" s="1"/>
  <c r="P24" i="14"/>
  <c r="J24" i="14"/>
  <c r="E24" i="14"/>
  <c r="S23" i="14"/>
  <c r="R23" i="14"/>
  <c r="Q23" i="14"/>
  <c r="P23" i="14"/>
  <c r="M23" i="14"/>
  <c r="N23" i="14" s="1"/>
  <c r="O23" i="14" s="1"/>
  <c r="J23" i="14"/>
  <c r="S22" i="14"/>
  <c r="R22" i="14"/>
  <c r="Q22" i="14"/>
  <c r="P22" i="14"/>
  <c r="J22" i="14"/>
  <c r="S21" i="14"/>
  <c r="R21" i="14"/>
  <c r="P21" i="14"/>
  <c r="J21" i="14"/>
  <c r="S20" i="14"/>
  <c r="P20" i="14"/>
  <c r="J20" i="14"/>
  <c r="S19" i="14"/>
  <c r="R19" i="14"/>
  <c r="R20" i="14" s="1"/>
  <c r="Q19" i="14"/>
  <c r="Q21" i="14" s="1"/>
  <c r="P19" i="14"/>
  <c r="J19" i="14"/>
  <c r="E19" i="14"/>
  <c r="S18" i="14"/>
  <c r="R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7" i="14" s="1"/>
  <c r="Q14" i="14"/>
  <c r="Q18" i="14" s="1"/>
  <c r="P14" i="14"/>
  <c r="J14" i="14"/>
  <c r="E14" i="14"/>
  <c r="S13" i="14"/>
  <c r="Q13" i="14"/>
  <c r="P13" i="14"/>
  <c r="M13" i="14"/>
  <c r="N13" i="14" s="1"/>
  <c r="O13" i="14" s="1"/>
  <c r="J13" i="14"/>
  <c r="S12" i="14"/>
  <c r="P12" i="14"/>
  <c r="J12" i="14"/>
  <c r="S11" i="14"/>
  <c r="P11" i="14"/>
  <c r="J11" i="14"/>
  <c r="S10" i="14"/>
  <c r="P10" i="14"/>
  <c r="J10" i="14"/>
  <c r="S9" i="14"/>
  <c r="R9" i="14"/>
  <c r="R13" i="14" s="1"/>
  <c r="Q9" i="14"/>
  <c r="Q12" i="14" s="1"/>
  <c r="P9" i="14"/>
  <c r="J9" i="14"/>
  <c r="E9" i="14"/>
  <c r="S8" i="14"/>
  <c r="R8" i="14"/>
  <c r="Q8" i="14"/>
  <c r="P8" i="14"/>
  <c r="M8" i="14"/>
  <c r="N8" i="14" s="1"/>
  <c r="O8" i="14" s="1"/>
  <c r="J8" i="14"/>
  <c r="S7" i="14"/>
  <c r="R7" i="14"/>
  <c r="Q7" i="14"/>
  <c r="P7" i="14"/>
  <c r="J7" i="14"/>
  <c r="S6" i="14"/>
  <c r="R6" i="14"/>
  <c r="P6" i="14"/>
  <c r="J6" i="14"/>
  <c r="S5" i="14"/>
  <c r="P5" i="14"/>
  <c r="J5" i="14"/>
  <c r="S4" i="14"/>
  <c r="R4" i="14"/>
  <c r="R5" i="14" s="1"/>
  <c r="Q4" i="14"/>
  <c r="Q6" i="14" s="1"/>
  <c r="P4" i="14"/>
  <c r="J4" i="14"/>
  <c r="E4" i="14"/>
  <c r="S28" i="13"/>
  <c r="R28" i="13"/>
  <c r="P28" i="13"/>
  <c r="J28" i="13"/>
  <c r="S27" i="13"/>
  <c r="R27" i="13"/>
  <c r="Q27" i="13"/>
  <c r="P27" i="13"/>
  <c r="J27" i="13"/>
  <c r="S26" i="13"/>
  <c r="R26" i="13"/>
  <c r="P26" i="13"/>
  <c r="J26" i="13"/>
  <c r="S25" i="13"/>
  <c r="P25" i="13"/>
  <c r="J25" i="13"/>
  <c r="S24" i="13"/>
  <c r="R24" i="13"/>
  <c r="R25" i="13" s="1"/>
  <c r="Q24" i="13"/>
  <c r="Q28" i="13" s="1"/>
  <c r="P24" i="13"/>
  <c r="J24" i="13"/>
  <c r="E24" i="13"/>
  <c r="S23" i="13"/>
  <c r="R23" i="13"/>
  <c r="P23" i="13"/>
  <c r="J23" i="13"/>
  <c r="S22" i="13"/>
  <c r="P22" i="13"/>
  <c r="J22" i="13"/>
  <c r="S21" i="13"/>
  <c r="P21" i="13"/>
  <c r="J21" i="13"/>
  <c r="S20" i="13"/>
  <c r="P20" i="13"/>
  <c r="J20" i="13"/>
  <c r="S19" i="13"/>
  <c r="R19" i="13"/>
  <c r="R22" i="13" s="1"/>
  <c r="Q19" i="13"/>
  <c r="Q21" i="13" s="1"/>
  <c r="P19" i="13"/>
  <c r="J19" i="13"/>
  <c r="E19" i="13"/>
  <c r="S18" i="13"/>
  <c r="Q18" i="13"/>
  <c r="P18" i="13"/>
  <c r="M18" i="13"/>
  <c r="N18" i="13" s="1"/>
  <c r="O18" i="13" s="1"/>
  <c r="J18" i="13"/>
  <c r="S17" i="13"/>
  <c r="P17" i="13"/>
  <c r="J17" i="13"/>
  <c r="S16" i="13"/>
  <c r="P16" i="13"/>
  <c r="J16" i="13"/>
  <c r="S15" i="13"/>
  <c r="P15" i="13"/>
  <c r="J15" i="13"/>
  <c r="S14" i="13"/>
  <c r="R14" i="13"/>
  <c r="R18" i="13" s="1"/>
  <c r="Q14" i="13"/>
  <c r="Q17" i="13" s="1"/>
  <c r="P14" i="13"/>
  <c r="J14" i="13"/>
  <c r="E14" i="13"/>
  <c r="S13" i="13"/>
  <c r="R13" i="13"/>
  <c r="Q13" i="13"/>
  <c r="P13" i="13"/>
  <c r="M13" i="13"/>
  <c r="M23" i="13" s="1"/>
  <c r="N23" i="13" s="1"/>
  <c r="O23" i="13" s="1"/>
  <c r="J13" i="13"/>
  <c r="S12" i="13"/>
  <c r="R12" i="13"/>
  <c r="Q12" i="13"/>
  <c r="P12" i="13"/>
  <c r="J12" i="13"/>
  <c r="S11" i="13"/>
  <c r="R11" i="13"/>
  <c r="P11" i="13"/>
  <c r="J11" i="13"/>
  <c r="S10" i="13"/>
  <c r="P10" i="13"/>
  <c r="J10" i="13"/>
  <c r="S9" i="13"/>
  <c r="R9" i="13"/>
  <c r="R10" i="13" s="1"/>
  <c r="Q9" i="13"/>
  <c r="Q11" i="13" s="1"/>
  <c r="P9" i="13"/>
  <c r="J9" i="13"/>
  <c r="E9" i="13"/>
  <c r="S8" i="13"/>
  <c r="R8" i="13"/>
  <c r="P8" i="13"/>
  <c r="N8" i="13"/>
  <c r="O8" i="13" s="1"/>
  <c r="M8" i="13"/>
  <c r="J8" i="13"/>
  <c r="S7" i="13"/>
  <c r="R7" i="13"/>
  <c r="P7" i="13"/>
  <c r="J7" i="13"/>
  <c r="S6" i="13"/>
  <c r="P6" i="13"/>
  <c r="J6" i="13"/>
  <c r="S5" i="13"/>
  <c r="P5" i="13"/>
  <c r="J5" i="13"/>
  <c r="S4" i="13"/>
  <c r="R4" i="13"/>
  <c r="R6" i="13" s="1"/>
  <c r="Q4" i="13"/>
  <c r="Q8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F26" i="12"/>
  <c r="G26" i="12" s="1"/>
  <c r="D39" i="12" s="1"/>
  <c r="F25" i="12"/>
  <c r="G25" i="12" s="1"/>
  <c r="D38" i="12" s="1"/>
  <c r="F24" i="12"/>
  <c r="G24" i="12" s="1"/>
  <c r="D37" i="12" s="1"/>
  <c r="F23" i="12"/>
  <c r="G23" i="12" s="1"/>
  <c r="D36" i="12" s="1"/>
  <c r="F22" i="12"/>
  <c r="G22" i="12" s="1"/>
  <c r="D35" i="12" s="1"/>
  <c r="F21" i="12"/>
  <c r="G21" i="12" s="1"/>
  <c r="D34" i="12" s="1"/>
  <c r="M9" i="13" s="1"/>
  <c r="F20" i="12"/>
  <c r="G20" i="12" s="1"/>
  <c r="D33" i="12" s="1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55" i="12" l="1"/>
  <c r="E38" i="12"/>
  <c r="M28" i="13"/>
  <c r="N28" i="13" s="1"/>
  <c r="O28" i="13" s="1"/>
  <c r="R35" i="14"/>
  <c r="R36" i="14"/>
  <c r="R37" i="14"/>
  <c r="Q5" i="13"/>
  <c r="N13" i="13"/>
  <c r="O13" i="13" s="1"/>
  <c r="R5" i="13"/>
  <c r="Q6" i="13"/>
  <c r="Q10" i="13"/>
  <c r="Q25" i="13"/>
  <c r="Q5" i="14"/>
  <c r="Q20" i="14"/>
  <c r="Q7" i="13"/>
  <c r="Q15" i="13"/>
  <c r="Q16" i="13"/>
  <c r="R20" i="13"/>
  <c r="R21" i="13"/>
  <c r="Q26" i="13"/>
  <c r="Q10" i="14"/>
  <c r="Q11" i="14"/>
  <c r="R15" i="14"/>
  <c r="R16" i="14"/>
  <c r="D25" i="11"/>
  <c r="B6" i="16"/>
  <c r="E55" i="12"/>
  <c r="G38" i="12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L12" i="7"/>
  <c r="AK12" i="9" s="1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3" i="9"/>
  <c r="J24" i="9"/>
  <c r="F55" i="12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2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C10" i="16" l="1"/>
  <c r="J25" i="9"/>
  <c r="H25" i="9"/>
  <c r="D3" i="16"/>
  <c r="D4" i="16" s="1"/>
  <c r="D5" i="16" s="1"/>
  <c r="D6" i="16" s="1"/>
  <c r="D7" i="16" s="1"/>
  <c r="D8" i="16" s="1"/>
  <c r="D9" i="16" s="1"/>
  <c r="B11" i="16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C11" i="16" l="1"/>
  <c r="C12" i="16" s="1"/>
  <c r="D10" i="16"/>
  <c r="B12" i="16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C13" i="16" l="1"/>
  <c r="D11" i="16"/>
  <c r="B13" i="16"/>
  <c r="D12" i="16"/>
  <c r="C4" i="1"/>
  <c r="C14" i="16" l="1"/>
  <c r="B14" i="16"/>
  <c r="D13" i="16"/>
  <c r="T11" i="7"/>
  <c r="C46" i="1"/>
  <c r="C37" i="1"/>
  <c r="AA10" i="7"/>
  <c r="AA9" i="7"/>
  <c r="AA8" i="7"/>
  <c r="D20" i="1"/>
  <c r="D14" i="1"/>
  <c r="D10" i="1"/>
  <c r="D11" i="1"/>
  <c r="D33" i="1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C16" i="16" l="1"/>
  <c r="D15" i="16"/>
  <c r="B16" i="16"/>
  <c r="M15" i="7"/>
  <c r="M2" i="7" s="1"/>
  <c r="C17" i="16" l="1"/>
  <c r="B17" i="16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C18" i="16" l="1"/>
  <c r="B18" i="16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C19" i="16" l="1"/>
  <c r="D18" i="16"/>
  <c r="B19" i="16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C20" i="16" l="1"/>
  <c r="D19" i="16"/>
  <c r="B20" i="16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I99" i="10"/>
  <c r="G99" i="10"/>
  <c r="AA91" i="10"/>
  <c r="X91" i="10"/>
  <c r="AU28" i="10"/>
  <c r="AU29" i="10" s="1"/>
  <c r="D26" i="10"/>
  <c r="B26" i="10"/>
  <c r="B103" i="10" s="1"/>
  <c r="D25" i="10"/>
  <c r="C25" i="10"/>
  <c r="C26" i="10" s="1"/>
  <c r="D27" i="10" s="1"/>
  <c r="Z24" i="10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C21" i="16" l="1"/>
  <c r="C24" i="10"/>
  <c r="C23" i="10" s="1"/>
  <c r="C22" i="10" s="1"/>
  <c r="K100" i="10"/>
  <c r="B21" i="16"/>
  <c r="D20" i="16"/>
  <c r="AG24" i="10"/>
  <c r="AD25" i="10"/>
  <c r="Y91" i="10"/>
  <c r="I103" i="10"/>
  <c r="I168" i="10" s="1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C22" i="16" l="1"/>
  <c r="B22" i="16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C23" i="16" l="1"/>
  <c r="D22" i="16"/>
  <c r="B23" i="16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C24" i="16" l="1"/>
  <c r="D23" i="16"/>
  <c r="B24" i="16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C25" i="16" l="1"/>
  <c r="B25" i="16"/>
  <c r="D24" i="16"/>
  <c r="C31" i="10"/>
  <c r="D31" i="10"/>
  <c r="G109" i="10"/>
  <c r="AU34" i="10"/>
  <c r="B107" i="10"/>
  <c r="B31" i="10"/>
  <c r="C27" i="9"/>
  <c r="C28" i="9" s="1"/>
  <c r="D27" i="9"/>
  <c r="AU30" i="9"/>
  <c r="C26" i="16" l="1"/>
  <c r="B26" i="16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C27" i="16" l="1"/>
  <c r="D26" i="16"/>
  <c r="B27" i="16"/>
  <c r="D33" i="10"/>
  <c r="C33" i="10"/>
  <c r="G111" i="10"/>
  <c r="B109" i="10"/>
  <c r="B33" i="10"/>
  <c r="AU36" i="10"/>
  <c r="D30" i="9"/>
  <c r="C30" i="9"/>
  <c r="AU32" i="9"/>
  <c r="R91" i="9"/>
  <c r="B103" i="9"/>
  <c r="B27" i="9"/>
  <c r="C28" i="16" l="1"/>
  <c r="D27" i="16"/>
  <c r="B28" i="16"/>
  <c r="B110" i="10"/>
  <c r="B34" i="10"/>
  <c r="D34" i="10"/>
  <c r="C34" i="10"/>
  <c r="G112" i="10"/>
  <c r="AU37" i="10"/>
  <c r="D31" i="9"/>
  <c r="C31" i="9"/>
  <c r="B28" i="9"/>
  <c r="B104" i="9"/>
  <c r="AU33" i="9"/>
  <c r="C29" i="16" l="1"/>
  <c r="B29" i="16"/>
  <c r="D28" i="16"/>
  <c r="G113" i="10"/>
  <c r="B111" i="10"/>
  <c r="B35" i="10"/>
  <c r="AU38" i="10"/>
  <c r="C35" i="10"/>
  <c r="D35" i="10"/>
  <c r="AU34" i="9"/>
  <c r="B105" i="9"/>
  <c r="B29" i="9"/>
  <c r="C32" i="9"/>
  <c r="D32" i="9"/>
  <c r="C30" i="16" l="1"/>
  <c r="B30" i="16"/>
  <c r="D29" i="16"/>
  <c r="AU39" i="10"/>
  <c r="B112" i="10"/>
  <c r="B36" i="10"/>
  <c r="D36" i="10"/>
  <c r="C36" i="10"/>
  <c r="G114" i="10"/>
  <c r="D33" i="9"/>
  <c r="C33" i="9"/>
  <c r="B106" i="9"/>
  <c r="B30" i="9"/>
  <c r="AU35" i="9"/>
  <c r="C31" i="16" l="1"/>
  <c r="D30" i="16"/>
  <c r="B31" i="16"/>
  <c r="C37" i="10"/>
  <c r="D37" i="10"/>
  <c r="B113" i="10"/>
  <c r="B37" i="10"/>
  <c r="G115" i="10"/>
  <c r="AU40" i="10"/>
  <c r="B31" i="9"/>
  <c r="B107" i="9"/>
  <c r="D34" i="9"/>
  <c r="C34" i="9"/>
  <c r="AU36" i="9"/>
  <c r="C32" i="16" l="1"/>
  <c r="D31" i="16"/>
  <c r="B32" i="16"/>
  <c r="AU41" i="10"/>
  <c r="C38" i="10"/>
  <c r="D38" i="10"/>
  <c r="G116" i="10"/>
  <c r="B38" i="10"/>
  <c r="B114" i="10"/>
  <c r="B32" i="9"/>
  <c r="B108" i="9"/>
  <c r="AU37" i="9"/>
  <c r="D35" i="9"/>
  <c r="C35" i="9"/>
  <c r="C33" i="16" l="1"/>
  <c r="B33" i="16"/>
  <c r="D32" i="16"/>
  <c r="B115" i="10"/>
  <c r="B39" i="10"/>
  <c r="D39" i="10"/>
  <c r="C39" i="10"/>
  <c r="G117" i="10"/>
  <c r="AU42" i="10"/>
  <c r="C36" i="9"/>
  <c r="D36" i="9"/>
  <c r="AU38" i="9"/>
  <c r="B109" i="9"/>
  <c r="B33" i="9"/>
  <c r="C34" i="16" l="1"/>
  <c r="B34" i="16"/>
  <c r="D33" i="16"/>
  <c r="AU43" i="10"/>
  <c r="D40" i="10"/>
  <c r="C40" i="10"/>
  <c r="G118" i="10"/>
  <c r="B116" i="10"/>
  <c r="B40" i="10"/>
  <c r="B110" i="9"/>
  <c r="B34" i="9"/>
  <c r="AU39" i="9"/>
  <c r="C37" i="9"/>
  <c r="D37" i="9"/>
  <c r="C35" i="16" l="1"/>
  <c r="D34" i="16"/>
  <c r="B35" i="16"/>
  <c r="B117" i="10"/>
  <c r="B41" i="10"/>
  <c r="G119" i="10"/>
  <c r="D41" i="10"/>
  <c r="C41" i="10"/>
  <c r="AU44" i="10"/>
  <c r="B35" i="9"/>
  <c r="B111" i="9"/>
  <c r="D38" i="9"/>
  <c r="C38" i="9"/>
  <c r="AU40" i="9"/>
  <c r="C36" i="16" l="1"/>
  <c r="D35" i="16"/>
  <c r="B36" i="16"/>
  <c r="G120" i="10"/>
  <c r="C42" i="10"/>
  <c r="D42" i="10"/>
  <c r="B118" i="10"/>
  <c r="B42" i="10"/>
  <c r="AU45" i="10"/>
  <c r="D39" i="9"/>
  <c r="C39" i="9"/>
  <c r="AU41" i="9"/>
  <c r="B36" i="9"/>
  <c r="B112" i="9"/>
  <c r="C37" i="16" l="1"/>
  <c r="B37" i="16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C39" i="16" l="1"/>
  <c r="D38" i="16"/>
  <c r="B39" i="16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C42" i="16" l="1"/>
  <c r="B42" i="16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G70" i="1" l="1"/>
  <c r="H70" i="1"/>
  <c r="D51" i="16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G67" i="1" l="1"/>
  <c r="H67" i="1" s="1"/>
  <c r="G68" i="1"/>
  <c r="H68" i="1" s="1"/>
  <c r="B53" i="16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F62" i="16" s="1"/>
  <c r="G147" i="10"/>
  <c r="B69" i="10"/>
  <c r="B145" i="10"/>
  <c r="AU72" i="10"/>
  <c r="D69" i="10"/>
  <c r="C69" i="10"/>
  <c r="B139" i="9"/>
  <c r="B63" i="9"/>
  <c r="AU68" i="9"/>
  <c r="C66" i="9"/>
  <c r="D66" i="9"/>
  <c r="AU73" i="10" l="1"/>
  <c r="C70" i="10"/>
  <c r="D70" i="10"/>
  <c r="G148" i="10"/>
  <c r="B146" i="10"/>
  <c r="B70" i="10"/>
  <c r="AU69" i="9"/>
  <c r="D67" i="9"/>
  <c r="C67" i="9"/>
  <c r="B140" i="9"/>
  <c r="B64" i="9"/>
  <c r="AU74" i="10" l="1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W50" i="9" l="1"/>
  <c r="G127" i="9" s="1"/>
  <c r="W74" i="9"/>
  <c r="G151" i="9" s="1"/>
  <c r="E105" i="7"/>
  <c r="AC29" i="7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D30" i="7" s="1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E108" i="7" l="1"/>
  <c r="AC32" i="7"/>
  <c r="C30" i="7"/>
  <c r="D31" i="7" s="1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U30" i="7"/>
  <c r="J105" i="7"/>
  <c r="AD29" i="7"/>
  <c r="C31" i="7" l="1"/>
  <c r="AC33" i="7"/>
  <c r="E109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E111" i="7" l="1"/>
  <c r="AC35" i="7"/>
  <c r="AD26" i="7"/>
  <c r="AE26" i="7"/>
  <c r="AG26" i="7" s="1"/>
  <c r="AI26" i="7" s="1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AC36" i="7" l="1"/>
  <c r="E112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AC39" i="7" l="1"/>
  <c r="E115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AC41" i="7" l="1"/>
  <c r="E117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E120" i="7"/>
  <c r="AC44" i="7"/>
  <c r="B37" i="7"/>
  <c r="N37" i="7" s="1"/>
  <c r="V36" i="7"/>
  <c r="AF36" i="7" s="1"/>
  <c r="AH36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14" i="7" l="1"/>
  <c r="AC38" i="7"/>
  <c r="E121" i="7"/>
  <c r="AC45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AD37" i="7" l="1"/>
  <c r="J113" i="7"/>
  <c r="AE37" i="7"/>
  <c r="AG37" i="7" s="1"/>
  <c r="AI37" i="7" s="1"/>
  <c r="E122" i="7"/>
  <c r="AC46" i="7"/>
  <c r="AE38" i="7"/>
  <c r="AG38" i="7" s="1"/>
  <c r="AI38" i="7" s="1"/>
  <c r="AD38" i="7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AC48" i="7" l="1"/>
  <c r="E124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AC51" i="7" l="1"/>
  <c r="E127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AC54" i="7" l="1"/>
  <c r="E130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AH49" i="7" s="1"/>
  <c r="U49" i="7"/>
  <c r="AC56" i="7"/>
  <c r="E132" i="7"/>
  <c r="U48" i="7"/>
  <c r="AE48" i="7" s="1"/>
  <c r="AG48" i="7" s="1"/>
  <c r="AI48" i="7" s="1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26" i="7" l="1"/>
  <c r="AC50" i="7"/>
  <c r="E133" i="7"/>
  <c r="AC57" i="7"/>
  <c r="AE49" i="7"/>
  <c r="AG49" i="7" s="1"/>
  <c r="AI49" i="7" s="1"/>
  <c r="AD49" i="7"/>
  <c r="J125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C58" i="7" l="1"/>
  <c r="E134" i="7"/>
  <c r="AE50" i="7"/>
  <c r="AG50" i="7" s="1"/>
  <c r="AI50" i="7" s="1"/>
  <c r="AD50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E144" i="7" l="1"/>
  <c r="AC68" i="7"/>
  <c r="V61" i="7"/>
  <c r="AF61" i="7" s="1"/>
  <c r="AH61" i="7" s="1"/>
  <c r="U61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AC75" i="7" l="1"/>
  <c r="E151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AC76" i="7" l="1"/>
  <c r="E152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AC79" i="7" l="1"/>
  <c r="E155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AH73" i="7" s="1"/>
  <c r="U73" i="7"/>
  <c r="U72" i="7"/>
  <c r="AE72" i="7" s="1"/>
  <c r="AG72" i="7" s="1"/>
  <c r="AI72" i="7" s="1"/>
  <c r="V79" i="7"/>
  <c r="AF79" i="7" s="1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D73" i="7"/>
  <c r="J149" i="7"/>
  <c r="J148" i="7"/>
  <c r="AD72" i="7"/>
  <c r="AI73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D74" i="7" l="1"/>
  <c r="AE74" i="7"/>
  <c r="AG74" i="7" s="1"/>
  <c r="AI74" i="7" s="1"/>
  <c r="AC82" i="7"/>
  <c r="E158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Q49" i="9" s="1"/>
  <c r="U49" i="9" s="1"/>
  <c r="D50" i="1"/>
  <c r="AF91" i="7"/>
  <c r="M91" i="7"/>
  <c r="D47" i="1" s="1"/>
  <c r="E54" i="8" s="1"/>
  <c r="AE90" i="7"/>
  <c r="V91" i="7"/>
  <c r="U25" i="9"/>
  <c r="AC25" i="9" s="1"/>
  <c r="Q68" i="9"/>
  <c r="U68" i="9" s="1"/>
  <c r="Q84" i="9"/>
  <c r="U84" i="9" s="1"/>
  <c r="Q75" i="9"/>
  <c r="U75" i="9" s="1"/>
  <c r="Q29" i="9"/>
  <c r="U29" i="9" s="1"/>
  <c r="Q41" i="9"/>
  <c r="U41" i="9" s="1"/>
  <c r="Q53" i="9"/>
  <c r="U53" i="9" s="1"/>
  <c r="Q57" i="9"/>
  <c r="U57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67" i="9"/>
  <c r="U67" i="9" s="1"/>
  <c r="Q79" i="9"/>
  <c r="U79" i="9" s="1"/>
  <c r="Q30" i="9"/>
  <c r="U30" i="9" s="1"/>
  <c r="Q46" i="9"/>
  <c r="U46" i="9" s="1"/>
  <c r="Q50" i="9"/>
  <c r="U50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Q42" i="9" l="1"/>
  <c r="U42" i="9" s="1"/>
  <c r="Q47" i="9"/>
  <c r="U47" i="9" s="1"/>
  <c r="Q61" i="9"/>
  <c r="U61" i="9" s="1"/>
  <c r="Q37" i="9"/>
  <c r="U37" i="9" s="1"/>
  <c r="Q54" i="9"/>
  <c r="U54" i="9" s="1"/>
  <c r="Q34" i="9"/>
  <c r="U34" i="9" s="1"/>
  <c r="Q59" i="9"/>
  <c r="U59" i="9" s="1"/>
  <c r="AE85" i="7"/>
  <c r="AG85" i="7" s="1"/>
  <c r="J161" i="7"/>
  <c r="AD85" i="7"/>
  <c r="AB86" i="7"/>
  <c r="AD25" i="9"/>
  <c r="AE25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D102" i="9"/>
  <c r="K102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I85" i="7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BC22" i="5" l="1"/>
  <c r="AZ26" i="5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D51" i="1" s="1"/>
  <c r="D54" i="1" s="1"/>
  <c r="D58" i="1" s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R156" i="9" l="1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R125" i="10" s="1"/>
  <c r="P162" i="9"/>
  <c r="AL81" i="10"/>
  <c r="E158" i="10" s="1"/>
  <c r="K158" i="10" s="1"/>
  <c r="AI82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<sst xmlns="http://schemas.openxmlformats.org/spreadsheetml/2006/main" count="1233" uniqueCount="490">
  <si>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</si>
  <si>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</si>
  <si>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</si>
  <si>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</si>
  <si>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</si>
  <si>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</si>
  <si>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</si>
  <si>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</si>
  <si>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</si>
  <si>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</si>
  <si>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</si>
  <si>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</si>
  <si>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</si>
  <si>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</si>
  <si>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</si>
  <si>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</si>
  <si>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</si>
  <si>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</si>
  <si>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</si>
  <si>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</si>
  <si>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</si>
  <si>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</si>
  <si>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</si>
  <si>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</si>
  <si>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</si>
  <si>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</si>
  <si>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</si>
  <si>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</si>
  <si>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</si>
  <si>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</si>
  <si>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</si>
  <si>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</si>
  <si>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</si>
  <si>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</si>
  <si>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</si>
  <si>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</si>
  <si>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</si>
  <si>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</si>
  <si>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</si>
  <si>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</si>
  <si>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</si>
  <si>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</si>
  <si>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</si>
  <si>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</si>
  <si>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</si>
  <si>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</si>
  <si>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</si>
  <si>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</si>
  <si>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</si>
  <si>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</si>
  <si>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</si>
  <si>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</si>
  <si>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</si>
  <si>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</si>
  <si>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</si>
  <si>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</si>
  <si>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</si>
  <si>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</si>
  <si>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</si>
  <si>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</si>
  <si>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</si>
  <si>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</si>
  <si>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</si>
  <si>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</si>
  <si>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</si>
  <si>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</si>
  <si>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</si>
  <si>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</si>
  <si>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</si>
  <si>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</si>
  <si>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</si>
  <si>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</si>
  <si>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</si>
  <si>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</si>
  <si>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</si>
  <si>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</si>
  <si>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</si>
  <si>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</si>
  <si>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</si>
  <si>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</si>
  <si>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</si>
  <si>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</si>
  <si>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</si>
  <si>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</si>
  <si>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</si>
  <si>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</si>
  <si>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</si>
  <si>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</si>
  <si>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</si>
  <si>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</si>
  <si>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</si>
  <si>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</si>
  <si>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</si>
  <si>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</si>
  <si>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</si>
  <si>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</si>
  <si>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</si>
  <si>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</si>
  <si>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</si>
  <si>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</si>
  <si>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</si>
  <si>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</si>
  <si>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</si>
  <si>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</si>
  <si>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</si>
  <si>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</si>
  <si>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</si>
  <si>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</si>
  <si>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</si>
  <si>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</si>
  <si>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</si>
  <si>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</si>
  <si>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</si>
  <si>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</si>
  <si>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</si>
  <si>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</si>
  <si>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</si>
  <si>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</si>
  <si>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</si>
  <si>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</si>
  <si>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</si>
  <si>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</si>
  <si>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</si>
  <si>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</si>
  <si>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</si>
  <si>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</si>
  <si>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</si>
  <si>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</si>
  <si>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</si>
  <si>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</si>
  <si>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</si>
  <si>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</si>
  <si>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</si>
  <si>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</si>
  <si>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</si>
  <si>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</si>
  <si>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</si>
  <si>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</si>
  <si>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</si>
  <si>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</si>
  <si>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</si>
  <si>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</si>
  <si>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</si>
  <si>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</si>
  <si>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</si>
  <si>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</si>
  <si>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</si>
  <si>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</si>
  <si>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</si>
  <si>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</si>
  <si>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</si>
  <si>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</si>
  <si>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</si>
  <si>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</si>
  <si>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</si>
  <si>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</si>
  <si>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</si>
  <si>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</si>
  <si>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</si>
  <si>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</si>
  <si>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</si>
  <si>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</si>
  <si>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</si>
  <si>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</si>
  <si>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</si>
  <si>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</si>
  <si>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</si>
  <si>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</si>
  <si>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</si>
  <si>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</si>
  <si>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</si>
  <si>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</si>
  <si>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</si>
  <si>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</si>
  <si>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</si>
  <si>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</si>
  <si>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</si>
  <si>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</si>
  <si>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</si>
  <si>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</si>
  <si>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</si>
  <si>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</si>
  <si>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</si>
  <si>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</si>
  <si>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</si>
  <si>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</si>
  <si>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</si>
  <si>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</si>
  <si>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</si>
  <si>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</si>
  <si>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</si>
  <si>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</si>
  <si>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</si>
  <si>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</si>
  <si>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</si>
  <si>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</si>
  <si>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</si>
  <si>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</si>
  <si>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</si>
  <si>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</si>
  <si>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</si>
  <si>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</si>
  <si>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</si>
  <si>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</si>
  <si>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</si>
  <si>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</si>
  <si>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</si>
  <si>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</si>
  <si>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</si>
  <si>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</si>
  <si>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</si>
  <si>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</si>
  <si>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</si>
  <si>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</si>
  <si>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</si>
  <si>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</si>
  <si>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</si>
  <si>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</si>
  <si>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</si>
  <si>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</si>
  <si>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</si>
  <si>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</si>
  <si>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</si>
  <si>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</si>
  <si>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</si>
  <si>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</si>
  <si>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</si>
  <si>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</si>
  <si>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</si>
  <si>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</si>
  <si>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</si>
  <si>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</si>
  <si>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</si>
  <si>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</si>
  <si>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</si>
  <si>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</si>
  <si>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</si>
  <si>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</si>
  <si>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</si>
  <si>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</si>
  <si>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</si>
  <si>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</si>
  <si>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</si>
  <si>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</si>
  <si>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</si>
  <si>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</si>
  <si>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</si>
  <si>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</si>
  <si>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</si>
  <si>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</si>
  <si>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</si>
  <si>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</si>
  <si>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</si>
  <si>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</si>
  <si>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</si>
  <si>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</si>
  <si>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</si>
  <si>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</si>
  <si>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</si>
  <si>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</si>
  <si>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</si>
  <si>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</si>
  <si>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</si>
  <si>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</si>
  <si>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</si>
  <si>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</si>
  <si>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</si>
  <si>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</si>
  <si>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</si>
  <si>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</si>
  <si>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</si>
  <si>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</si>
  <si>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</si>
  <si>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</si>
  <si>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</si>
  <si>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</si>
  <si>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</si>
  <si>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</si>
  <si>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</si>
  <si>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</si>
  <si>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</si>
  <si>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</si>
  <si>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</si>
  <si>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</si>
  <si>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</si>
  <si>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</si>
  <si>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</si>
  <si>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</si>
  <si>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</si>
  <si>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</si>
  <si>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</si>
  <si>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</si>
  <si>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</si>
  <si>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</si>
  <si>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</si>
  <si>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</si>
  <si>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</si>
  <si>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</si>
  <si>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</si>
  <si>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</si>
  <si>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</si>
  <si>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</si>
  <si>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</si>
  <si>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</si>
  <si>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</si>
  <si>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</si>
  <si>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</si>
  <si>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</si>
  <si>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</si>
  <si>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</si>
  <si>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</si>
  <si>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</si>
  <si>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</si>
  <si>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</si>
  <si>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</si>
  <si>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</si>
  <si>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</si>
  <si>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</si>
  <si>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</si>
  <si>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</si>
  <si>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</si>
  <si>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</si>
  <si>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</si>
  <si>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</si>
  <si>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</si>
  <si>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</si>
  <si>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</si>
  <si>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</si>
  <si>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</si>
  <si>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</si>
  <si>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</si>
  <si>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</si>
  <si>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</si>
  <si>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</si>
  <si>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</si>
  <si>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</si>
  <si>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</si>
  <si>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</si>
  <si>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</si>
  <si>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</si>
  <si>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</si>
  <si>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</si>
  <si>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</si>
  <si>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</si>
  <si>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</si>
  <si>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</si>
  <si>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</si>
  <si>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</si>
  <si>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</si>
  <si>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</si>
  <si>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</si>
  <si>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</si>
  <si>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</si>
  <si>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</si>
  <si>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</si>
  <si>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</si>
  <si>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</si>
  <si>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</si>
  <si>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RV(termasuk VAT)</t>
    <phoneticPr fontId="69"/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</si>
  <si>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</si>
  <si>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</si>
  <si>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</si>
  <si>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Maintenance(Buran)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</si>
  <si>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</si>
  <si>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</si>
  <si>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</si>
  <si>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</si>
  <si>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</si>
  <si>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</si>
  <si>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</si>
  <si>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</si>
  <si>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</si>
  <si>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</si>
  <si>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</si>
  <si>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</si>
  <si>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</si>
  <si>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</si>
  <si>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</si>
  <si>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</si>
  <si>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</si>
  <si>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</si>
  <si>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</si>
  <si>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</si>
  <si>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</si>
  <si>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</si>
  <si>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</si>
  <si>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</si>
  <si>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</si>
  <si>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</si>
  <si>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</si>
  <si>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</si>
  <si>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</si>
  <si>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</si>
  <si>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</si>
  <si>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</si>
  <si>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</si>
  <si>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</si>
  <si>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</si>
  <si>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</si>
  <si>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</si>
  <si>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</si>
  <si>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</si>
  <si>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</si>
  <si>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</si>
  <si>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</si>
  <si>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</si>
  <si>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</si>
  <si>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</si>
  <si>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</si>
  <si>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</si>
  <si>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</si>
  <si>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</si>
  <si>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</si>
  <si>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</si>
  <si>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</si>
  <si>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</si>
  <si>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</si>
  <si>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</si>
  <si>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</si>
  <si>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</si>
  <si>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</si>
  <si>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</si>
  <si>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</si>
  <si>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</si>
  <si>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</si>
  <si>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</si>
  <si>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</si>
  <si>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</si>
  <si>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</si>
  <si>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</si>
  <si>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</si>
  <si>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</si>
  <si>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</si>
  <si>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</si>
  <si>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</si>
  <si>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</si>
  <si>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</si>
  <si>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</si>
  <si>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</si>
  <si>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</si>
  <si>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</si>
  <si>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</si>
  <si>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</si>
  <si>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</si>
  <si>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</si>
  <si>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</si>
  <si>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</si>
  <si>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</si>
  <si>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</si>
  <si>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</si>
  <si>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</si>
  <si>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</si>
  <si>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</si>
  <si>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</si>
  <si>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</si>
  <si>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</si>
  <si>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</si>
  <si>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</si>
  <si>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</si>
  <si>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</si>
  <si>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</si>
  <si>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</si>
  <si>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</si>
  <si>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</si>
  <si>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</si>
  <si>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</si>
  <si>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</si>
  <si>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</si>
  <si>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</si>
  <si>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</si>
  <si>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</si>
  <si>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</si>
  <si>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</si>
  <si>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</si>
  <si>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</si>
  <si>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</si>
  <si>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</si>
  <si>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</si>
  <si>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</si>
  <si>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</si>
  <si>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</si>
  <si>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</si>
  <si>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</si>
  <si>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</si>
  <si>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</si>
  <si>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</si>
  <si>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</si>
  <si>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Discount KTB</t>
  </si>
  <si>
    <t>Insentive MMKSI</t>
  </si>
  <si>
    <t>00074/OCN/01/04/2019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</si>
</sst>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44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7" xfId="2" applyNumberFormat="1" applyFont="1" applyFill="1" applyBorder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68" fontId="81" fillId="0" borderId="0" xfId="3" applyNumberFormat="1" applyFont="1"/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99" xfId="5" applyFont="1" applyFill="1" applyBorder="1" applyAlignment="1">
      <alignment horizontal="center" vertical="center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8" fillId="6" borderId="29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99" xfId="5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0" fontId="70" fillId="0" borderId="18" xfId="5" applyFont="1" applyFill="1" applyBorder="1" applyAlignment="1">
      <alignment horizontal="left"/>
    </xf>
    <xf numFmtId="0" fontId="86" fillId="52" borderId="18" xfId="5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0" fontId="90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lef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8" xfId="5" applyNumberFormat="1" applyFont="1" applyFill="1" applyBorder="1" applyAlignment="1">
      <alignment horizontal="center"/>
    </xf>
    <xf numFmtId="0" fontId="71" fillId="0" borderId="18" xfId="5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77" fillId="0" borderId="18" xfId="9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89" fillId="0" borderId="18" xfId="5" applyFont="1" applyFill="1" applyBorder="1" applyAlignment="1">
      <alignment horizontal="center"/>
    </xf>
    <xf numFmtId="0" fontId="90" fillId="52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0" fillId="0" borderId="99" xfId="5" applyFont="1" applyFill="1" applyBorder="1" applyAlignment="1">
      <alignment horizontal="center" vertical="center"/>
    </xf>
    <xf numFmtId="0" fontId="70" fillId="0" borderId="111" xfId="9" applyFont="1" applyFill="1" applyBorder="1"/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8" xfId="5" applyFont="1" applyFill="1" applyBorder="1" applyAlignment="1">
      <alignment horizontal="center" vertical="center"/>
    </xf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center"/>
    </xf>
    <xf numFmtId="0" fontId="90" fillId="0" borderId="18" xfId="5" applyFont="1" applyFill="1" applyBorder="1" applyAlignment="1">
      <alignment horizontal="center" vertical="center"/>
    </xf>
    <xf numFmtId="0" fontId="70" fillId="0" borderId="112" xfId="5" applyFont="1" applyFill="1" applyBorder="1" applyAlignment="1">
      <alignment horizontal="center" vertical="center" wrapText="1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3" fontId="70" fillId="0" borderId="18" xfId="5" applyNumberFormat="1" applyFont="1" applyFill="1" applyBorder="1" applyAlignment="1">
      <alignment horizontal="center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E5-4866-93C6-33A5BB74A64D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E5-4866-93C6-33A5BB74A64D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E5-4866-93C6-33A5BB74A64D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E5-4866-93C6-33A5BB74A64D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E5-4866-93C6-33A5BB74A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5-4866-93C6-33A5BB74A64D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E5-4866-93C6-33A5BB74A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5-4866-93C6-33A5BB74A64D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E5-4866-93C6-33A5BB74A64D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E5-4866-93C6-33A5BB74A64D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E5-4866-93C6-33A5BB74A64D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E5-4866-93C6-33A5BB74A64D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E5-4866-93C6-33A5BB74A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E5-4866-93C6-33A5BB74A6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F45"/>
  <sheetViews>
    <sheetView showGridLines="0" tabSelected="1" zoomScale="80" zoomScaleNormal="80" workbookViewId="0">
      <selection activeCell="F5" sqref="F5"/>
    </sheetView>
  </sheetViews>
  <sheetFormatPr defaultColWidth="9" defaultRowHeight="14.25" customHeight="1"/>
  <cols>
    <col min="1" max="1" width="9" style="928"/>
    <col min="2" max="2" width="6" style="1171" customWidth="1"/>
    <col min="3" max="3" width="31.28515625" style="928" bestFit="1" customWidth="1"/>
    <col min="4" max="4" width="1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2" spans="2:5" ht="14.25" customHeight="1">
      <c r="B2" s="1171" t="s">
        <v>367</v>
      </c>
    </row>
    <row r="3" spans="2:5" ht="14.25" customHeight="1">
      <c r="C3" s="1400" t="s">
        <v>489</v>
      </c>
      <c r="D3" s="1400"/>
    </row>
    <row r="5" spans="2:5" ht="14.25" customHeight="1">
      <c r="B5" s="1171" t="s">
        <v>363</v>
      </c>
    </row>
    <row r="6" spans="2:5" ht="14.25" customHeight="1">
      <c r="C6" s="1163" t="s">
        <v>352</v>
      </c>
      <c r="D6" s="1166">
        <v>36</v>
      </c>
    </row>
    <row r="7" spans="2:5" ht="14.25" customHeight="1">
      <c r="C7" s="1163" t="s">
        <v>15</v>
      </c>
      <c r="D7" s="1167">
        <v>0.13500000000000001</v>
      </c>
    </row>
    <row r="8" spans="2:5" ht="14.25" customHeight="1">
      <c r="C8" s="1164" t="s">
        <v>260</v>
      </c>
      <c r="D8" s="1172">
        <v>7.0000000000000007E-2</v>
      </c>
      <c r="E8" s="1397">
        <f>D7-D8</f>
        <v>6.5000000000000002E-2</v>
      </c>
    </row>
    <row r="9" spans="2:5" ht="14.25" customHeight="1">
      <c r="C9" s="1173" t="s">
        <v>354</v>
      </c>
      <c r="D9" s="1169">
        <v>14</v>
      </c>
    </row>
    <row r="10" spans="2:5" ht="14.25" customHeight="1">
      <c r="C10" s="1170"/>
      <c r="D10" s="1175"/>
    </row>
    <row r="11" spans="2:5" ht="14.25" customHeight="1">
      <c r="B11" s="1171" t="s">
        <v>364</v>
      </c>
    </row>
    <row r="12" spans="2:5" ht="14.25" customHeight="1">
      <c r="C12" s="1163" t="s">
        <v>360</v>
      </c>
      <c r="D12" s="1168">
        <v>330000000</v>
      </c>
    </row>
    <row r="13" spans="2:5" ht="14.25" customHeight="1">
      <c r="C13" s="1163" t="s">
        <v>378</v>
      </c>
      <c r="D13" s="1221">
        <v>4000000</v>
      </c>
    </row>
    <row r="14" spans="2:5" ht="14.25" customHeight="1">
      <c r="C14" s="1163" t="s">
        <v>379</v>
      </c>
      <c r="D14" s="1168">
        <v>33000000</v>
      </c>
      <c r="E14" s="1382"/>
    </row>
    <row r="15" spans="2:5" ht="14.25" customHeight="1">
      <c r="C15" s="1164" t="s">
        <v>361</v>
      </c>
      <c r="D15" s="1169"/>
    </row>
    <row r="16" spans="2:5" ht="14.25" customHeight="1">
      <c r="C16" s="1164" t="s">
        <v>378</v>
      </c>
      <c r="D16" s="1222"/>
    </row>
    <row r="17" spans="2:6" ht="14.25" customHeight="1">
      <c r="C17" s="1163" t="s">
        <v>379</v>
      </c>
      <c r="D17" s="1168">
        <f>D15*E14</f>
        <v>0</v>
      </c>
    </row>
    <row r="18" spans="2:6" ht="14.25" customHeight="1">
      <c r="C18" s="1163" t="s">
        <v>356</v>
      </c>
      <c r="D18" s="1168"/>
    </row>
    <row r="19" spans="2:6" ht="14.25" customHeight="1">
      <c r="C19" s="1164" t="s">
        <v>378</v>
      </c>
      <c r="D19" s="1223"/>
    </row>
    <row r="20" spans="2:6" ht="14.25" customHeight="1">
      <c r="C20" s="1163" t="s">
        <v>379</v>
      </c>
      <c r="D20" s="1168">
        <f>D18*E14</f>
        <v>0</v>
      </c>
    </row>
    <row r="21" spans="2:6" ht="14.25" customHeight="1">
      <c r="C21" s="1165" t="s">
        <v>312</v>
      </c>
      <c r="D21" s="1167">
        <v>0.30303029999999997</v>
      </c>
    </row>
    <row r="22" spans="2:6" ht="14.25" customHeight="1">
      <c r="C22" s="1163" t="s">
        <v>358</v>
      </c>
      <c r="D22" s="1177">
        <f>(D12+D15)*D21</f>
        <v>99999998.999999985</v>
      </c>
      <c r="E22" s="1162"/>
      <c r="F22" s="1162"/>
    </row>
    <row r="23" spans="2:6" ht="14.25" customHeight="1">
      <c r="C23" s="1164" t="s">
        <v>380</v>
      </c>
      <c r="D23" s="1169">
        <f>D14+D17+D20</f>
        <v>33000000</v>
      </c>
      <c r="E23" s="1396"/>
    </row>
    <row r="24" spans="2:6" ht="14.25" customHeight="1">
      <c r="C24" s="1163" t="s">
        <v>370</v>
      </c>
      <c r="D24" s="1176">
        <f>(D12-D13)+(D15-D16)+(D18-D19)</f>
        <v>326000000</v>
      </c>
    </row>
    <row r="25" spans="2:6" ht="14.25" customHeight="1">
      <c r="C25" s="1163" t="s">
        <v>336</v>
      </c>
      <c r="D25" s="1178">
        <f>D24-(D14+D17+D20)</f>
        <v>293000000</v>
      </c>
    </row>
    <row r="27" spans="2:6" ht="14.25" customHeight="1">
      <c r="B27" s="1171" t="s">
        <v>263</v>
      </c>
    </row>
    <row r="28" spans="2:6" ht="14.25" customHeight="1">
      <c r="C28" s="1163" t="s">
        <v>365</v>
      </c>
      <c r="D28" s="1168">
        <v>0</v>
      </c>
    </row>
    <row r="29" spans="2:6" ht="14.25" customHeight="1">
      <c r="C29" s="1164" t="s">
        <v>353</v>
      </c>
      <c r="D29" s="1174">
        <v>0</v>
      </c>
    </row>
    <row r="31" spans="2:6" ht="14.25" customHeight="1">
      <c r="B31" s="1171" t="s">
        <v>375</v>
      </c>
    </row>
    <row r="32" spans="2:6" ht="14.25" customHeight="1">
      <c r="C32" s="1163" t="s">
        <v>362</v>
      </c>
      <c r="D32" s="1168">
        <v>0</v>
      </c>
    </row>
    <row r="33" spans="2:4" ht="14.25" customHeight="1">
      <c r="C33" s="1163" t="s">
        <v>366</v>
      </c>
      <c r="D33" s="1176">
        <f>D32*D6</f>
        <v>0</v>
      </c>
    </row>
    <row r="34" spans="2:4" ht="14.25" customHeight="1">
      <c r="C34" s="1163" t="s">
        <v>355</v>
      </c>
      <c r="D34" s="1168">
        <v>0</v>
      </c>
    </row>
    <row r="36" spans="2:4" ht="14.25" customHeight="1">
      <c r="B36" s="1171" t="s">
        <v>369</v>
      </c>
    </row>
    <row r="37" spans="2:4" ht="14.25" customHeight="1">
      <c r="C37" s="1163" t="s">
        <v>262</v>
      </c>
      <c r="D37" s="1168">
        <v>2500000</v>
      </c>
    </row>
    <row r="39" spans="2:4" ht="14.25" customHeight="1">
      <c r="B39" s="1171" t="s">
        <v>376</v>
      </c>
    </row>
    <row r="40" spans="2:4" ht="14.25" customHeight="1">
      <c r="C40" s="1163" t="s">
        <v>376</v>
      </c>
      <c r="D40" s="1168">
        <v>0</v>
      </c>
    </row>
    <row r="42" spans="2:4" ht="14.25" customHeight="1">
      <c r="B42" s="1171" t="s">
        <v>488</v>
      </c>
    </row>
    <row r="43" spans="2:4" ht="14.25" customHeight="1">
      <c r="C43" s="1163" t="s">
        <v>376</v>
      </c>
      <c r="D43" s="1168">
        <v>22000000</v>
      </c>
    </row>
    <row r="45" spans="2:4" ht="14.25" customHeight="1">
      <c r="B45" s="1377" t="s">
        <v>472</v>
      </c>
      <c r="C45" s="1378"/>
      <c r="D45" s="1379">
        <v>0</v>
      </c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2"/>
  <cols>
    <col min="1" max="1" width="3" style="1234" customWidth="1"/>
    <col min="2" max="2" width="10.42578125" style="1234" bestFit="1" customWidth="1"/>
    <col min="3" max="3" width="9.5703125" style="1234" bestFit="1" customWidth="1"/>
    <col min="4" max="7" width="12.5703125" style="1234" customWidth="1"/>
    <col min="8" max="8" width="7.85546875" style="1234" customWidth="1"/>
    <col min="9" max="9" width="10.7109375" style="1234" customWidth="1"/>
    <col min="10" max="10" width="7.85546875" style="1234" customWidth="1"/>
    <col min="11" max="11" width="10.7109375" style="1234" customWidth="1"/>
    <col min="12" max="12" width="7.85546875" style="1234" customWidth="1"/>
    <col min="13" max="13" width="10.7109375" style="1234" customWidth="1"/>
    <col min="14" max="14" width="7.85546875" style="1234" customWidth="1"/>
    <col min="15" max="15" width="10.7109375" style="1234" customWidth="1"/>
    <col min="16" max="16" width="7.85546875" style="1234" customWidth="1"/>
    <col min="17" max="16384" width="9" style="1234"/>
  </cols>
  <sheetData>
    <row r="1" spans="1:16">
      <c r="A1" s="1233" t="s">
        <v>386</v>
      </c>
    </row>
    <row r="3" spans="1:16">
      <c r="B3" s="1235" t="s">
        <v>387</v>
      </c>
    </row>
    <row r="4" spans="1:16" ht="7.5" customHeight="1"/>
    <row r="5" spans="1:16" ht="15" customHeight="1">
      <c r="B5" s="1236" t="s">
        <v>388</v>
      </c>
      <c r="C5" s="1237" t="s">
        <v>389</v>
      </c>
      <c r="D5" s="1237" t="s">
        <v>390</v>
      </c>
      <c r="E5" s="1237" t="s">
        <v>391</v>
      </c>
      <c r="F5" s="1237" t="s">
        <v>392</v>
      </c>
      <c r="G5" s="1237" t="s">
        <v>393</v>
      </c>
      <c r="H5" s="1237" t="s">
        <v>392</v>
      </c>
      <c r="I5" s="1237" t="s">
        <v>394</v>
      </c>
      <c r="J5" s="1237" t="s">
        <v>392</v>
      </c>
      <c r="K5" s="1237" t="s">
        <v>395</v>
      </c>
      <c r="L5" s="1237" t="s">
        <v>392</v>
      </c>
      <c r="M5" s="1237" t="s">
        <v>396</v>
      </c>
      <c r="N5" s="1237" t="s">
        <v>392</v>
      </c>
      <c r="O5" s="1237" t="s">
        <v>397</v>
      </c>
      <c r="P5" s="1238" t="s">
        <v>392</v>
      </c>
    </row>
    <row r="6" spans="1:16" ht="14.25" customHeight="1">
      <c r="B6" s="1724" t="s">
        <v>398</v>
      </c>
      <c r="C6" s="1239" t="s">
        <v>399</v>
      </c>
      <c r="D6" s="1240">
        <v>0.7</v>
      </c>
      <c r="E6" s="1240">
        <v>0.65</v>
      </c>
      <c r="F6" s="1240">
        <f t="shared" ref="F6:F14" si="0">E6-D6</f>
        <v>-4.9999999999999933E-2</v>
      </c>
      <c r="G6" s="1240">
        <v>0.59</v>
      </c>
      <c r="H6" s="1240">
        <f t="shared" ref="H6:H14" si="1">G6-E6</f>
        <v>-6.0000000000000053E-2</v>
      </c>
      <c r="I6" s="1240">
        <v>0.53</v>
      </c>
      <c r="J6" s="1240">
        <f t="shared" ref="J6:J14" si="2">I6-G6</f>
        <v>-5.9999999999999942E-2</v>
      </c>
      <c r="K6" s="1241">
        <v>0.5</v>
      </c>
      <c r="L6" s="1242">
        <f t="shared" ref="L6:L14" si="3">K6-I6</f>
        <v>-3.0000000000000027E-2</v>
      </c>
      <c r="M6" s="1242">
        <v>0.44</v>
      </c>
      <c r="N6" s="1242">
        <f t="shared" ref="N6:N14" si="4">M6-K6</f>
        <v>-0.06</v>
      </c>
      <c r="O6" s="1242">
        <v>0.41</v>
      </c>
      <c r="P6" s="1242">
        <f t="shared" ref="P6:P14" si="5">O6-M6</f>
        <v>-3.0000000000000027E-2</v>
      </c>
    </row>
    <row r="7" spans="1:16" ht="14.25" customHeight="1">
      <c r="B7" s="1724"/>
      <c r="C7" s="1239" t="s">
        <v>400</v>
      </c>
      <c r="D7" s="1240">
        <v>0.67</v>
      </c>
      <c r="E7" s="1240">
        <v>0.62</v>
      </c>
      <c r="F7" s="1240">
        <f t="shared" si="0"/>
        <v>-5.0000000000000044E-2</v>
      </c>
      <c r="G7" s="1240">
        <v>0.57999999999999996</v>
      </c>
      <c r="H7" s="1240">
        <f t="shared" si="1"/>
        <v>-4.0000000000000036E-2</v>
      </c>
      <c r="I7" s="1240">
        <v>0.51</v>
      </c>
      <c r="J7" s="1240">
        <f t="shared" si="2"/>
        <v>-6.9999999999999951E-2</v>
      </c>
      <c r="K7" s="1241">
        <v>0.46</v>
      </c>
      <c r="L7" s="1242">
        <f t="shared" si="3"/>
        <v>-4.9999999999999989E-2</v>
      </c>
      <c r="M7" s="1242">
        <v>0.42</v>
      </c>
      <c r="N7" s="1242">
        <f t="shared" si="4"/>
        <v>-4.0000000000000036E-2</v>
      </c>
      <c r="O7" s="1242">
        <v>0.36</v>
      </c>
      <c r="P7" s="1242">
        <f t="shared" si="5"/>
        <v>-0.06</v>
      </c>
    </row>
    <row r="8" spans="1:16" ht="14.25" customHeight="1">
      <c r="B8" s="1724" t="s">
        <v>401</v>
      </c>
      <c r="C8" s="1239" t="s">
        <v>399</v>
      </c>
      <c r="D8" s="1240">
        <v>0.68</v>
      </c>
      <c r="E8" s="1240">
        <v>0.63</v>
      </c>
      <c r="F8" s="1240">
        <f t="shared" si="0"/>
        <v>-5.0000000000000044E-2</v>
      </c>
      <c r="G8" s="1240">
        <v>0.56000000000000005</v>
      </c>
      <c r="H8" s="1240">
        <f t="shared" si="1"/>
        <v>-6.9999999999999951E-2</v>
      </c>
      <c r="I8" s="1240">
        <v>0.51</v>
      </c>
      <c r="J8" s="1240">
        <f t="shared" si="2"/>
        <v>-5.0000000000000044E-2</v>
      </c>
      <c r="K8" s="1241">
        <v>0.48</v>
      </c>
      <c r="L8" s="1242">
        <f t="shared" si="3"/>
        <v>-3.0000000000000027E-2</v>
      </c>
      <c r="M8" s="1242">
        <v>0.43</v>
      </c>
      <c r="N8" s="1242">
        <f t="shared" si="4"/>
        <v>-4.9999999999999989E-2</v>
      </c>
      <c r="O8" s="1242">
        <v>0.37</v>
      </c>
      <c r="P8" s="1242">
        <f t="shared" si="5"/>
        <v>-0.06</v>
      </c>
    </row>
    <row r="9" spans="1:16" ht="14.25" customHeight="1">
      <c r="B9" s="1724"/>
      <c r="C9" s="1239" t="s">
        <v>400</v>
      </c>
      <c r="D9" s="1240">
        <v>0.66</v>
      </c>
      <c r="E9" s="1240">
        <v>0.57999999999999996</v>
      </c>
      <c r="F9" s="1240">
        <f t="shared" si="0"/>
        <v>-8.0000000000000071E-2</v>
      </c>
      <c r="G9" s="1240">
        <v>0.52</v>
      </c>
      <c r="H9" s="1240">
        <f t="shared" si="1"/>
        <v>-5.9999999999999942E-2</v>
      </c>
      <c r="I9" s="1240">
        <v>0.47</v>
      </c>
      <c r="J9" s="1240">
        <f t="shared" si="2"/>
        <v>-5.0000000000000044E-2</v>
      </c>
      <c r="K9" s="1241">
        <v>0.42</v>
      </c>
      <c r="L9" s="1242">
        <f t="shared" si="3"/>
        <v>-4.9999999999999989E-2</v>
      </c>
      <c r="M9" s="1242">
        <v>0.38</v>
      </c>
      <c r="N9" s="1242">
        <f t="shared" si="4"/>
        <v>-3.999999999999998E-2</v>
      </c>
      <c r="O9" s="1242">
        <v>0.32</v>
      </c>
      <c r="P9" s="1242">
        <f t="shared" si="5"/>
        <v>-0.06</v>
      </c>
    </row>
    <row r="10" spans="1:16" ht="14.25" customHeight="1">
      <c r="B10" s="1725" t="s">
        <v>402</v>
      </c>
      <c r="C10" s="1239" t="s">
        <v>403</v>
      </c>
      <c r="D10" s="1240">
        <v>0.67</v>
      </c>
      <c r="E10" s="1240">
        <v>0.61</v>
      </c>
      <c r="F10" s="1240">
        <f t="shared" si="0"/>
        <v>-6.0000000000000053E-2</v>
      </c>
      <c r="G10" s="1240">
        <v>0.53</v>
      </c>
      <c r="H10" s="1240">
        <f t="shared" si="1"/>
        <v>-7.999999999999996E-2</v>
      </c>
      <c r="I10" s="1240">
        <v>0.49</v>
      </c>
      <c r="J10" s="1240">
        <f t="shared" si="2"/>
        <v>-4.0000000000000036E-2</v>
      </c>
      <c r="K10" s="1241">
        <v>0.44</v>
      </c>
      <c r="L10" s="1242">
        <f t="shared" si="3"/>
        <v>-4.9999999999999989E-2</v>
      </c>
      <c r="M10" s="1242">
        <v>0.39</v>
      </c>
      <c r="N10" s="1242">
        <f t="shared" si="4"/>
        <v>-4.9999999999999989E-2</v>
      </c>
      <c r="O10" s="1242">
        <v>0.35</v>
      </c>
      <c r="P10" s="1242">
        <f t="shared" si="5"/>
        <v>-4.0000000000000036E-2</v>
      </c>
    </row>
    <row r="11" spans="1:16" ht="14.25" customHeight="1">
      <c r="B11" s="1725"/>
      <c r="C11" s="1239" t="s">
        <v>404</v>
      </c>
      <c r="D11" s="1240">
        <v>0.66</v>
      </c>
      <c r="E11" s="1240">
        <v>0.56999999999999995</v>
      </c>
      <c r="F11" s="1240">
        <f t="shared" si="0"/>
        <v>-9.000000000000008E-2</v>
      </c>
      <c r="G11" s="1240">
        <v>0.51</v>
      </c>
      <c r="H11" s="1240">
        <f t="shared" si="1"/>
        <v>-5.9999999999999942E-2</v>
      </c>
      <c r="I11" s="1240">
        <v>0.46</v>
      </c>
      <c r="J11" s="1240">
        <f t="shared" si="2"/>
        <v>-4.9999999999999989E-2</v>
      </c>
      <c r="K11" s="1241">
        <v>0.41</v>
      </c>
      <c r="L11" s="1242">
        <f t="shared" si="3"/>
        <v>-5.0000000000000044E-2</v>
      </c>
      <c r="M11" s="1242">
        <v>0.38</v>
      </c>
      <c r="N11" s="1242">
        <f t="shared" si="4"/>
        <v>-2.9999999999999971E-2</v>
      </c>
      <c r="O11" s="1242">
        <v>0.3</v>
      </c>
      <c r="P11" s="1242">
        <f t="shared" si="5"/>
        <v>-8.0000000000000016E-2</v>
      </c>
    </row>
    <row r="12" spans="1:16" ht="14.25" customHeight="1">
      <c r="B12" s="1725" t="s">
        <v>405</v>
      </c>
      <c r="C12" s="1239" t="s">
        <v>403</v>
      </c>
      <c r="D12" s="1240">
        <v>0.7</v>
      </c>
      <c r="E12" s="1240">
        <v>0.65</v>
      </c>
      <c r="F12" s="1240">
        <f t="shared" si="0"/>
        <v>-4.9999999999999933E-2</v>
      </c>
      <c r="G12" s="1240">
        <v>0.6</v>
      </c>
      <c r="H12" s="1240">
        <f t="shared" si="1"/>
        <v>-5.0000000000000044E-2</v>
      </c>
      <c r="I12" s="1240">
        <v>0.59962149361841677</v>
      </c>
      <c r="J12" s="1240">
        <f t="shared" si="2"/>
        <v>-3.7850638158321015E-4</v>
      </c>
      <c r="K12" s="1241">
        <v>0.5</v>
      </c>
      <c r="L12" s="1242">
        <f t="shared" si="3"/>
        <v>-9.9621493618416768E-2</v>
      </c>
      <c r="M12" s="1242">
        <v>0.48</v>
      </c>
      <c r="N12" s="1242">
        <f t="shared" si="4"/>
        <v>-2.0000000000000018E-2</v>
      </c>
      <c r="O12" s="1242">
        <v>0.38</v>
      </c>
      <c r="P12" s="1242">
        <f t="shared" si="5"/>
        <v>-9.9999999999999978E-2</v>
      </c>
    </row>
    <row r="13" spans="1:16" ht="14.25" customHeight="1">
      <c r="B13" s="1724"/>
      <c r="C13" s="1239" t="s">
        <v>404</v>
      </c>
      <c r="D13" s="1240">
        <v>0.8</v>
      </c>
      <c r="E13" s="1240">
        <v>0.72148589524728901</v>
      </c>
      <c r="F13" s="1240">
        <f t="shared" si="0"/>
        <v>-7.8514104752711034E-2</v>
      </c>
      <c r="G13" s="1240">
        <v>0.6111343829590975</v>
      </c>
      <c r="H13" s="1240">
        <f t="shared" si="1"/>
        <v>-0.11035151228819151</v>
      </c>
      <c r="I13" s="1240">
        <v>0.6</v>
      </c>
      <c r="J13" s="1240">
        <f t="shared" si="2"/>
        <v>-1.1134382959097522E-2</v>
      </c>
      <c r="K13" s="1241">
        <v>0.5</v>
      </c>
      <c r="L13" s="1242">
        <f t="shared" si="3"/>
        <v>-9.9999999999999978E-2</v>
      </c>
      <c r="M13" s="1242">
        <v>0.48</v>
      </c>
      <c r="N13" s="1242">
        <f t="shared" si="4"/>
        <v>-2.0000000000000018E-2</v>
      </c>
      <c r="O13" s="1242">
        <v>0.46</v>
      </c>
      <c r="P13" s="1242">
        <f t="shared" si="5"/>
        <v>-1.9999999999999962E-2</v>
      </c>
    </row>
    <row r="14" spans="1:16" ht="22.5" customHeight="1">
      <c r="B14" s="1243" t="s">
        <v>406</v>
      </c>
      <c r="C14" s="1239" t="s">
        <v>403</v>
      </c>
      <c r="D14" s="1240">
        <v>0.55000000000000004</v>
      </c>
      <c r="E14" s="1240">
        <v>0.5</v>
      </c>
      <c r="F14" s="1240">
        <f t="shared" si="0"/>
        <v>-5.0000000000000044E-2</v>
      </c>
      <c r="G14" s="1240">
        <v>0.45</v>
      </c>
      <c r="H14" s="1240">
        <f t="shared" si="1"/>
        <v>-4.9999999999999989E-2</v>
      </c>
      <c r="I14" s="1240">
        <v>0.4</v>
      </c>
      <c r="J14" s="1240">
        <f t="shared" si="2"/>
        <v>-4.9999999999999989E-2</v>
      </c>
      <c r="K14" s="1241">
        <v>0.35</v>
      </c>
      <c r="L14" s="1242">
        <f t="shared" si="3"/>
        <v>-5.0000000000000044E-2</v>
      </c>
      <c r="M14" s="1242">
        <v>0.3</v>
      </c>
      <c r="N14" s="1242">
        <f t="shared" si="4"/>
        <v>-4.9999999999999989E-2</v>
      </c>
      <c r="O14" s="1242">
        <v>0.25</v>
      </c>
      <c r="P14" s="1242">
        <f t="shared" si="5"/>
        <v>-4.9999999999999989E-2</v>
      </c>
    </row>
    <row r="15" spans="1:16">
      <c r="B15" s="1244"/>
      <c r="C15" s="1245"/>
      <c r="D15" s="1246"/>
      <c r="E15" s="1246"/>
      <c r="F15" s="1246"/>
      <c r="G15" s="1246"/>
      <c r="H15" s="1246"/>
      <c r="I15" s="1246"/>
      <c r="J15" s="1246"/>
      <c r="K15" s="1247"/>
      <c r="L15" s="1246"/>
      <c r="M15" s="1246"/>
      <c r="N15" s="1246"/>
      <c r="O15" s="1246"/>
      <c r="P15" s="1246"/>
    </row>
    <row r="16" spans="1:16">
      <c r="B16" s="1248" t="s">
        <v>407</v>
      </c>
      <c r="C16" s="1245"/>
      <c r="D16" s="1246"/>
      <c r="E16" s="1246"/>
      <c r="F16" s="1246"/>
      <c r="G16" s="1246"/>
      <c r="H16" s="1246"/>
      <c r="I16" s="1246"/>
      <c r="J16" s="1246"/>
      <c r="K16" s="1247"/>
      <c r="L16" s="1246"/>
      <c r="M16" s="1246"/>
      <c r="N16" s="1246"/>
      <c r="O16" s="1246"/>
      <c r="P16" s="1246"/>
    </row>
    <row r="17" spans="2:16" ht="7.5" customHeight="1"/>
    <row r="18" spans="2:16" ht="15" customHeight="1">
      <c r="B18" s="1236" t="s">
        <v>408</v>
      </c>
      <c r="C18" s="1237" t="s">
        <v>389</v>
      </c>
      <c r="D18" s="1237" t="s">
        <v>409</v>
      </c>
      <c r="E18" s="1237" t="s">
        <v>410</v>
      </c>
      <c r="F18" s="1237" t="s">
        <v>411</v>
      </c>
      <c r="G18" s="1238" t="s">
        <v>412</v>
      </c>
    </row>
    <row r="19" spans="2:16" s="1255" customFormat="1" ht="14.25" customHeight="1">
      <c r="B19" s="1724" t="s">
        <v>413</v>
      </c>
      <c r="C19" s="1239" t="s">
        <v>399</v>
      </c>
      <c r="D19" s="1249">
        <v>227600000</v>
      </c>
      <c r="E19" s="1250">
        <v>10000000</v>
      </c>
      <c r="F19" s="1251">
        <f t="shared" ref="F19:F20" si="6">D19-E19</f>
        <v>217600000</v>
      </c>
      <c r="G19" s="1252">
        <f t="shared" ref="G19:G20" si="7">F19/D19</f>
        <v>0.95606326889279436</v>
      </c>
      <c r="H19" s="1253" t="s">
        <v>414</v>
      </c>
      <c r="I19" s="1254" t="s">
        <v>415</v>
      </c>
      <c r="K19" s="1256"/>
    </row>
    <row r="20" spans="2:16" s="1255" customFormat="1" ht="14.25" customHeight="1">
      <c r="B20" s="1724"/>
      <c r="C20" s="1239" t="s">
        <v>400</v>
      </c>
      <c r="D20" s="1249">
        <v>238000000</v>
      </c>
      <c r="E20" s="1250">
        <v>10000000</v>
      </c>
      <c r="F20" s="1251">
        <f t="shared" si="6"/>
        <v>228000000</v>
      </c>
      <c r="G20" s="1252">
        <f t="shared" si="7"/>
        <v>0.95798319327731096</v>
      </c>
      <c r="H20" s="1253"/>
      <c r="I20" s="1254"/>
      <c r="K20" s="1256"/>
    </row>
    <row r="21" spans="2:16" ht="14.25" customHeight="1">
      <c r="B21" s="1724" t="s">
        <v>401</v>
      </c>
      <c r="C21" s="1239" t="s">
        <v>399</v>
      </c>
      <c r="D21" s="1257">
        <v>208950000</v>
      </c>
      <c r="E21" s="1258">
        <v>20000000</v>
      </c>
      <c r="F21" s="1251">
        <f>D21-E21</f>
        <v>188950000</v>
      </c>
      <c r="G21" s="1259">
        <f>F21/D21</f>
        <v>0.90428332136874845</v>
      </c>
      <c r="H21" s="1260" t="s">
        <v>416</v>
      </c>
      <c r="I21" s="1254" t="s">
        <v>417</v>
      </c>
      <c r="K21" s="1256"/>
    </row>
    <row r="22" spans="2:16" ht="14.25" customHeight="1">
      <c r="B22" s="1724"/>
      <c r="C22" s="1239" t="s">
        <v>418</v>
      </c>
      <c r="D22" s="1257">
        <v>219650000</v>
      </c>
      <c r="E22" s="1258">
        <v>20000000</v>
      </c>
      <c r="F22" s="1251">
        <f>D22-E22</f>
        <v>199650000</v>
      </c>
      <c r="G22" s="1252">
        <f>F22/D22</f>
        <v>0.90894605053494193</v>
      </c>
      <c r="H22" s="1261"/>
      <c r="I22" s="1261"/>
      <c r="K22" s="1256"/>
    </row>
    <row r="23" spans="2:16" ht="14.25" customHeight="1">
      <c r="B23" s="1725" t="s">
        <v>402</v>
      </c>
      <c r="C23" s="1239" t="s">
        <v>403</v>
      </c>
      <c r="D23" s="1257">
        <v>198600000</v>
      </c>
      <c r="E23" s="1258">
        <v>20000000</v>
      </c>
      <c r="F23" s="1251">
        <f t="shared" ref="F23:F27" si="8">D23-E23</f>
        <v>178600000</v>
      </c>
      <c r="G23" s="1252">
        <f t="shared" ref="G23:G27" si="9">F23/D23</f>
        <v>0.89929506545820748</v>
      </c>
      <c r="H23" s="1260" t="s">
        <v>414</v>
      </c>
      <c r="I23" s="1254" t="s">
        <v>417</v>
      </c>
      <c r="K23" s="1256"/>
    </row>
    <row r="24" spans="2:16" ht="14.25" customHeight="1">
      <c r="B24" s="1725"/>
      <c r="C24" s="1239" t="s">
        <v>404</v>
      </c>
      <c r="D24" s="1257">
        <v>210450000</v>
      </c>
      <c r="E24" s="1258">
        <v>20000000</v>
      </c>
      <c r="F24" s="1251">
        <f t="shared" si="8"/>
        <v>190450000</v>
      </c>
      <c r="G24" s="1252">
        <f t="shared" si="9"/>
        <v>0.90496555001187928</v>
      </c>
      <c r="H24" s="1261"/>
      <c r="I24" s="1261"/>
      <c r="K24" s="1256"/>
    </row>
    <row r="25" spans="2:16" ht="14.25" customHeight="1">
      <c r="B25" s="1725" t="s">
        <v>419</v>
      </c>
      <c r="C25" s="1239" t="s">
        <v>403</v>
      </c>
      <c r="D25" s="1257">
        <v>305150000</v>
      </c>
      <c r="E25" s="1258">
        <v>35000000</v>
      </c>
      <c r="F25" s="1251">
        <f t="shared" si="8"/>
        <v>270150000</v>
      </c>
      <c r="G25" s="1252">
        <f t="shared" si="9"/>
        <v>0.8853023103391775</v>
      </c>
      <c r="H25" s="1260" t="s">
        <v>414</v>
      </c>
      <c r="I25" s="1254" t="s">
        <v>420</v>
      </c>
      <c r="K25" s="1256"/>
    </row>
    <row r="26" spans="2:16" ht="14.25" customHeight="1">
      <c r="B26" s="1724"/>
      <c r="C26" s="1239" t="s">
        <v>404</v>
      </c>
      <c r="D26" s="1257">
        <v>325350000</v>
      </c>
      <c r="E26" s="1258">
        <v>35000000</v>
      </c>
      <c r="F26" s="1251">
        <f t="shared" si="8"/>
        <v>290350000</v>
      </c>
      <c r="G26" s="1252">
        <f t="shared" si="9"/>
        <v>0.89242354387582601</v>
      </c>
      <c r="H26" s="1261"/>
      <c r="I26" s="1261"/>
      <c r="K26" s="1256"/>
    </row>
    <row r="27" spans="2:16" ht="22.5" customHeight="1">
      <c r="B27" s="1243" t="s">
        <v>406</v>
      </c>
      <c r="C27" s="1239" t="s">
        <v>403</v>
      </c>
      <c r="D27" s="1257">
        <v>155375000</v>
      </c>
      <c r="E27" s="1258">
        <v>20000000</v>
      </c>
      <c r="F27" s="1251">
        <f t="shared" si="8"/>
        <v>135375000</v>
      </c>
      <c r="G27" s="1252">
        <f t="shared" si="9"/>
        <v>0.87127916331456157</v>
      </c>
      <c r="H27" s="1260" t="s">
        <v>416</v>
      </c>
      <c r="I27" s="1254" t="s">
        <v>421</v>
      </c>
      <c r="K27" s="1256"/>
    </row>
    <row r="29" spans="2:16">
      <c r="B29" s="1234" t="s">
        <v>422</v>
      </c>
    </row>
    <row r="30" spans="2:16" ht="7.5" customHeight="1"/>
    <row r="31" spans="2:16" ht="15" customHeight="1">
      <c r="B31" s="1236" t="s">
        <v>388</v>
      </c>
      <c r="C31" s="1237" t="s">
        <v>389</v>
      </c>
      <c r="D31" s="1237" t="s">
        <v>390</v>
      </c>
      <c r="E31" s="1237" t="s">
        <v>391</v>
      </c>
      <c r="F31" s="1237" t="s">
        <v>423</v>
      </c>
      <c r="G31" s="1237" t="s">
        <v>393</v>
      </c>
      <c r="H31" s="1237" t="s">
        <v>392</v>
      </c>
      <c r="I31" s="1237" t="s">
        <v>394</v>
      </c>
      <c r="J31" s="1237" t="s">
        <v>392</v>
      </c>
      <c r="K31" s="1237" t="s">
        <v>424</v>
      </c>
      <c r="L31" s="1237" t="s">
        <v>392</v>
      </c>
      <c r="M31" s="1237" t="s">
        <v>396</v>
      </c>
      <c r="N31" s="1237" t="s">
        <v>392</v>
      </c>
      <c r="O31" s="1237" t="s">
        <v>397</v>
      </c>
      <c r="P31" s="1238" t="s">
        <v>392</v>
      </c>
    </row>
    <row r="32" spans="2:16" ht="14.25" customHeight="1">
      <c r="B32" s="1724" t="s">
        <v>413</v>
      </c>
      <c r="C32" s="1239" t="s">
        <v>399</v>
      </c>
      <c r="D32" s="1240">
        <f>ROUNDDOWN(G19-(($G19-K32)/5),10)</f>
        <v>0.86485061510000005</v>
      </c>
      <c r="E32" s="1240">
        <f>ROUNDDOWN(D32-(($D32-$K32)/4),10)</f>
        <v>0.77363796129999995</v>
      </c>
      <c r="F32" s="1240">
        <f t="shared" ref="F32:F39" si="10">E32-D32</f>
        <v>-9.1212653800000099E-2</v>
      </c>
      <c r="G32" s="1240">
        <f>ROUNDDOWN($E32-(($D32-$K32)/4),10)</f>
        <v>0.68242530749999997</v>
      </c>
      <c r="H32" s="1240">
        <f t="shared" ref="H32:H40" si="11">G32-E32</f>
        <v>-9.1212653799999988E-2</v>
      </c>
      <c r="I32" s="1240">
        <f>ROUNDDOWN($G32-(($D32-$K32)/4),10)</f>
        <v>0.59121265369999998</v>
      </c>
      <c r="J32" s="1240">
        <f t="shared" ref="J32:J40" si="12">I32-G32</f>
        <v>-9.1212653799999988E-2</v>
      </c>
      <c r="K32" s="1241">
        <v>0.5</v>
      </c>
      <c r="L32" s="1241">
        <v>-3.0000000000000027E-2</v>
      </c>
      <c r="M32" s="1241">
        <v>0.44</v>
      </c>
      <c r="N32" s="1241">
        <v>-0.06</v>
      </c>
      <c r="O32" s="1241">
        <v>0.41</v>
      </c>
      <c r="P32" s="1241">
        <v>-3.0000000000000027E-2</v>
      </c>
    </row>
    <row r="33" spans="2:16" ht="14.25" customHeight="1">
      <c r="B33" s="1724"/>
      <c r="C33" s="1239" t="s">
        <v>400</v>
      </c>
      <c r="D33" s="1240">
        <f>ROUNDDOWN(G20-(($G20-K33)/5),10)</f>
        <v>0.85838655460000002</v>
      </c>
      <c r="E33" s="1240">
        <f t="shared" ref="E33:E40" si="13">ROUNDDOWN(D33-(($D33-$K33)/4),10)</f>
        <v>0.7587899159</v>
      </c>
      <c r="F33" s="1240">
        <f t="shared" si="10"/>
        <v>-9.9596638700000018E-2</v>
      </c>
      <c r="G33" s="1240">
        <f t="shared" ref="G33:G40" si="14">ROUNDDOWN($E33-(($D33-$K33)/4),10)</f>
        <v>0.65919327719999998</v>
      </c>
      <c r="H33" s="1240">
        <f t="shared" si="11"/>
        <v>-9.9596638700000018E-2</v>
      </c>
      <c r="I33" s="1240">
        <f t="shared" ref="I33:I40" si="15">ROUNDDOWN($G33-(($D33-$K33)/4),10)</f>
        <v>0.55959663849999997</v>
      </c>
      <c r="J33" s="1240">
        <f t="shared" si="12"/>
        <v>-9.9596638700000018E-2</v>
      </c>
      <c r="K33" s="1241">
        <v>0.46</v>
      </c>
      <c r="L33" s="1241">
        <v>-4.9999999999999989E-2</v>
      </c>
      <c r="M33" s="1241">
        <v>0.42</v>
      </c>
      <c r="N33" s="1241">
        <v>-4.0000000000000036E-2</v>
      </c>
      <c r="O33" s="1241">
        <v>0.36</v>
      </c>
      <c r="P33" s="1241">
        <v>-0.06</v>
      </c>
    </row>
    <row r="34" spans="2:16" ht="14.25" customHeight="1">
      <c r="B34" s="1724" t="s">
        <v>401</v>
      </c>
      <c r="C34" s="1239" t="s">
        <v>425</v>
      </c>
      <c r="D34" s="1240">
        <f>ROUNDDOWN(G21-(($G21-K34)/5),10)</f>
        <v>0.81856644759999997</v>
      </c>
      <c r="E34" s="1240">
        <f t="shared" si="13"/>
        <v>0.73284957390000005</v>
      </c>
      <c r="F34" s="1262">
        <f t="shared" si="10"/>
        <v>-8.5716873699999918E-2</v>
      </c>
      <c r="G34" s="1240">
        <f t="shared" si="14"/>
        <v>0.64713270020000002</v>
      </c>
      <c r="H34" s="1240">
        <f t="shared" si="11"/>
        <v>-8.5716873700000029E-2</v>
      </c>
      <c r="I34" s="1240">
        <f t="shared" si="15"/>
        <v>0.56141582649999999</v>
      </c>
      <c r="J34" s="1240">
        <f t="shared" si="12"/>
        <v>-8.5716873700000029E-2</v>
      </c>
      <c r="K34" s="1241">
        <v>0.4756989528115943</v>
      </c>
      <c r="L34" s="1241">
        <v>-3.7536248438990116E-2</v>
      </c>
      <c r="M34" s="1241">
        <v>0.4271951864281216</v>
      </c>
      <c r="N34" s="1241">
        <v>-4.8503766383472702E-2</v>
      </c>
      <c r="O34" s="1241">
        <v>0.37083639047115696</v>
      </c>
      <c r="P34" s="1241">
        <v>-5.6358795956964636E-2</v>
      </c>
    </row>
    <row r="35" spans="2:16" ht="14.25" customHeight="1">
      <c r="B35" s="1724"/>
      <c r="C35" s="1239" t="s">
        <v>400</v>
      </c>
      <c r="D35" s="1240">
        <f>ROUNDDOWN(G22-(($G22-K35)/5),10)</f>
        <v>0.81043325160000002</v>
      </c>
      <c r="E35" s="1240">
        <f t="shared" si="13"/>
        <v>0.71192045270000004</v>
      </c>
      <c r="F35" s="1240">
        <f t="shared" si="10"/>
        <v>-9.8512798899999976E-2</v>
      </c>
      <c r="G35" s="1240">
        <f t="shared" si="14"/>
        <v>0.61340765379999995</v>
      </c>
      <c r="H35" s="1240">
        <f t="shared" si="11"/>
        <v>-9.8512798900000087E-2</v>
      </c>
      <c r="I35" s="1240">
        <f t="shared" si="15"/>
        <v>0.51489485489999998</v>
      </c>
      <c r="J35" s="1240">
        <f t="shared" si="12"/>
        <v>-9.8512798899999976E-2</v>
      </c>
      <c r="K35" s="1241">
        <v>0.41638205607799167</v>
      </c>
      <c r="L35" s="1241">
        <v>-5.3146019281810952E-2</v>
      </c>
      <c r="M35" s="1241">
        <v>0.38066154682671915</v>
      </c>
      <c r="N35" s="1241">
        <v>-3.5720509251272514E-2</v>
      </c>
      <c r="O35" s="1241">
        <v>0.32256155582458629</v>
      </c>
      <c r="P35" s="1241">
        <v>-5.8099991002132867E-2</v>
      </c>
    </row>
    <row r="36" spans="2:16" ht="14.25" customHeight="1">
      <c r="B36" s="1725" t="s">
        <v>402</v>
      </c>
      <c r="C36" s="1239" t="s">
        <v>403</v>
      </c>
      <c r="D36" s="1240">
        <f t="shared" ref="D36:D39" si="16">ROUNDDOWN(G23-(($G23-K36)/5),10)</f>
        <v>0.80733046639999995</v>
      </c>
      <c r="E36" s="1240">
        <f t="shared" si="13"/>
        <v>0.71536586739999997</v>
      </c>
      <c r="F36" s="1240">
        <f t="shared" si="10"/>
        <v>-9.196459899999998E-2</v>
      </c>
      <c r="G36" s="1240">
        <f t="shared" si="14"/>
        <v>0.62340126839999999</v>
      </c>
      <c r="H36" s="1240">
        <f t="shared" si="11"/>
        <v>-9.196459899999998E-2</v>
      </c>
      <c r="I36" s="1240">
        <f t="shared" si="15"/>
        <v>0.53143666940000001</v>
      </c>
      <c r="J36" s="1240">
        <f t="shared" si="12"/>
        <v>-9.196459899999998E-2</v>
      </c>
      <c r="K36" s="1241">
        <v>0.43947207064755306</v>
      </c>
      <c r="L36" s="1241">
        <v>-5.2721328512380539E-2</v>
      </c>
      <c r="M36" s="1241">
        <v>0.39096362891522385</v>
      </c>
      <c r="N36" s="1241">
        <v>-4.8508441732329211E-2</v>
      </c>
      <c r="O36" s="1241">
        <v>0.34723891655618083</v>
      </c>
      <c r="P36" s="1241">
        <v>-4.3724712359043016E-2</v>
      </c>
    </row>
    <row r="37" spans="2:16" ht="14.25" customHeight="1">
      <c r="B37" s="1725"/>
      <c r="C37" s="1239" t="s">
        <v>404</v>
      </c>
      <c r="D37" s="1240">
        <f t="shared" si="16"/>
        <v>0.80640397730000002</v>
      </c>
      <c r="E37" s="1240">
        <f t="shared" si="13"/>
        <v>0.70784240470000004</v>
      </c>
      <c r="F37" s="1240">
        <f t="shared" si="10"/>
        <v>-9.856157259999998E-2</v>
      </c>
      <c r="G37" s="1240">
        <f t="shared" si="14"/>
        <v>0.60928083209999995</v>
      </c>
      <c r="H37" s="1240">
        <f t="shared" si="11"/>
        <v>-9.8561572600000091E-2</v>
      </c>
      <c r="I37" s="1240">
        <f t="shared" si="15"/>
        <v>0.51071925949999997</v>
      </c>
      <c r="J37" s="1240">
        <f t="shared" si="12"/>
        <v>-9.856157259999998E-2</v>
      </c>
      <c r="K37" s="1241">
        <v>0.4121576869216495</v>
      </c>
      <c r="L37" s="1241">
        <v>-4.7842313078350518E-2</v>
      </c>
      <c r="M37" s="1241">
        <v>0.38280488404837432</v>
      </c>
      <c r="N37" s="1241">
        <v>-2.9352802873275186E-2</v>
      </c>
      <c r="O37" s="1241">
        <v>0.30073106980323477</v>
      </c>
      <c r="P37" s="1241">
        <v>-8.2073814245139542E-2</v>
      </c>
    </row>
    <row r="38" spans="2:16" ht="14.25" customHeight="1">
      <c r="B38" s="1725" t="s">
        <v>426</v>
      </c>
      <c r="C38" s="1239" t="s">
        <v>403</v>
      </c>
      <c r="D38" s="1240">
        <f t="shared" si="16"/>
        <v>0.8082418482</v>
      </c>
      <c r="E38" s="1240">
        <f t="shared" si="13"/>
        <v>0.73118138610000005</v>
      </c>
      <c r="F38" s="1240">
        <f t="shared" si="10"/>
        <v>-7.7060462099999949E-2</v>
      </c>
      <c r="G38" s="1240">
        <f t="shared" si="14"/>
        <v>0.65412092399999999</v>
      </c>
      <c r="H38" s="1240">
        <f t="shared" si="11"/>
        <v>-7.706046210000006E-2</v>
      </c>
      <c r="I38" s="1240">
        <f t="shared" si="15"/>
        <v>0.57706046190000004</v>
      </c>
      <c r="J38" s="1240">
        <f t="shared" si="12"/>
        <v>-7.7060462099999949E-2</v>
      </c>
      <c r="K38" s="1241">
        <v>0.5</v>
      </c>
      <c r="L38" s="1241">
        <v>-9.9621493618416768E-2</v>
      </c>
      <c r="M38" s="1241">
        <v>0.48</v>
      </c>
      <c r="N38" s="1241">
        <v>-2.0000000000000018E-2</v>
      </c>
      <c r="O38" s="1241">
        <v>0.37659150786639212</v>
      </c>
      <c r="P38" s="1241">
        <v>-0.10340849213360787</v>
      </c>
    </row>
    <row r="39" spans="2:16" ht="14.25" customHeight="1">
      <c r="B39" s="1724"/>
      <c r="C39" s="1239" t="s">
        <v>404</v>
      </c>
      <c r="D39" s="1240">
        <f t="shared" si="16"/>
        <v>0.81393883509999998</v>
      </c>
      <c r="E39" s="1240">
        <f t="shared" si="13"/>
        <v>0.73545412629999996</v>
      </c>
      <c r="F39" s="1240">
        <f t="shared" si="10"/>
        <v>-7.8484708800000025E-2</v>
      </c>
      <c r="G39" s="1240">
        <f t="shared" si="14"/>
        <v>0.65696941750000004</v>
      </c>
      <c r="H39" s="1240">
        <f t="shared" si="11"/>
        <v>-7.8484708799999914E-2</v>
      </c>
      <c r="I39" s="1240">
        <f t="shared" si="15"/>
        <v>0.57848470870000002</v>
      </c>
      <c r="J39" s="1240">
        <f t="shared" si="12"/>
        <v>-7.8484708800000025E-2</v>
      </c>
      <c r="K39" s="1241">
        <v>0.5</v>
      </c>
      <c r="L39" s="1241">
        <v>-9.9999999999999978E-2</v>
      </c>
      <c r="M39" s="1241">
        <v>0.48</v>
      </c>
      <c r="N39" s="1241">
        <v>-2.0000000000000018E-2</v>
      </c>
      <c r="O39" s="1241">
        <v>0.45924539631388245</v>
      </c>
      <c r="P39" s="1241">
        <v>-2.0754603686117534E-2</v>
      </c>
    </row>
    <row r="40" spans="2:16" ht="22.5" customHeight="1">
      <c r="B40" s="1243" t="s">
        <v>406</v>
      </c>
      <c r="C40" s="1239" t="s">
        <v>403</v>
      </c>
      <c r="D40" s="1240">
        <f>ROUNDDOWN(G27-(($G27-K40)/5),10)</f>
        <v>0.76702333060000005</v>
      </c>
      <c r="E40" s="1240">
        <f t="shared" si="13"/>
        <v>0.6627674979</v>
      </c>
      <c r="F40" s="1240">
        <f>E40-D40</f>
        <v>-0.10425583270000005</v>
      </c>
      <c r="G40" s="1240">
        <f t="shared" si="14"/>
        <v>0.55851166519999995</v>
      </c>
      <c r="H40" s="1240">
        <f t="shared" si="11"/>
        <v>-0.10425583270000005</v>
      </c>
      <c r="I40" s="1240">
        <f t="shared" si="15"/>
        <v>0.45425583250000001</v>
      </c>
      <c r="J40" s="1240">
        <f t="shared" si="12"/>
        <v>-0.10425583269999994</v>
      </c>
      <c r="K40" s="1241">
        <v>0.35</v>
      </c>
      <c r="L40" s="1241">
        <v>-5.0000000000000044E-2</v>
      </c>
      <c r="M40" s="1241">
        <v>0.3</v>
      </c>
      <c r="N40" s="1241">
        <v>-4.9999999999999989E-2</v>
      </c>
      <c r="O40" s="1241">
        <v>0.25</v>
      </c>
      <c r="P40" s="1241">
        <v>-4.9999999999999989E-2</v>
      </c>
    </row>
    <row r="42" spans="2:16">
      <c r="B42" s="1234" t="s">
        <v>427</v>
      </c>
    </row>
    <row r="43" spans="2:16">
      <c r="B43" s="1234" t="s">
        <v>428</v>
      </c>
    </row>
    <row r="44" spans="2:16">
      <c r="B44" s="1234" t="s">
        <v>429</v>
      </c>
    </row>
    <row r="46" spans="2:16">
      <c r="B46" s="1234" t="s">
        <v>430</v>
      </c>
    </row>
    <row r="47" spans="2:16" ht="7.5" customHeight="1" thickBot="1"/>
    <row r="48" spans="2:16" ht="15" customHeight="1" thickTop="1">
      <c r="B48" s="1263" t="s">
        <v>431</v>
      </c>
      <c r="C48" s="1264" t="s">
        <v>432</v>
      </c>
      <c r="D48" s="1264" t="s">
        <v>433</v>
      </c>
      <c r="E48" s="1264" t="s">
        <v>391</v>
      </c>
      <c r="F48" s="1264" t="s">
        <v>392</v>
      </c>
      <c r="G48" s="1264" t="s">
        <v>393</v>
      </c>
      <c r="H48" s="1264" t="s">
        <v>392</v>
      </c>
      <c r="I48" s="1264" t="s">
        <v>394</v>
      </c>
      <c r="J48" s="1264" t="s">
        <v>434</v>
      </c>
      <c r="K48" s="1264" t="s">
        <v>435</v>
      </c>
      <c r="L48" s="1264" t="s">
        <v>434</v>
      </c>
      <c r="M48" s="1264" t="s">
        <v>396</v>
      </c>
      <c r="N48" s="1264" t="s">
        <v>434</v>
      </c>
      <c r="O48" s="1264" t="s">
        <v>397</v>
      </c>
      <c r="P48" s="1265" t="s">
        <v>392</v>
      </c>
    </row>
    <row r="49" spans="2:16" ht="14.25" customHeight="1">
      <c r="B49" s="1726" t="s">
        <v>413</v>
      </c>
      <c r="C49" s="1239" t="s">
        <v>399</v>
      </c>
      <c r="D49" s="1240">
        <f>(D32+D6)/2</f>
        <v>0.78242530755000006</v>
      </c>
      <c r="E49" s="1240">
        <f>(E32+E6)/2</f>
        <v>0.71181898064999993</v>
      </c>
      <c r="F49" s="1240">
        <f>E49-D49</f>
        <v>-7.0606326900000127E-2</v>
      </c>
      <c r="G49" s="1240">
        <f>(G32+G6)/2</f>
        <v>0.63621265374999991</v>
      </c>
      <c r="H49" s="1240">
        <f>G49-E49</f>
        <v>-7.560632690000002E-2</v>
      </c>
      <c r="I49" s="1240">
        <f>(I32+I6)/2</f>
        <v>0.56060632685</v>
      </c>
      <c r="J49" s="1240">
        <f>I49-G49</f>
        <v>-7.5606326899999909E-2</v>
      </c>
      <c r="K49" s="1241">
        <v>0.5</v>
      </c>
      <c r="L49" s="1242">
        <f>K49-I49</f>
        <v>-6.0606326850000003E-2</v>
      </c>
      <c r="M49" s="1242">
        <v>0.44</v>
      </c>
      <c r="N49" s="1242">
        <f>M49-K49</f>
        <v>-0.06</v>
      </c>
      <c r="O49" s="1242">
        <v>0.41</v>
      </c>
      <c r="P49" s="1266">
        <f t="shared" ref="P49:P52" si="17">O49-M49</f>
        <v>-3.0000000000000027E-2</v>
      </c>
    </row>
    <row r="50" spans="2:16" ht="14.25" customHeight="1">
      <c r="B50" s="1726"/>
      <c r="C50" s="1239" t="s">
        <v>400</v>
      </c>
      <c r="D50" s="1240">
        <f t="shared" ref="D50:E57" si="18">(D33+D7)/2</f>
        <v>0.76419327729999997</v>
      </c>
      <c r="E50" s="1240">
        <f t="shared" si="18"/>
        <v>0.68939495795000005</v>
      </c>
      <c r="F50" s="1240">
        <f t="shared" ref="F50:F57" si="19">E50-D50</f>
        <v>-7.479831934999992E-2</v>
      </c>
      <c r="G50" s="1240">
        <f t="shared" ref="G50:G57" si="20">(G33+G7)/2</f>
        <v>0.61959663860000003</v>
      </c>
      <c r="H50" s="1240">
        <f t="shared" ref="H50:H57" si="21">G50-E50</f>
        <v>-6.9798319350000027E-2</v>
      </c>
      <c r="I50" s="1240">
        <f t="shared" ref="I50:I57" si="22">(I33+I7)/2</f>
        <v>0.53479831924999999</v>
      </c>
      <c r="J50" s="1240">
        <f t="shared" ref="J50:J57" si="23">I50-G50</f>
        <v>-8.479831935000004E-2</v>
      </c>
      <c r="K50" s="1241">
        <v>0.46</v>
      </c>
      <c r="L50" s="1242">
        <f>K50-I50</f>
        <v>-7.4798319249999967E-2</v>
      </c>
      <c r="M50" s="1242">
        <v>0.42</v>
      </c>
      <c r="N50" s="1242">
        <f t="shared" ref="N50:N52" si="24">M50-K50</f>
        <v>-4.0000000000000036E-2</v>
      </c>
      <c r="O50" s="1242">
        <v>0.36</v>
      </c>
      <c r="P50" s="1266">
        <f t="shared" si="17"/>
        <v>-0.06</v>
      </c>
    </row>
    <row r="51" spans="2:16" ht="14.25" customHeight="1">
      <c r="B51" s="1726" t="s">
        <v>401</v>
      </c>
      <c r="C51" s="1239" t="s">
        <v>399</v>
      </c>
      <c r="D51" s="1240">
        <f t="shared" si="18"/>
        <v>0.74928322380000001</v>
      </c>
      <c r="E51" s="1240">
        <f t="shared" si="18"/>
        <v>0.68142478695000008</v>
      </c>
      <c r="F51" s="1240">
        <f t="shared" si="19"/>
        <v>-6.7858436849999926E-2</v>
      </c>
      <c r="G51" s="1240">
        <f t="shared" si="20"/>
        <v>0.60356635010000004</v>
      </c>
      <c r="H51" s="1240">
        <f t="shared" si="21"/>
        <v>-7.7858436850000046E-2</v>
      </c>
      <c r="I51" s="1240">
        <f t="shared" si="22"/>
        <v>0.53570791325</v>
      </c>
      <c r="J51" s="1240">
        <f t="shared" si="23"/>
        <v>-6.7858436850000037E-2</v>
      </c>
      <c r="K51" s="1241">
        <v>0.48</v>
      </c>
      <c r="L51" s="1242">
        <f t="shared" ref="L51:L52" si="25">K51-I51</f>
        <v>-5.5707913250000018E-2</v>
      </c>
      <c r="M51" s="1242">
        <v>0.4271951864281216</v>
      </c>
      <c r="N51" s="1242">
        <f t="shared" si="24"/>
        <v>-5.2804813571878384E-2</v>
      </c>
      <c r="O51" s="1242">
        <v>0.37083639047115696</v>
      </c>
      <c r="P51" s="1266">
        <f t="shared" si="17"/>
        <v>-5.6358795956964636E-2</v>
      </c>
    </row>
    <row r="52" spans="2:16" ht="14.25" customHeight="1">
      <c r="B52" s="1726"/>
      <c r="C52" s="1239" t="s">
        <v>400</v>
      </c>
      <c r="D52" s="1240">
        <f t="shared" si="18"/>
        <v>0.73521662580000002</v>
      </c>
      <c r="E52" s="1240">
        <f t="shared" si="18"/>
        <v>0.64596022634999994</v>
      </c>
      <c r="F52" s="1240">
        <f t="shared" si="19"/>
        <v>-8.9256399450000079E-2</v>
      </c>
      <c r="G52" s="1240">
        <f>(G35+G9)/2</f>
        <v>0.56670382689999999</v>
      </c>
      <c r="H52" s="1240">
        <f t="shared" si="21"/>
        <v>-7.9256399449999959E-2</v>
      </c>
      <c r="I52" s="1240">
        <f>(I35+I9)/2</f>
        <v>0.49244742744999997</v>
      </c>
      <c r="J52" s="1240">
        <f t="shared" si="23"/>
        <v>-7.425639945000001E-2</v>
      </c>
      <c r="K52" s="1241">
        <v>0.42</v>
      </c>
      <c r="L52" s="1242">
        <f t="shared" si="25"/>
        <v>-7.244742744999999E-2</v>
      </c>
      <c r="M52" s="1242">
        <v>0.38066154682671915</v>
      </c>
      <c r="N52" s="1242">
        <f t="shared" si="24"/>
        <v>-3.933845317328083E-2</v>
      </c>
      <c r="O52" s="1242">
        <v>0.32256155582458629</v>
      </c>
      <c r="P52" s="1266">
        <f t="shared" si="17"/>
        <v>-5.8099991002132867E-2</v>
      </c>
    </row>
    <row r="53" spans="2:16" ht="14.25" customHeight="1">
      <c r="B53" s="1727" t="s">
        <v>402</v>
      </c>
      <c r="C53" s="1239" t="s">
        <v>403</v>
      </c>
      <c r="D53" s="1240">
        <f t="shared" si="18"/>
        <v>0.73866523319999999</v>
      </c>
      <c r="E53" s="1240">
        <f>(E36+E10)/2</f>
        <v>0.66268293369999998</v>
      </c>
      <c r="F53" s="1240">
        <f t="shared" si="19"/>
        <v>-7.5982299500000017E-2</v>
      </c>
      <c r="G53" s="1240">
        <f t="shared" si="20"/>
        <v>0.57670063420000006</v>
      </c>
      <c r="H53" s="1240">
        <f t="shared" si="21"/>
        <v>-8.5982299499999915E-2</v>
      </c>
      <c r="I53" s="1240">
        <f t="shared" si="22"/>
        <v>0.51071833469999994</v>
      </c>
      <c r="J53" s="1240">
        <f t="shared" si="23"/>
        <v>-6.5982299500000119E-2</v>
      </c>
      <c r="K53" s="1241">
        <v>0.43947207064755306</v>
      </c>
      <c r="L53" s="1241">
        <v>-5.2721328512380539E-2</v>
      </c>
      <c r="M53" s="1241">
        <v>0.39096362891522385</v>
      </c>
      <c r="N53" s="1241">
        <v>-4.8508441732329211E-2</v>
      </c>
      <c r="O53" s="1241">
        <v>0.34723891655618083</v>
      </c>
      <c r="P53" s="1267">
        <v>-4.3724712359043016E-2</v>
      </c>
    </row>
    <row r="54" spans="2:16" ht="14.25" customHeight="1">
      <c r="B54" s="1727"/>
      <c r="C54" s="1239" t="s">
        <v>404</v>
      </c>
      <c r="D54" s="1240">
        <f t="shared" si="18"/>
        <v>0.73320198865000008</v>
      </c>
      <c r="E54" s="1240">
        <f t="shared" si="18"/>
        <v>0.63892120234999994</v>
      </c>
      <c r="F54" s="1240">
        <f t="shared" si="19"/>
        <v>-9.4280786300000141E-2</v>
      </c>
      <c r="G54" s="1240">
        <f t="shared" si="20"/>
        <v>0.55964041604999992</v>
      </c>
      <c r="H54" s="1240">
        <f t="shared" si="21"/>
        <v>-7.9280786300000017E-2</v>
      </c>
      <c r="I54" s="1240">
        <f t="shared" si="22"/>
        <v>0.48535962975000002</v>
      </c>
      <c r="J54" s="1240">
        <f t="shared" si="23"/>
        <v>-7.4280786299999901E-2</v>
      </c>
      <c r="K54" s="1241">
        <v>0.4121576869216495</v>
      </c>
      <c r="L54" s="1241">
        <v>-4.7842313078350518E-2</v>
      </c>
      <c r="M54" s="1241">
        <v>0.38280488404837432</v>
      </c>
      <c r="N54" s="1241">
        <v>-2.9352802873275186E-2</v>
      </c>
      <c r="O54" s="1241">
        <v>0.30073106980323477</v>
      </c>
      <c r="P54" s="1267">
        <v>-8.2073814245139542E-2</v>
      </c>
    </row>
    <row r="55" spans="2:16" ht="14.25" customHeight="1">
      <c r="B55" s="1727" t="s">
        <v>405</v>
      </c>
      <c r="C55" s="1239" t="s">
        <v>403</v>
      </c>
      <c r="D55" s="1240">
        <f t="shared" si="18"/>
        <v>0.75412092409999998</v>
      </c>
      <c r="E55" s="1240">
        <f t="shared" si="18"/>
        <v>0.69059069305000009</v>
      </c>
      <c r="F55" s="1240">
        <f t="shared" si="19"/>
        <v>-6.3530231049999886E-2</v>
      </c>
      <c r="G55" s="1240">
        <f t="shared" si="20"/>
        <v>0.62706046199999999</v>
      </c>
      <c r="H55" s="1240">
        <f t="shared" si="21"/>
        <v>-6.3530231050000108E-2</v>
      </c>
      <c r="I55" s="1240">
        <f t="shared" si="22"/>
        <v>0.58834097775920835</v>
      </c>
      <c r="J55" s="1240">
        <f t="shared" si="23"/>
        <v>-3.8719484240791635E-2</v>
      </c>
      <c r="K55" s="1241">
        <v>0.5</v>
      </c>
      <c r="L55" s="1241">
        <v>-9.9621493618416768E-2</v>
      </c>
      <c r="M55" s="1241">
        <v>0.48</v>
      </c>
      <c r="N55" s="1241">
        <v>-2.0000000000000018E-2</v>
      </c>
      <c r="O55" s="1241">
        <v>0.37659150786639212</v>
      </c>
      <c r="P55" s="1267">
        <v>-0.10340849213360787</v>
      </c>
    </row>
    <row r="56" spans="2:16" ht="14.25" customHeight="1">
      <c r="B56" s="1726"/>
      <c r="C56" s="1239" t="s">
        <v>404</v>
      </c>
      <c r="D56" s="1240">
        <f t="shared" si="18"/>
        <v>0.80696941754999996</v>
      </c>
      <c r="E56" s="1240">
        <f t="shared" si="18"/>
        <v>0.72847001077364448</v>
      </c>
      <c r="F56" s="1240">
        <f t="shared" si="19"/>
        <v>-7.8499406776355474E-2</v>
      </c>
      <c r="G56" s="1240">
        <f t="shared" si="20"/>
        <v>0.63405190022954883</v>
      </c>
      <c r="H56" s="1240">
        <f t="shared" si="21"/>
        <v>-9.4418110544095657E-2</v>
      </c>
      <c r="I56" s="1240">
        <f t="shared" si="22"/>
        <v>0.58924235435000005</v>
      </c>
      <c r="J56" s="1240">
        <f t="shared" si="23"/>
        <v>-4.4809545879548773E-2</v>
      </c>
      <c r="K56" s="1241">
        <v>0.5</v>
      </c>
      <c r="L56" s="1241">
        <v>-9.9999999999999978E-2</v>
      </c>
      <c r="M56" s="1241">
        <v>0.48</v>
      </c>
      <c r="N56" s="1241">
        <v>-2.0000000000000018E-2</v>
      </c>
      <c r="O56" s="1241">
        <v>0.45924539631388245</v>
      </c>
      <c r="P56" s="1267">
        <v>-2.0754603686117534E-2</v>
      </c>
    </row>
    <row r="57" spans="2:16" ht="22.5" customHeight="1" thickBot="1">
      <c r="B57" s="1268" t="s">
        <v>406</v>
      </c>
      <c r="C57" s="1269" t="s">
        <v>403</v>
      </c>
      <c r="D57" s="1270">
        <f t="shared" si="18"/>
        <v>0.65851166530000005</v>
      </c>
      <c r="E57" s="1270">
        <f t="shared" si="18"/>
        <v>0.58138374895</v>
      </c>
      <c r="F57" s="1270">
        <f t="shared" si="19"/>
        <v>-7.7127916350000048E-2</v>
      </c>
      <c r="G57" s="1270">
        <f t="shared" si="20"/>
        <v>0.50425583259999995</v>
      </c>
      <c r="H57" s="1270">
        <f t="shared" si="21"/>
        <v>-7.7127916350000048E-2</v>
      </c>
      <c r="I57" s="1270">
        <f t="shared" si="22"/>
        <v>0.42712791625000002</v>
      </c>
      <c r="J57" s="1270">
        <f t="shared" si="23"/>
        <v>-7.7127916349999937E-2</v>
      </c>
      <c r="K57" s="1271">
        <v>0.35</v>
      </c>
      <c r="L57" s="1271">
        <v>-5.0000000000000044E-2</v>
      </c>
      <c r="M57" s="1271">
        <v>0.3</v>
      </c>
      <c r="N57" s="1271">
        <v>-4.9999999999999989E-2</v>
      </c>
      <c r="O57" s="1271">
        <v>0.25</v>
      </c>
      <c r="P57" s="1272">
        <v>-4.9999999999999989E-2</v>
      </c>
    </row>
    <row r="58" spans="2:16" ht="12.75" thickTop="1"/>
  </sheetData>
  <mergeCells count="16"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  <mergeCell ref="B21:B22"/>
    <mergeCell ref="B6:B7"/>
    <mergeCell ref="B8:B9"/>
    <mergeCell ref="B10:B11"/>
    <mergeCell ref="B12:B13"/>
    <mergeCell ref="B19:B20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2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5.75">
      <c r="A1" s="1273" t="s">
        <v>436</v>
      </c>
    </row>
    <row r="3" spans="1:20" s="1274" customFormat="1" ht="28.5" customHeight="1">
      <c r="B3" s="1275" t="s">
        <v>437</v>
      </c>
      <c r="C3" s="1276" t="s">
        <v>438</v>
      </c>
      <c r="D3" s="1276" t="s">
        <v>439</v>
      </c>
      <c r="E3" s="1276" t="s">
        <v>440</v>
      </c>
      <c r="F3" s="1276" t="s">
        <v>7</v>
      </c>
      <c r="G3" s="1276" t="s">
        <v>441</v>
      </c>
      <c r="H3" s="1276" t="s">
        <v>442</v>
      </c>
      <c r="I3" s="1276" t="s">
        <v>260</v>
      </c>
      <c r="J3" s="1276" t="s">
        <v>443</v>
      </c>
      <c r="K3" s="1276" t="s">
        <v>304</v>
      </c>
      <c r="L3" s="1276" t="s">
        <v>444</v>
      </c>
      <c r="M3" s="1276" t="s">
        <v>445</v>
      </c>
      <c r="N3" s="1277" t="s">
        <v>446</v>
      </c>
      <c r="O3" s="1277" t="s">
        <v>447</v>
      </c>
      <c r="P3" s="1276" t="s">
        <v>448</v>
      </c>
      <c r="Q3" s="1276" t="s">
        <v>449</v>
      </c>
      <c r="R3" s="1276" t="s">
        <v>450</v>
      </c>
      <c r="S3" s="1276" t="s">
        <v>451</v>
      </c>
      <c r="T3" s="1278" t="s">
        <v>452</v>
      </c>
    </row>
    <row r="4" spans="1:20" ht="14.25" customHeight="1">
      <c r="B4" s="1728" t="s">
        <v>482</v>
      </c>
      <c r="C4" s="1731">
        <v>202300000</v>
      </c>
      <c r="D4" s="1731">
        <v>12000000</v>
      </c>
      <c r="E4" s="1731">
        <f>C4-D4</f>
        <v>190300000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0.66</v>
      </c>
      <c r="M4" s="1282">
        <f>'Special RV'!D35</f>
        <v>0.81043325160000002</v>
      </c>
      <c r="N4" s="1282">
        <f>ROUND(AVERAGE(L4:M4),2)</f>
        <v>0.74</v>
      </c>
      <c r="O4" s="1281">
        <f>N4*C4</f>
        <v>149702000</v>
      </c>
      <c r="P4" s="1283">
        <f>SUM(C34:C38)</f>
        <v>5647000</v>
      </c>
      <c r="Q4" s="1284">
        <f>ROUNDUP(1.6%*C4,-3)</f>
        <v>3237000</v>
      </c>
      <c r="R4" s="1284">
        <f>ROUNDUP(1.9%*C4,-3)</f>
        <v>3844000</v>
      </c>
      <c r="S4" s="1285">
        <f>357000*F4</f>
        <v>4284000</v>
      </c>
      <c r="T4" s="1279"/>
    </row>
    <row r="5" spans="1:20" ht="14.25" customHeight="1">
      <c r="B5" s="1729"/>
      <c r="C5" s="1732"/>
      <c r="D5" s="1732"/>
      <c r="E5" s="1732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0.57999999999999996</v>
      </c>
      <c r="M5" s="1289">
        <f>'Special RV'!E35</f>
        <v>0.71192045270000004</v>
      </c>
      <c r="N5" s="1289">
        <f t="shared" ref="N5:N28" si="0">ROUND(AVERAGE(L5:M5),2)</f>
        <v>0.65</v>
      </c>
      <c r="O5" s="1288">
        <f>N5*C4</f>
        <v>131495000</v>
      </c>
      <c r="P5" s="1290">
        <f>SUM(D34:D38)</f>
        <v>10538000</v>
      </c>
      <c r="Q5" s="1291">
        <f>Q4*2</f>
        <v>6474000</v>
      </c>
      <c r="R5" s="1291">
        <f>R4*2</f>
        <v>7688000</v>
      </c>
      <c r="S5" s="1292">
        <f t="shared" ref="S5:S8" si="1">357000*F5</f>
        <v>8568000</v>
      </c>
      <c r="T5" s="1286"/>
    </row>
    <row r="6" spans="1:20" ht="14.25" customHeight="1">
      <c r="B6" s="1729"/>
      <c r="C6" s="1732"/>
      <c r="D6" s="1732"/>
      <c r="E6" s="1732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0.52</v>
      </c>
      <c r="M6" s="1289">
        <f>'Special RV'!G35</f>
        <v>0.61340765379999995</v>
      </c>
      <c r="N6" s="1289">
        <f t="shared" si="0"/>
        <v>0.56999999999999995</v>
      </c>
      <c r="O6" s="1288">
        <f>N6*C4</f>
        <v>115310999.99999999</v>
      </c>
      <c r="P6" s="1290">
        <f>SUM(E34:E38)</f>
        <v>14970000</v>
      </c>
      <c r="Q6" s="1291">
        <f>Q4*3</f>
        <v>9711000</v>
      </c>
      <c r="R6" s="1291">
        <f>R4*3</f>
        <v>11532000</v>
      </c>
      <c r="S6" s="1292">
        <f t="shared" si="1"/>
        <v>12852000</v>
      </c>
      <c r="T6" s="1286"/>
    </row>
    <row r="7" spans="1:20" ht="14.25" customHeight="1">
      <c r="B7" s="1729"/>
      <c r="C7" s="1732"/>
      <c r="D7" s="1732"/>
      <c r="E7" s="1732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0.47</v>
      </c>
      <c r="M7" s="1289">
        <f>'Special RV'!I35</f>
        <v>0.51489485489999998</v>
      </c>
      <c r="N7" s="1289">
        <f t="shared" si="0"/>
        <v>0.49</v>
      </c>
      <c r="O7" s="1288">
        <f>N7*C4</f>
        <v>99127000</v>
      </c>
      <c r="P7" s="1290">
        <f>SUM(F34:F38)</f>
        <v>19755000</v>
      </c>
      <c r="Q7" s="1294">
        <f>Q4*4</f>
        <v>12948000</v>
      </c>
      <c r="R7" s="1294">
        <f>R4*4</f>
        <v>15376000</v>
      </c>
      <c r="S7" s="1292">
        <f t="shared" si="1"/>
        <v>17136000</v>
      </c>
      <c r="T7" s="1286"/>
    </row>
    <row r="8" spans="1:20" ht="14.25" customHeight="1">
      <c r="B8" s="1730"/>
      <c r="C8" s="1733"/>
      <c r="D8" s="1733"/>
      <c r="E8" s="1733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0.42</v>
      </c>
      <c r="M8" s="1299">
        <f>L8</f>
        <v>0.42</v>
      </c>
      <c r="N8" s="1299">
        <f t="shared" si="0"/>
        <v>0.42</v>
      </c>
      <c r="O8" s="1297">
        <f>N8*C4</f>
        <v>84966000</v>
      </c>
      <c r="P8" s="1300">
        <f>SUM(G34:G38)</f>
        <v>24191000</v>
      </c>
      <c r="Q8" s="1301">
        <f>Q4*5</f>
        <v>16185000</v>
      </c>
      <c r="R8" s="1301">
        <f>R4*5</f>
        <v>19220000</v>
      </c>
      <c r="S8" s="1302">
        <f t="shared" si="1"/>
        <v>21420000</v>
      </c>
      <c r="T8" s="1295"/>
    </row>
    <row r="9" spans="1:20" ht="14.25" customHeight="1">
      <c r="B9" s="1734" t="s">
        <v>454</v>
      </c>
      <c r="C9" s="1737">
        <v>191100000</v>
      </c>
      <c r="D9" s="1737">
        <v>12000000</v>
      </c>
      <c r="E9" s="1737">
        <f>C9-D9</f>
        <v>179100000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0.68</v>
      </c>
      <c r="M9" s="1306">
        <f>'Special RV'!D34</f>
        <v>0.81856644759999997</v>
      </c>
      <c r="N9" s="1306">
        <f t="shared" si="0"/>
        <v>0.75</v>
      </c>
      <c r="O9" s="1305">
        <f>N9*C9</f>
        <v>143325000</v>
      </c>
      <c r="P9" s="1307">
        <f>SUM(C39:C43)</f>
        <v>6117000</v>
      </c>
      <c r="Q9" s="1308">
        <f>ROUNDUP(1.6%*C9,-3)</f>
        <v>3058000</v>
      </c>
      <c r="R9" s="1308">
        <f>ROUNDUP(1.9%*C9,-3)</f>
        <v>3631000</v>
      </c>
      <c r="S9" s="1309">
        <f>305000*F9</f>
        <v>3660000</v>
      </c>
      <c r="T9" s="1303"/>
    </row>
    <row r="10" spans="1:20" ht="14.25" customHeight="1">
      <c r="B10" s="1735"/>
      <c r="C10" s="1738"/>
      <c r="D10" s="1738"/>
      <c r="E10" s="1738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0.63</v>
      </c>
      <c r="M10" s="1313">
        <f>'Special RV'!E34</f>
        <v>0.73284957390000005</v>
      </c>
      <c r="N10" s="1313">
        <f t="shared" si="0"/>
        <v>0.68</v>
      </c>
      <c r="O10" s="1312">
        <f>N10*C9</f>
        <v>129948000.00000001</v>
      </c>
      <c r="P10" s="1314">
        <f>SUM(D39:D43)</f>
        <v>10771000</v>
      </c>
      <c r="Q10" s="1315">
        <f>Q9*2</f>
        <v>6116000</v>
      </c>
      <c r="R10" s="1315">
        <f>R9*2</f>
        <v>7262000</v>
      </c>
      <c r="S10" s="1316">
        <f t="shared" ref="S10:S13" si="2">305000*F10</f>
        <v>7320000</v>
      </c>
      <c r="T10" s="1310"/>
    </row>
    <row r="11" spans="1:20" ht="14.25" customHeight="1">
      <c r="B11" s="1735"/>
      <c r="C11" s="1738"/>
      <c r="D11" s="1738"/>
      <c r="E11" s="1738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0.56000000000000005</v>
      </c>
      <c r="M11" s="1313">
        <f>'Special RV'!G34</f>
        <v>0.64713270020000002</v>
      </c>
      <c r="N11" s="1313">
        <f>ROUND(AVERAGE(L11:M11),2)</f>
        <v>0.6</v>
      </c>
      <c r="O11" s="1312">
        <f>N11*C9</f>
        <v>114660000</v>
      </c>
      <c r="P11" s="1314">
        <f>SUM(E39:E43)</f>
        <v>14991000</v>
      </c>
      <c r="Q11" s="1315">
        <f>Q9*3</f>
        <v>9174000</v>
      </c>
      <c r="R11" s="1315">
        <f>R9*3</f>
        <v>10893000</v>
      </c>
      <c r="S11" s="1316">
        <f t="shared" si="2"/>
        <v>10980000</v>
      </c>
      <c r="T11" s="1310"/>
    </row>
    <row r="12" spans="1:20" ht="14.25" customHeight="1">
      <c r="B12" s="1735"/>
      <c r="C12" s="1738"/>
      <c r="D12" s="1738"/>
      <c r="E12" s="1738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>'Special RV'!I34</f>
        <v>0.56141582649999999</v>
      </c>
      <c r="N12" s="1313">
        <f t="shared" si="0"/>
        <v>0.54</v>
      </c>
      <c r="O12" s="1312">
        <f>N12*C9</f>
        <v>103194000</v>
      </c>
      <c r="P12" s="1314">
        <f>SUM(F39:F43)</f>
        <v>19546000</v>
      </c>
      <c r="Q12" s="1317">
        <f>Q9*4</f>
        <v>12232000</v>
      </c>
      <c r="R12" s="1317">
        <f>R9*4</f>
        <v>14524000</v>
      </c>
      <c r="S12" s="1316">
        <f t="shared" si="2"/>
        <v>14640000</v>
      </c>
      <c r="T12" s="1310"/>
    </row>
    <row r="13" spans="1:20" ht="14.25" customHeight="1">
      <c r="B13" s="1736"/>
      <c r="C13" s="1739"/>
      <c r="D13" s="1739"/>
      <c r="E13" s="1739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0.48</v>
      </c>
      <c r="M13" s="1321">
        <f>L13</f>
        <v>0.48</v>
      </c>
      <c r="N13" s="1321">
        <f t="shared" si="0"/>
        <v>0.48</v>
      </c>
      <c r="O13" s="1320">
        <f>N13*C9</f>
        <v>91728000</v>
      </c>
      <c r="P13" s="1322">
        <f>SUM(G39:G43)</f>
        <v>23770000</v>
      </c>
      <c r="Q13" s="1323">
        <f>Q9*5</f>
        <v>15290000</v>
      </c>
      <c r="R13" s="1323">
        <f>R9*5</f>
        <v>18155000</v>
      </c>
      <c r="S13" s="1324">
        <f t="shared" si="2"/>
        <v>18300000</v>
      </c>
      <c r="T13" s="1318"/>
    </row>
    <row r="14" spans="1:20" ht="14.25" customHeight="1">
      <c r="B14" s="1728" t="s">
        <v>455</v>
      </c>
      <c r="C14" s="1731">
        <v>219650000</v>
      </c>
      <c r="D14" s="1731">
        <v>12000000</v>
      </c>
      <c r="E14" s="1731">
        <f>C14-D14</f>
        <v>207650000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0.66</v>
      </c>
      <c r="M14" s="1325">
        <f>M4</f>
        <v>0.81043325160000002</v>
      </c>
      <c r="N14" s="1325">
        <f t="shared" si="0"/>
        <v>0.74</v>
      </c>
      <c r="O14" s="1281">
        <f>N14*C14</f>
        <v>162541000</v>
      </c>
      <c r="P14" s="1283">
        <f>SUM(C44:C48)</f>
        <v>6073728.0657534245</v>
      </c>
      <c r="Q14" s="1284">
        <f>ROUNDUP(1.6%*C14,-3)</f>
        <v>3515000</v>
      </c>
      <c r="R14" s="1284">
        <f>ROUNDUP(1.9%*C14,-3)</f>
        <v>4174000</v>
      </c>
      <c r="S14" s="1285">
        <f>357000*F14</f>
        <v>4284000</v>
      </c>
      <c r="T14" s="1279"/>
    </row>
    <row r="15" spans="1:20" ht="14.25" customHeight="1">
      <c r="B15" s="1729"/>
      <c r="C15" s="1732"/>
      <c r="D15" s="1732"/>
      <c r="E15" s="1732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0.57999999999999996</v>
      </c>
      <c r="M15" s="1325">
        <f t="shared" ref="M15:M18" si="3">M5</f>
        <v>0.71192045270000004</v>
      </c>
      <c r="N15" s="1289">
        <f t="shared" si="0"/>
        <v>0.65</v>
      </c>
      <c r="O15" s="1288">
        <f>N15*C14</f>
        <v>142772500</v>
      </c>
      <c r="P15" s="1290">
        <f>SUM(D44:D48)</f>
        <v>11332000</v>
      </c>
      <c r="Q15" s="1291">
        <f>Q14*2</f>
        <v>7030000</v>
      </c>
      <c r="R15" s="1291">
        <f>R14*2</f>
        <v>8348000</v>
      </c>
      <c r="S15" s="1292">
        <f t="shared" ref="S15:S18" si="4">357000*F15</f>
        <v>8568000</v>
      </c>
      <c r="T15" s="1286"/>
    </row>
    <row r="16" spans="1:20" ht="14.25" customHeight="1">
      <c r="B16" s="1729"/>
      <c r="C16" s="1732"/>
      <c r="D16" s="1732"/>
      <c r="E16" s="1732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0.52</v>
      </c>
      <c r="M16" s="1325">
        <f t="shared" si="3"/>
        <v>0.61340765379999995</v>
      </c>
      <c r="N16" s="1289">
        <f t="shared" si="0"/>
        <v>0.56999999999999995</v>
      </c>
      <c r="O16" s="1288">
        <f>N16*C14</f>
        <v>125200499.99999999</v>
      </c>
      <c r="P16" s="1290">
        <f>SUM(E44:E48)</f>
        <v>16003000</v>
      </c>
      <c r="Q16" s="1291">
        <f>Q14*3</f>
        <v>10545000</v>
      </c>
      <c r="R16" s="1291">
        <f>R14*3</f>
        <v>12522000</v>
      </c>
      <c r="S16" s="1292">
        <f t="shared" si="4"/>
        <v>12852000</v>
      </c>
      <c r="T16" s="1286"/>
    </row>
    <row r="17" spans="2:20" ht="14.25" customHeight="1">
      <c r="B17" s="1729"/>
      <c r="C17" s="1732"/>
      <c r="D17" s="1732"/>
      <c r="E17" s="1732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0.47</v>
      </c>
      <c r="M17" s="1325">
        <f t="shared" si="3"/>
        <v>0.51489485489999998</v>
      </c>
      <c r="N17" s="1289">
        <f t="shared" si="0"/>
        <v>0.49</v>
      </c>
      <c r="O17" s="1288">
        <f>N17*C14</f>
        <v>107628500</v>
      </c>
      <c r="P17" s="1290">
        <f>SUM(F44:F48)</f>
        <v>20194000</v>
      </c>
      <c r="Q17" s="1294">
        <f>Q14*4</f>
        <v>14060000</v>
      </c>
      <c r="R17" s="1294">
        <f>R14*4</f>
        <v>16696000</v>
      </c>
      <c r="S17" s="1292">
        <f t="shared" si="4"/>
        <v>17136000</v>
      </c>
      <c r="T17" s="1286"/>
    </row>
    <row r="18" spans="2:20" ht="14.25" customHeight="1">
      <c r="B18" s="1730"/>
      <c r="C18" s="1733"/>
      <c r="D18" s="1733"/>
      <c r="E18" s="1733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0.42</v>
      </c>
      <c r="M18" s="1326">
        <f t="shared" si="3"/>
        <v>0.42</v>
      </c>
      <c r="N18" s="1299">
        <f t="shared" si="0"/>
        <v>0.42</v>
      </c>
      <c r="O18" s="1297">
        <f>N18*C14</f>
        <v>92253000</v>
      </c>
      <c r="P18" s="1300">
        <f>SUM(G44:G48)</f>
        <v>24956000</v>
      </c>
      <c r="Q18" s="1301">
        <f>Q14*5</f>
        <v>17575000</v>
      </c>
      <c r="R18" s="1301">
        <f>R14*5</f>
        <v>20870000</v>
      </c>
      <c r="S18" s="1302">
        <f t="shared" si="4"/>
        <v>21420000</v>
      </c>
      <c r="T18" s="1295"/>
    </row>
    <row r="19" spans="2:20" ht="14.25" customHeight="1">
      <c r="B19" s="1734" t="s">
        <v>456</v>
      </c>
      <c r="C19" s="1737">
        <v>208950000</v>
      </c>
      <c r="D19" s="1737">
        <v>12000000</v>
      </c>
      <c r="E19" s="1737">
        <f>C19-D19</f>
        <v>196950000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0.68</v>
      </c>
      <c r="M19" s="1306">
        <f>M9</f>
        <v>0.81856644759999997</v>
      </c>
      <c r="N19" s="1306">
        <f t="shared" si="0"/>
        <v>0.75</v>
      </c>
      <c r="O19" s="1305">
        <f>N19*C19</f>
        <v>156712500</v>
      </c>
      <c r="P19" s="1307">
        <f>SUM(C49:C53)</f>
        <v>5811000</v>
      </c>
      <c r="Q19" s="1308">
        <f>ROUNDUP(1.6%*C19,-3)</f>
        <v>3344000</v>
      </c>
      <c r="R19" s="1308">
        <f>ROUNDUP(1.9%*C19,-3)</f>
        <v>3971000</v>
      </c>
      <c r="S19" s="1309">
        <f>305000*F19</f>
        <v>3660000</v>
      </c>
      <c r="T19" s="1303"/>
    </row>
    <row r="20" spans="2:20" ht="14.25" customHeight="1">
      <c r="B20" s="1735"/>
      <c r="C20" s="1738"/>
      <c r="D20" s="1738"/>
      <c r="E20" s="1738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0.63</v>
      </c>
      <c r="M20" s="1313">
        <f t="shared" ref="M20:M23" si="5">M10</f>
        <v>0.73284957390000005</v>
      </c>
      <c r="N20" s="1313">
        <f t="shared" si="0"/>
        <v>0.68</v>
      </c>
      <c r="O20" s="1312">
        <f>N20*C19</f>
        <v>142086000</v>
      </c>
      <c r="P20" s="1314">
        <f>SUM(D49:D53)</f>
        <v>10843000</v>
      </c>
      <c r="Q20" s="1315">
        <f>Q19*2</f>
        <v>6688000</v>
      </c>
      <c r="R20" s="1315">
        <f>R19*2</f>
        <v>7942000</v>
      </c>
      <c r="S20" s="1316">
        <f t="shared" ref="S20:S22" si="6">305000*F20</f>
        <v>7320000</v>
      </c>
      <c r="T20" s="1310"/>
    </row>
    <row r="21" spans="2:20" ht="14.25" customHeight="1">
      <c r="B21" s="1735"/>
      <c r="C21" s="1738"/>
      <c r="D21" s="1738"/>
      <c r="E21" s="1738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0.56000000000000005</v>
      </c>
      <c r="M21" s="1313">
        <f t="shared" si="5"/>
        <v>0.64713270020000002</v>
      </c>
      <c r="N21" s="1313">
        <f t="shared" si="0"/>
        <v>0.6</v>
      </c>
      <c r="O21" s="1312">
        <f>N21*C19</f>
        <v>125370000</v>
      </c>
      <c r="P21" s="1314">
        <f>SUM(E49:E53)</f>
        <v>15316000</v>
      </c>
      <c r="Q21" s="1315">
        <f>Q19*3</f>
        <v>10032000</v>
      </c>
      <c r="R21" s="1315">
        <f>R19*3</f>
        <v>11913000</v>
      </c>
      <c r="S21" s="1316">
        <f t="shared" si="6"/>
        <v>10980000</v>
      </c>
      <c r="T21" s="1310"/>
    </row>
    <row r="22" spans="2:20" ht="14.25" customHeight="1">
      <c r="B22" s="1735"/>
      <c r="C22" s="1738"/>
      <c r="D22" s="1738"/>
      <c r="E22" s="1738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5"/>
        <v>0.56141582649999999</v>
      </c>
      <c r="N22" s="1313">
        <f t="shared" si="0"/>
        <v>0.54</v>
      </c>
      <c r="O22" s="1312">
        <f>N22*C19</f>
        <v>112833000</v>
      </c>
      <c r="P22" s="1314">
        <f>SUM(F49:F53)</f>
        <v>19333000</v>
      </c>
      <c r="Q22" s="1317">
        <f>Q19*4</f>
        <v>13376000</v>
      </c>
      <c r="R22" s="1317">
        <f>R19*4</f>
        <v>15884000</v>
      </c>
      <c r="S22" s="1316">
        <f t="shared" si="6"/>
        <v>14640000</v>
      </c>
      <c r="T22" s="1310"/>
    </row>
    <row r="23" spans="2:20" ht="14.25" customHeight="1">
      <c r="B23" s="1736"/>
      <c r="C23" s="1739"/>
      <c r="D23" s="1739"/>
      <c r="E23" s="1739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0.48</v>
      </c>
      <c r="M23" s="1321">
        <f t="shared" si="5"/>
        <v>0.48</v>
      </c>
      <c r="N23" s="1321">
        <f t="shared" si="0"/>
        <v>0.48</v>
      </c>
      <c r="O23" s="1320">
        <f>N23*C19</f>
        <v>100296000</v>
      </c>
      <c r="P23" s="1322">
        <f>SUM(G49:G53)</f>
        <v>23894000</v>
      </c>
      <c r="Q23" s="1323">
        <f>Q19*5</f>
        <v>16720000</v>
      </c>
      <c r="R23" s="1323">
        <f>R19*5</f>
        <v>19855000</v>
      </c>
      <c r="S23" s="1324">
        <f>305000*F23</f>
        <v>18300000</v>
      </c>
      <c r="T23" s="1318"/>
    </row>
    <row r="24" spans="2:20" ht="14.25" customHeight="1">
      <c r="B24" s="1728" t="s">
        <v>457</v>
      </c>
      <c r="C24" s="1731">
        <v>221250000</v>
      </c>
      <c r="D24" s="1731">
        <v>12000000</v>
      </c>
      <c r="E24" s="1731">
        <f>C24-D24</f>
        <v>209250000</v>
      </c>
      <c r="F24" s="1279">
        <v>12</v>
      </c>
      <c r="G24" s="1279"/>
      <c r="H24" s="1280">
        <v>0.151</v>
      </c>
      <c r="I24" s="1280">
        <v>9.7299999999999998E-2</v>
      </c>
      <c r="J24" s="1281">
        <f>G24/$C$24</f>
        <v>0</v>
      </c>
      <c r="K24" s="1327"/>
      <c r="L24" s="1328">
        <v>0.68</v>
      </c>
      <c r="M24" s="1282">
        <f>M9</f>
        <v>0.81856644759999997</v>
      </c>
      <c r="N24" s="1325">
        <f t="shared" si="0"/>
        <v>0.75</v>
      </c>
      <c r="O24" s="1281">
        <f>N24*C24</f>
        <v>165937500</v>
      </c>
      <c r="P24" s="1283">
        <f>SUM(C54:C58)</f>
        <v>6114000</v>
      </c>
      <c r="Q24" s="1284">
        <f>ROUNDUP(1.6%*C24,-3)</f>
        <v>3540000</v>
      </c>
      <c r="R24" s="1284">
        <f>ROUNDUP(1.9%*C24,-3)</f>
        <v>4204000</v>
      </c>
      <c r="S24" s="1285">
        <f>326000*F24</f>
        <v>3912000</v>
      </c>
      <c r="T24" s="1279"/>
    </row>
    <row r="25" spans="2:20" ht="14.25" customHeight="1">
      <c r="B25" s="1729"/>
      <c r="C25" s="1732"/>
      <c r="D25" s="1732"/>
      <c r="E25" s="1732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93"/>
      <c r="L25" s="1329">
        <v>0.63</v>
      </c>
      <c r="M25" s="1289">
        <f t="shared" ref="M25:M28" si="7">M10</f>
        <v>0.73284957390000005</v>
      </c>
      <c r="N25" s="1289">
        <f t="shared" si="0"/>
        <v>0.68</v>
      </c>
      <c r="O25" s="1288">
        <f>N25*C24</f>
        <v>150450000</v>
      </c>
      <c r="P25" s="1290">
        <f>SUM(D54:D58)</f>
        <v>11405000</v>
      </c>
      <c r="Q25" s="1291">
        <f>Q24*2</f>
        <v>7080000</v>
      </c>
      <c r="R25" s="1291">
        <f>R24*2</f>
        <v>8408000</v>
      </c>
      <c r="S25" s="1292">
        <f t="shared" ref="S25:S28" si="8">326000*F25</f>
        <v>7824000</v>
      </c>
      <c r="T25" s="1286"/>
    </row>
    <row r="26" spans="2:20" ht="14.25" customHeight="1">
      <c r="B26" s="1729"/>
      <c r="C26" s="1732"/>
      <c r="D26" s="1732"/>
      <c r="E26" s="1732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93"/>
      <c r="L26" s="1329">
        <v>0.56000000000000005</v>
      </c>
      <c r="M26" s="1289">
        <f t="shared" si="7"/>
        <v>0.64713270020000002</v>
      </c>
      <c r="N26" s="1289">
        <f t="shared" si="0"/>
        <v>0.6</v>
      </c>
      <c r="O26" s="1288">
        <f>N26*C24</f>
        <v>132750000</v>
      </c>
      <c r="P26" s="1290">
        <f>SUM(E54:E58)</f>
        <v>16105000</v>
      </c>
      <c r="Q26" s="1291">
        <f>Q24*3</f>
        <v>10620000</v>
      </c>
      <c r="R26" s="1291">
        <f>R24*3</f>
        <v>12612000</v>
      </c>
      <c r="S26" s="1292">
        <f t="shared" si="8"/>
        <v>11736000</v>
      </c>
      <c r="T26" s="1286"/>
    </row>
    <row r="27" spans="2:20" ht="14.25" customHeight="1">
      <c r="B27" s="1729"/>
      <c r="C27" s="1732"/>
      <c r="D27" s="1732"/>
      <c r="E27" s="1732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93"/>
      <c r="L27" s="1329">
        <v>0.51</v>
      </c>
      <c r="M27" s="1289">
        <f t="shared" si="7"/>
        <v>0.56141582649999999</v>
      </c>
      <c r="N27" s="1289">
        <f t="shared" si="0"/>
        <v>0.54</v>
      </c>
      <c r="O27" s="1288">
        <f>N27*C24</f>
        <v>119475000.00000001</v>
      </c>
      <c r="P27" s="1290">
        <f>SUM(F54:F58)</f>
        <v>20322000</v>
      </c>
      <c r="Q27" s="1294">
        <f>Q24*4</f>
        <v>14160000</v>
      </c>
      <c r="R27" s="1294">
        <f>R24*4</f>
        <v>16816000</v>
      </c>
      <c r="S27" s="1292">
        <f t="shared" si="8"/>
        <v>15648000</v>
      </c>
      <c r="T27" s="1286"/>
    </row>
    <row r="28" spans="2:20" ht="14.25" customHeight="1">
      <c r="B28" s="1730"/>
      <c r="C28" s="1733"/>
      <c r="D28" s="1733"/>
      <c r="E28" s="1733"/>
      <c r="F28" s="1295">
        <v>60</v>
      </c>
      <c r="G28" s="1295"/>
      <c r="H28" s="1296">
        <v>0.14299999999999999</v>
      </c>
      <c r="I28" s="1296">
        <v>9.9199999999999997E-2</v>
      </c>
      <c r="J28" s="1297">
        <f>G28/$C$24</f>
        <v>0</v>
      </c>
      <c r="K28" s="1298"/>
      <c r="L28" s="1330">
        <v>0.48</v>
      </c>
      <c r="M28" s="1299">
        <f t="shared" si="7"/>
        <v>0.48</v>
      </c>
      <c r="N28" s="1299">
        <f t="shared" si="0"/>
        <v>0.48</v>
      </c>
      <c r="O28" s="1297">
        <f>N28*C24</f>
        <v>106200000</v>
      </c>
      <c r="P28" s="1300">
        <f>SUM(G54:G58)</f>
        <v>25115000</v>
      </c>
      <c r="Q28" s="1301">
        <f>Q24*5</f>
        <v>17700000</v>
      </c>
      <c r="R28" s="1301">
        <f>R24*5</f>
        <v>21020000</v>
      </c>
      <c r="S28" s="1302">
        <f t="shared" si="8"/>
        <v>19560000</v>
      </c>
      <c r="T28" s="1295"/>
    </row>
    <row r="33" spans="2:7">
      <c r="B33" s="1331" t="s">
        <v>458</v>
      </c>
      <c r="C33" s="1332">
        <v>12</v>
      </c>
      <c r="D33" s="1332">
        <v>24</v>
      </c>
      <c r="E33" s="1332">
        <v>36</v>
      </c>
      <c r="F33" s="1332">
        <v>48</v>
      </c>
      <c r="G33" s="1333">
        <v>60</v>
      </c>
    </row>
    <row r="34" spans="2:7">
      <c r="B34" s="1740" t="s">
        <v>453</v>
      </c>
      <c r="C34" s="1334">
        <v>5647000</v>
      </c>
      <c r="D34" s="1334">
        <v>5228000</v>
      </c>
      <c r="E34" s="1334">
        <v>5228000</v>
      </c>
      <c r="F34" s="1334">
        <v>5228000</v>
      </c>
      <c r="G34" s="1334">
        <v>5228000</v>
      </c>
    </row>
    <row r="35" spans="2:7">
      <c r="B35" s="1729"/>
      <c r="C35" s="1335"/>
      <c r="D35" s="1335">
        <v>5310000</v>
      </c>
      <c r="E35" s="1335">
        <v>4937000</v>
      </c>
      <c r="F35" s="1335">
        <v>4937000</v>
      </c>
      <c r="G35" s="1335">
        <v>4937000</v>
      </c>
    </row>
    <row r="36" spans="2:7">
      <c r="B36" s="1729"/>
      <c r="C36" s="1335"/>
      <c r="D36" s="1335"/>
      <c r="E36" s="1335">
        <v>4805000</v>
      </c>
      <c r="F36" s="1335">
        <v>4396000</v>
      </c>
      <c r="G36" s="1335">
        <v>4396000</v>
      </c>
    </row>
    <row r="37" spans="2:7">
      <c r="B37" s="1729"/>
      <c r="C37" s="1335"/>
      <c r="D37" s="1335"/>
      <c r="E37" s="1335"/>
      <c r="F37" s="1335">
        <v>5194000</v>
      </c>
      <c r="G37" s="1335">
        <v>4815000</v>
      </c>
    </row>
    <row r="38" spans="2:7">
      <c r="B38" s="1730"/>
      <c r="C38" s="1336"/>
      <c r="D38" s="1336"/>
      <c r="E38" s="1336"/>
      <c r="F38" s="1336"/>
      <c r="G38" s="1336">
        <v>4815000</v>
      </c>
    </row>
    <row r="39" spans="2:7">
      <c r="B39" s="1734" t="s">
        <v>454</v>
      </c>
      <c r="C39" s="1337">
        <v>6117000</v>
      </c>
      <c r="D39" s="1337">
        <v>5718000</v>
      </c>
      <c r="E39" s="1337">
        <v>5718000</v>
      </c>
      <c r="F39" s="1337">
        <v>5718000</v>
      </c>
      <c r="G39" s="1337">
        <v>5718000</v>
      </c>
    </row>
    <row r="40" spans="2:7">
      <c r="B40" s="1735"/>
      <c r="C40" s="1338"/>
      <c r="D40" s="1338">
        <v>5053000</v>
      </c>
      <c r="E40" s="1338">
        <v>4697000</v>
      </c>
      <c r="F40" s="1338">
        <v>4697000</v>
      </c>
      <c r="G40" s="1338">
        <v>4697000</v>
      </c>
    </row>
    <row r="41" spans="2:7">
      <c r="B41" s="1735"/>
      <c r="C41" s="1338"/>
      <c r="D41" s="1338"/>
      <c r="E41" s="1338">
        <v>4576000</v>
      </c>
      <c r="F41" s="1338">
        <v>4187000</v>
      </c>
      <c r="G41" s="1338">
        <v>4187000</v>
      </c>
    </row>
    <row r="42" spans="2:7">
      <c r="B42" s="1735"/>
      <c r="C42" s="1338"/>
      <c r="D42" s="1338"/>
      <c r="E42" s="1338"/>
      <c r="F42" s="1338">
        <v>4944000</v>
      </c>
      <c r="G42" s="1338">
        <v>4583000</v>
      </c>
    </row>
    <row r="43" spans="2:7">
      <c r="B43" s="1736"/>
      <c r="C43" s="1339"/>
      <c r="D43" s="1339"/>
      <c r="E43" s="1339"/>
      <c r="F43" s="1339"/>
      <c r="G43" s="1339">
        <v>4585000</v>
      </c>
    </row>
    <row r="44" spans="2:7">
      <c r="B44" s="1728" t="s">
        <v>455</v>
      </c>
      <c r="C44" s="1340">
        <v>6073728.0657534245</v>
      </c>
      <c r="D44" s="1340">
        <v>5624000</v>
      </c>
      <c r="E44" s="1340">
        <v>5624000</v>
      </c>
      <c r="F44" s="1340">
        <v>5624000</v>
      </c>
      <c r="G44" s="1340">
        <v>5624000</v>
      </c>
    </row>
    <row r="45" spans="2:7">
      <c r="B45" s="1729"/>
      <c r="C45" s="1335"/>
      <c r="D45" s="1335">
        <v>5708000</v>
      </c>
      <c r="E45" s="1335">
        <v>5307000</v>
      </c>
      <c r="F45" s="1335">
        <v>5307000</v>
      </c>
      <c r="G45" s="1335">
        <v>5307000</v>
      </c>
    </row>
    <row r="46" spans="2:7">
      <c r="B46" s="1729"/>
      <c r="C46" s="1335"/>
      <c r="D46" s="1335"/>
      <c r="E46" s="1335">
        <v>5072000</v>
      </c>
      <c r="F46" s="1335">
        <v>4721000</v>
      </c>
      <c r="G46" s="1335">
        <v>4721000</v>
      </c>
    </row>
    <row r="47" spans="2:7">
      <c r="B47" s="1729"/>
      <c r="C47" s="1335"/>
      <c r="D47" s="1335"/>
      <c r="E47" s="1335"/>
      <c r="F47" s="1335">
        <v>4542000</v>
      </c>
      <c r="G47" s="1335">
        <v>4134000</v>
      </c>
    </row>
    <row r="48" spans="2:7">
      <c r="B48" s="1730"/>
      <c r="C48" s="1336"/>
      <c r="D48" s="1336"/>
      <c r="E48" s="1336"/>
      <c r="F48" s="1336"/>
      <c r="G48" s="1336">
        <v>5170000</v>
      </c>
    </row>
    <row r="49" spans="2:7">
      <c r="B49" s="1734" t="s">
        <v>456</v>
      </c>
      <c r="C49" s="1337">
        <v>5811000</v>
      </c>
      <c r="D49" s="1337">
        <v>5380000</v>
      </c>
      <c r="E49" s="1337">
        <v>5380000</v>
      </c>
      <c r="F49" s="1337">
        <v>5380000</v>
      </c>
      <c r="G49" s="1337">
        <v>5380000</v>
      </c>
    </row>
    <row r="50" spans="2:7">
      <c r="B50" s="1735"/>
      <c r="C50" s="1338"/>
      <c r="D50" s="1338">
        <v>5463000</v>
      </c>
      <c r="E50" s="1338">
        <v>5079000</v>
      </c>
      <c r="F50" s="1338">
        <v>5079000</v>
      </c>
      <c r="G50" s="1338">
        <v>5079000</v>
      </c>
    </row>
    <row r="51" spans="2:7">
      <c r="B51" s="1735"/>
      <c r="C51" s="1338"/>
      <c r="D51" s="1338"/>
      <c r="E51" s="1338">
        <v>4857000</v>
      </c>
      <c r="F51" s="1338">
        <v>4521000</v>
      </c>
      <c r="G51" s="1338">
        <v>4521000</v>
      </c>
    </row>
    <row r="52" spans="2:7">
      <c r="B52" s="1735"/>
      <c r="C52" s="1338"/>
      <c r="D52" s="1338"/>
      <c r="E52" s="1338"/>
      <c r="F52" s="1338">
        <v>4353000</v>
      </c>
      <c r="G52" s="1338">
        <v>3963000</v>
      </c>
    </row>
    <row r="53" spans="2:7">
      <c r="B53" s="1736"/>
      <c r="C53" s="1339"/>
      <c r="D53" s="1339"/>
      <c r="E53" s="1339"/>
      <c r="F53" s="1339"/>
      <c r="G53" s="1339">
        <v>4951000</v>
      </c>
    </row>
    <row r="54" spans="2:7">
      <c r="B54" s="1728" t="s">
        <v>457</v>
      </c>
      <c r="C54" s="1340">
        <v>6114000</v>
      </c>
      <c r="D54" s="1340">
        <v>5660000</v>
      </c>
      <c r="E54" s="1340">
        <v>5660000</v>
      </c>
      <c r="F54" s="1340">
        <v>5660000</v>
      </c>
      <c r="G54" s="1340">
        <v>5660000</v>
      </c>
    </row>
    <row r="55" spans="2:7">
      <c r="B55" s="1729"/>
      <c r="C55" s="1335"/>
      <c r="D55" s="1335">
        <v>5745000</v>
      </c>
      <c r="E55" s="1335">
        <v>5341000</v>
      </c>
      <c r="F55" s="1335">
        <v>5341000</v>
      </c>
      <c r="G55" s="1335">
        <v>5341000</v>
      </c>
    </row>
    <row r="56" spans="2:7">
      <c r="B56" s="1729"/>
      <c r="C56" s="1335"/>
      <c r="D56" s="1335"/>
      <c r="E56" s="1335">
        <v>5104000</v>
      </c>
      <c r="F56" s="1335">
        <v>4751000</v>
      </c>
      <c r="G56" s="1335">
        <v>4751000</v>
      </c>
    </row>
    <row r="57" spans="2:7">
      <c r="B57" s="1729"/>
      <c r="C57" s="1335"/>
      <c r="D57" s="1335"/>
      <c r="E57" s="1335"/>
      <c r="F57" s="1335">
        <v>4570000</v>
      </c>
      <c r="G57" s="1335">
        <v>4160000</v>
      </c>
    </row>
    <row r="58" spans="2:7">
      <c r="B58" s="1730"/>
      <c r="C58" s="1336"/>
      <c r="D58" s="1336"/>
      <c r="E58" s="1336"/>
      <c r="F58" s="1336"/>
      <c r="G58" s="1336">
        <v>5203000</v>
      </c>
    </row>
  </sheetData>
  <mergeCells count="25">
    <mergeCell ref="B44:B48"/>
    <mergeCell ref="B49:B53"/>
    <mergeCell ref="B54:B58"/>
    <mergeCell ref="B24:B28"/>
    <mergeCell ref="C24:C28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:B8"/>
    <mergeCell ref="C4:C8"/>
    <mergeCell ref="D4:D8"/>
    <mergeCell ref="E4:E8"/>
    <mergeCell ref="B9:B13"/>
    <mergeCell ref="C9:C13"/>
    <mergeCell ref="D9:D13"/>
    <mergeCell ref="E9:E13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2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5.75">
      <c r="A1" s="1273" t="s">
        <v>459</v>
      </c>
    </row>
    <row r="3" spans="1:20" s="1274" customFormat="1" ht="28.5" customHeight="1">
      <c r="B3" s="1275" t="s">
        <v>460</v>
      </c>
      <c r="C3" s="1276" t="s">
        <v>461</v>
      </c>
      <c r="D3" s="1276" t="s">
        <v>439</v>
      </c>
      <c r="E3" s="1276" t="s">
        <v>462</v>
      </c>
      <c r="F3" s="1276" t="s">
        <v>7</v>
      </c>
      <c r="G3" s="1276" t="s">
        <v>441</v>
      </c>
      <c r="H3" s="1276" t="s">
        <v>442</v>
      </c>
      <c r="I3" s="1276" t="s">
        <v>260</v>
      </c>
      <c r="J3" s="1276" t="s">
        <v>443</v>
      </c>
      <c r="K3" s="1276" t="s">
        <v>304</v>
      </c>
      <c r="L3" s="1276" t="s">
        <v>444</v>
      </c>
      <c r="M3" s="1276" t="s">
        <v>445</v>
      </c>
      <c r="N3" s="1277" t="s">
        <v>446</v>
      </c>
      <c r="O3" s="1277" t="s">
        <v>447</v>
      </c>
      <c r="P3" s="1276" t="s">
        <v>448</v>
      </c>
      <c r="Q3" s="1276" t="s">
        <v>449</v>
      </c>
      <c r="R3" s="1276" t="s">
        <v>450</v>
      </c>
      <c r="S3" s="1276" t="s">
        <v>451</v>
      </c>
      <c r="T3" s="1278" t="s">
        <v>452</v>
      </c>
    </row>
    <row r="4" spans="1:20" ht="14.25" customHeight="1">
      <c r="B4" s="1728" t="s">
        <v>463</v>
      </c>
      <c r="C4" s="1731">
        <v>258900000</v>
      </c>
      <c r="D4" s="1731">
        <v>5000000</v>
      </c>
      <c r="E4" s="1731">
        <f>C4-D4</f>
        <v>253900000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0.67</v>
      </c>
      <c r="M4" s="1282">
        <f>'Special RV'!D33</f>
        <v>0.85838655460000002</v>
      </c>
      <c r="N4" s="1282">
        <f>ROUND(AVERAGE(L4:M4),2)</f>
        <v>0.76</v>
      </c>
      <c r="O4" s="1281">
        <f>N4*C4</f>
        <v>196764000</v>
      </c>
      <c r="P4" s="1283">
        <f>SUM(C48:C52)</f>
        <v>6972000</v>
      </c>
      <c r="Q4" s="1284">
        <f>ROUNDUP(1.6%*C4,-3)</f>
        <v>4143000</v>
      </c>
      <c r="R4" s="1284">
        <f>ROUNDUP(1.9%*C4,-3)</f>
        <v>4920000</v>
      </c>
      <c r="S4" s="1285">
        <f>386000*F4</f>
        <v>4632000</v>
      </c>
      <c r="T4" s="1279"/>
    </row>
    <row r="5" spans="1:20" ht="14.25" customHeight="1">
      <c r="B5" s="1729"/>
      <c r="C5" s="1732"/>
      <c r="D5" s="1732"/>
      <c r="E5" s="1732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0.62</v>
      </c>
      <c r="M5" s="1289">
        <f>'Special RV'!E33</f>
        <v>0.7587899159</v>
      </c>
      <c r="N5" s="1289">
        <f t="shared" ref="N5:N43" si="0">ROUND(AVERAGE(L5:M5),2)</f>
        <v>0.69</v>
      </c>
      <c r="O5" s="1288">
        <f>N5*C4</f>
        <v>178641000</v>
      </c>
      <c r="P5" s="1290">
        <f>SUM(D48:D52)</f>
        <v>12319000</v>
      </c>
      <c r="Q5" s="1291">
        <f>Q4*2</f>
        <v>8286000</v>
      </c>
      <c r="R5" s="1291">
        <f>R4*2</f>
        <v>9840000</v>
      </c>
      <c r="S5" s="1292">
        <f t="shared" ref="S5:S13" si="1">386000*F5</f>
        <v>9264000</v>
      </c>
      <c r="T5" s="1286"/>
    </row>
    <row r="6" spans="1:20" ht="14.25" customHeight="1">
      <c r="B6" s="1729"/>
      <c r="C6" s="1732"/>
      <c r="D6" s="1732"/>
      <c r="E6" s="1732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0.57999999999999996</v>
      </c>
      <c r="M6" s="1289">
        <f>'Special RV'!G33</f>
        <v>0.65919327719999998</v>
      </c>
      <c r="N6" s="1289">
        <f t="shared" si="0"/>
        <v>0.62</v>
      </c>
      <c r="O6" s="1288">
        <f>N6*C4</f>
        <v>160518000</v>
      </c>
      <c r="P6" s="1290">
        <f>SUM(E48:E52)</f>
        <v>17715000</v>
      </c>
      <c r="Q6" s="1291">
        <f>Q4*3</f>
        <v>12429000</v>
      </c>
      <c r="R6" s="1291">
        <f>R4*3</f>
        <v>14760000</v>
      </c>
      <c r="S6" s="1292">
        <f t="shared" si="1"/>
        <v>13896000</v>
      </c>
      <c r="T6" s="1286"/>
    </row>
    <row r="7" spans="1:20" ht="14.25" customHeight="1">
      <c r="B7" s="1729"/>
      <c r="C7" s="1732"/>
      <c r="D7" s="1732"/>
      <c r="E7" s="1732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0.51</v>
      </c>
      <c r="M7" s="1289">
        <f>'Special RV'!I33</f>
        <v>0.55959663849999997</v>
      </c>
      <c r="N7" s="1289">
        <f t="shared" si="0"/>
        <v>0.53</v>
      </c>
      <c r="O7" s="1288">
        <f>N7*C4</f>
        <v>137217000</v>
      </c>
      <c r="P7" s="1290">
        <f>SUM(F48:F52)</f>
        <v>22448000</v>
      </c>
      <c r="Q7" s="1294">
        <f>Q4*4</f>
        <v>16572000</v>
      </c>
      <c r="R7" s="1294">
        <f>R4*4</f>
        <v>19680000</v>
      </c>
      <c r="S7" s="1292">
        <f t="shared" si="1"/>
        <v>18528000</v>
      </c>
      <c r="T7" s="1286"/>
    </row>
    <row r="8" spans="1:20" ht="14.25" customHeight="1">
      <c r="B8" s="1730"/>
      <c r="C8" s="1733"/>
      <c r="D8" s="1733"/>
      <c r="E8" s="1733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0.46</v>
      </c>
      <c r="M8" s="1299">
        <f>L8</f>
        <v>0.46</v>
      </c>
      <c r="N8" s="1299">
        <f t="shared" si="0"/>
        <v>0.46</v>
      </c>
      <c r="O8" s="1297">
        <f>N8*C4</f>
        <v>119094000</v>
      </c>
      <c r="P8" s="1300">
        <f>SUM(G48:G52)</f>
        <v>26836000</v>
      </c>
      <c r="Q8" s="1301">
        <f>Q4*5</f>
        <v>20715000</v>
      </c>
      <c r="R8" s="1301">
        <f>R4*5</f>
        <v>24600000</v>
      </c>
      <c r="S8" s="1302">
        <f t="shared" si="1"/>
        <v>23160000</v>
      </c>
      <c r="T8" s="1295"/>
    </row>
    <row r="9" spans="1:20" ht="14.25" customHeight="1">
      <c r="B9" s="1734" t="s">
        <v>464</v>
      </c>
      <c r="C9" s="1737">
        <v>250200000</v>
      </c>
      <c r="D9" s="1737">
        <v>5000000</v>
      </c>
      <c r="E9" s="1737">
        <f>C9-D9</f>
        <v>245200000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0.67</v>
      </c>
      <c r="M9" s="1306">
        <f>M4</f>
        <v>0.85838655460000002</v>
      </c>
      <c r="N9" s="1306">
        <f t="shared" si="0"/>
        <v>0.76</v>
      </c>
      <c r="O9" s="1305">
        <f>N9*C9</f>
        <v>190152000</v>
      </c>
      <c r="P9" s="1307">
        <f>SUM(C53:C57)</f>
        <v>6760000</v>
      </c>
      <c r="Q9" s="1308">
        <f>ROUNDUP(1.6%*C9,-3)</f>
        <v>4004000</v>
      </c>
      <c r="R9" s="1308">
        <f>ROUNDUP(1.9%*C9,-3)</f>
        <v>4754000</v>
      </c>
      <c r="S9" s="1309">
        <f>386000*F9</f>
        <v>4632000</v>
      </c>
      <c r="T9" s="1303"/>
    </row>
    <row r="10" spans="1:20" ht="14.25" customHeight="1">
      <c r="B10" s="1735"/>
      <c r="C10" s="1738"/>
      <c r="D10" s="1738"/>
      <c r="E10" s="1738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0.62</v>
      </c>
      <c r="M10" s="1313">
        <f t="shared" ref="M10:M12" si="2">M5</f>
        <v>0.7587899159</v>
      </c>
      <c r="N10" s="1313">
        <f t="shared" si="0"/>
        <v>0.69</v>
      </c>
      <c r="O10" s="1312">
        <f>N10*C9</f>
        <v>172638000</v>
      </c>
      <c r="P10" s="1314">
        <f>SUM(D53:D57)</f>
        <v>11949000</v>
      </c>
      <c r="Q10" s="1315">
        <f>Q9*2</f>
        <v>8008000</v>
      </c>
      <c r="R10" s="1315">
        <f>R9*2</f>
        <v>9508000</v>
      </c>
      <c r="S10" s="1316">
        <f t="shared" si="1"/>
        <v>9264000</v>
      </c>
      <c r="T10" s="1310"/>
    </row>
    <row r="11" spans="1:20" ht="14.25" customHeight="1">
      <c r="B11" s="1735"/>
      <c r="C11" s="1738"/>
      <c r="D11" s="1738"/>
      <c r="E11" s="1738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0.57999999999999996</v>
      </c>
      <c r="M11" s="1313">
        <f t="shared" si="2"/>
        <v>0.65919327719999998</v>
      </c>
      <c r="N11" s="1313">
        <f t="shared" si="0"/>
        <v>0.62</v>
      </c>
      <c r="O11" s="1312">
        <f>N11*C9</f>
        <v>155124000</v>
      </c>
      <c r="P11" s="1314">
        <f>SUM(E53:E57)</f>
        <v>17183000</v>
      </c>
      <c r="Q11" s="1315">
        <f>Q9*3</f>
        <v>12012000</v>
      </c>
      <c r="R11" s="1315">
        <f>R9*3</f>
        <v>14262000</v>
      </c>
      <c r="S11" s="1316">
        <f t="shared" si="1"/>
        <v>13896000</v>
      </c>
      <c r="T11" s="1310"/>
    </row>
    <row r="12" spans="1:20" ht="14.25" customHeight="1">
      <c r="B12" s="1735"/>
      <c r="C12" s="1738"/>
      <c r="D12" s="1738"/>
      <c r="E12" s="1738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 t="shared" si="2"/>
        <v>0.55959663849999997</v>
      </c>
      <c r="N12" s="1313">
        <f t="shared" si="0"/>
        <v>0.53</v>
      </c>
      <c r="O12" s="1312">
        <f>N12*C9</f>
        <v>132606000</v>
      </c>
      <c r="P12" s="1314">
        <f>SUM(F53:F57)</f>
        <v>21779000</v>
      </c>
      <c r="Q12" s="1317">
        <f>Q9*4</f>
        <v>16016000</v>
      </c>
      <c r="R12" s="1317">
        <f>R9*4</f>
        <v>19016000</v>
      </c>
      <c r="S12" s="1316">
        <f t="shared" si="1"/>
        <v>18528000</v>
      </c>
      <c r="T12" s="1310"/>
    </row>
    <row r="13" spans="1:20" ht="14.25" customHeight="1">
      <c r="B13" s="1736"/>
      <c r="C13" s="1739"/>
      <c r="D13" s="1739"/>
      <c r="E13" s="1739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0.46</v>
      </c>
      <c r="M13" s="1321">
        <f>L13</f>
        <v>0.46</v>
      </c>
      <c r="N13" s="1321">
        <f t="shared" si="0"/>
        <v>0.46</v>
      </c>
      <c r="O13" s="1320">
        <f>N13*C9</f>
        <v>115092000</v>
      </c>
      <c r="P13" s="1322">
        <f>SUM(G53:G57)</f>
        <v>26041000</v>
      </c>
      <c r="Q13" s="1323">
        <f>Q9*5</f>
        <v>20020000</v>
      </c>
      <c r="R13" s="1323">
        <f>R9*5</f>
        <v>23770000</v>
      </c>
      <c r="S13" s="1324">
        <f t="shared" si="1"/>
        <v>23160000</v>
      </c>
      <c r="T13" s="1318"/>
    </row>
    <row r="14" spans="1:20" ht="14.25" customHeight="1">
      <c r="B14" s="1728" t="s">
        <v>465</v>
      </c>
      <c r="C14" s="1731">
        <v>240200000</v>
      </c>
      <c r="D14" s="1731">
        <v>5000000</v>
      </c>
      <c r="E14" s="1731">
        <f>C14-D14</f>
        <v>235200000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0.7</v>
      </c>
      <c r="M14" s="1325">
        <f>'Special RV'!D32</f>
        <v>0.86485061510000005</v>
      </c>
      <c r="N14" s="1325">
        <f t="shared" si="0"/>
        <v>0.78</v>
      </c>
      <c r="O14" s="1281">
        <f>N14*C14</f>
        <v>187356000</v>
      </c>
      <c r="P14" s="1283">
        <f>SUM(C58:C62)</f>
        <v>6580000</v>
      </c>
      <c r="Q14" s="1284">
        <f>ROUNDUP(1.6%*C14,-3)</f>
        <v>3844000</v>
      </c>
      <c r="R14" s="1284">
        <f>ROUNDUP(1.9%*C14,-3)</f>
        <v>4564000</v>
      </c>
      <c r="S14" s="1285">
        <f>357000*F14</f>
        <v>4284000</v>
      </c>
      <c r="T14" s="1279"/>
    </row>
    <row r="15" spans="1:20" ht="14.25" customHeight="1">
      <c r="B15" s="1729"/>
      <c r="C15" s="1732"/>
      <c r="D15" s="1732"/>
      <c r="E15" s="1732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0.65</v>
      </c>
      <c r="M15" s="1289">
        <f>'Special RV'!E32</f>
        <v>0.77363796129999995</v>
      </c>
      <c r="N15" s="1289">
        <f t="shared" si="0"/>
        <v>0.71</v>
      </c>
      <c r="O15" s="1288">
        <f>N15*C14</f>
        <v>170542000</v>
      </c>
      <c r="P15" s="1290">
        <f>SUM(D58:D62)</f>
        <v>12272000</v>
      </c>
      <c r="Q15" s="1291">
        <f>Q14*2</f>
        <v>7688000</v>
      </c>
      <c r="R15" s="1291">
        <f>R14*2</f>
        <v>9128000</v>
      </c>
      <c r="S15" s="1292">
        <f t="shared" ref="S15:S18" si="3">357000*F15</f>
        <v>8568000</v>
      </c>
      <c r="T15" s="1286"/>
    </row>
    <row r="16" spans="1:20" ht="14.25" customHeight="1">
      <c r="B16" s="1729"/>
      <c r="C16" s="1732"/>
      <c r="D16" s="1732"/>
      <c r="E16" s="1732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0.59</v>
      </c>
      <c r="M16" s="1289">
        <f>'Special RV'!G32</f>
        <v>0.68242530749999997</v>
      </c>
      <c r="N16" s="1289">
        <f t="shared" si="0"/>
        <v>0.64</v>
      </c>
      <c r="O16" s="1288">
        <f>N16*C14</f>
        <v>153728000</v>
      </c>
      <c r="P16" s="1290">
        <f>SUM(E58:E62)</f>
        <v>17322000</v>
      </c>
      <c r="Q16" s="1291">
        <f>Q14*3</f>
        <v>11532000</v>
      </c>
      <c r="R16" s="1291">
        <f>R14*3</f>
        <v>13692000</v>
      </c>
      <c r="S16" s="1292">
        <f t="shared" si="3"/>
        <v>12852000</v>
      </c>
      <c r="T16" s="1286"/>
    </row>
    <row r="17" spans="2:20" ht="14.25" customHeight="1">
      <c r="B17" s="1729"/>
      <c r="C17" s="1732"/>
      <c r="D17" s="1732"/>
      <c r="E17" s="1732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0.53</v>
      </c>
      <c r="M17" s="1289">
        <f>'Special RV'!I32</f>
        <v>0.59121265369999998</v>
      </c>
      <c r="N17" s="1289">
        <f t="shared" si="0"/>
        <v>0.56000000000000005</v>
      </c>
      <c r="O17" s="1288">
        <f>N17*C14</f>
        <v>134512000</v>
      </c>
      <c r="P17" s="1290">
        <f>SUM(F58:F62)</f>
        <v>21758000</v>
      </c>
      <c r="Q17" s="1294">
        <f>Q14*4</f>
        <v>15376000</v>
      </c>
      <c r="R17" s="1294">
        <f>R14*4</f>
        <v>18256000</v>
      </c>
      <c r="S17" s="1292">
        <f t="shared" si="3"/>
        <v>17136000</v>
      </c>
      <c r="T17" s="1286"/>
    </row>
    <row r="18" spans="2:20" ht="14.25" customHeight="1">
      <c r="B18" s="1730"/>
      <c r="C18" s="1733"/>
      <c r="D18" s="1733"/>
      <c r="E18" s="1733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0.5</v>
      </c>
      <c r="M18" s="1299">
        <f>L18</f>
        <v>0.5</v>
      </c>
      <c r="N18" s="1299">
        <f t="shared" si="0"/>
        <v>0.5</v>
      </c>
      <c r="O18" s="1297">
        <f>N18*C14</f>
        <v>120100000</v>
      </c>
      <c r="P18" s="1300">
        <f>SUM(G58:G62)</f>
        <v>25955000</v>
      </c>
      <c r="Q18" s="1301">
        <f>Q14*5</f>
        <v>19220000</v>
      </c>
      <c r="R18" s="1301">
        <f>R14*5</f>
        <v>22820000</v>
      </c>
      <c r="S18" s="1302">
        <f t="shared" si="3"/>
        <v>21420000</v>
      </c>
      <c r="T18" s="1295"/>
    </row>
    <row r="19" spans="2:20" ht="14.25" customHeight="1">
      <c r="B19" s="1734" t="s">
        <v>466</v>
      </c>
      <c r="C19" s="1737">
        <v>238000000</v>
      </c>
      <c r="D19" s="1737">
        <v>5000000</v>
      </c>
      <c r="E19" s="1737">
        <f>C19-D19</f>
        <v>233000000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0.67</v>
      </c>
      <c r="M19" s="1306">
        <f>M9</f>
        <v>0.85838655460000002</v>
      </c>
      <c r="N19" s="1306">
        <f t="shared" si="0"/>
        <v>0.76</v>
      </c>
      <c r="O19" s="1305">
        <f>N19*C19</f>
        <v>180880000</v>
      </c>
      <c r="P19" s="1307">
        <f>SUM(C63:C67)</f>
        <v>6526000</v>
      </c>
      <c r="Q19" s="1308">
        <f>ROUNDUP(1.6%*C19,-3)</f>
        <v>3808000</v>
      </c>
      <c r="R19" s="1308">
        <f>ROUNDUP(1.9%*C19,-3)</f>
        <v>4522000</v>
      </c>
      <c r="S19" s="1309">
        <f>386000*F19</f>
        <v>4632000</v>
      </c>
      <c r="T19" s="1303"/>
    </row>
    <row r="20" spans="2:20" ht="14.25" customHeight="1">
      <c r="B20" s="1735"/>
      <c r="C20" s="1738"/>
      <c r="D20" s="1738"/>
      <c r="E20" s="1738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0.62</v>
      </c>
      <c r="M20" s="1313">
        <f t="shared" ref="M20:M22" si="4">M10</f>
        <v>0.7587899159</v>
      </c>
      <c r="N20" s="1313">
        <f t="shared" si="0"/>
        <v>0.69</v>
      </c>
      <c r="O20" s="1312">
        <f>N20*C19</f>
        <v>164220000</v>
      </c>
      <c r="P20" s="1314">
        <f>SUM(D63:D67)</f>
        <v>12171000</v>
      </c>
      <c r="Q20" s="1315">
        <f>Q19*2</f>
        <v>7616000</v>
      </c>
      <c r="R20" s="1315">
        <f>R19*2</f>
        <v>9044000</v>
      </c>
      <c r="S20" s="1316">
        <f t="shared" ref="S20:S23" si="5">386000*F20</f>
        <v>9264000</v>
      </c>
      <c r="T20" s="1310"/>
    </row>
    <row r="21" spans="2:20" ht="14.25" customHeight="1">
      <c r="B21" s="1735"/>
      <c r="C21" s="1738"/>
      <c r="D21" s="1738"/>
      <c r="E21" s="1738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0.57999999999999996</v>
      </c>
      <c r="M21" s="1313">
        <f t="shared" si="4"/>
        <v>0.65919327719999998</v>
      </c>
      <c r="N21" s="1313">
        <f t="shared" si="0"/>
        <v>0.62</v>
      </c>
      <c r="O21" s="1312">
        <f>N21*C19</f>
        <v>147560000</v>
      </c>
      <c r="P21" s="1314">
        <f>SUM(E63:E67)</f>
        <v>17181000</v>
      </c>
      <c r="Q21" s="1315">
        <f>Q19*3</f>
        <v>11424000</v>
      </c>
      <c r="R21" s="1315">
        <f>R19*3</f>
        <v>13566000</v>
      </c>
      <c r="S21" s="1316">
        <f t="shared" si="5"/>
        <v>13896000</v>
      </c>
      <c r="T21" s="1310"/>
    </row>
    <row r="22" spans="2:20" ht="14.25" customHeight="1">
      <c r="B22" s="1735"/>
      <c r="C22" s="1738"/>
      <c r="D22" s="1738"/>
      <c r="E22" s="1738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4"/>
        <v>0.55959663849999997</v>
      </c>
      <c r="N22" s="1313">
        <f t="shared" si="0"/>
        <v>0.53</v>
      </c>
      <c r="O22" s="1312">
        <f>N22*C19</f>
        <v>126140000</v>
      </c>
      <c r="P22" s="1314">
        <f>SUM(F63:F67)</f>
        <v>21582000</v>
      </c>
      <c r="Q22" s="1317">
        <f>Q19*4</f>
        <v>15232000</v>
      </c>
      <c r="R22" s="1317">
        <f>R19*4</f>
        <v>18088000</v>
      </c>
      <c r="S22" s="1316">
        <f t="shared" si="5"/>
        <v>18528000</v>
      </c>
      <c r="T22" s="1310"/>
    </row>
    <row r="23" spans="2:20" ht="14.25" customHeight="1">
      <c r="B23" s="1736"/>
      <c r="C23" s="1739"/>
      <c r="D23" s="1739"/>
      <c r="E23" s="1739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0.46</v>
      </c>
      <c r="M23" s="1321">
        <f>L23</f>
        <v>0.46</v>
      </c>
      <c r="N23" s="1321">
        <f t="shared" si="0"/>
        <v>0.46</v>
      </c>
      <c r="O23" s="1320">
        <f>N23*C19</f>
        <v>109480000</v>
      </c>
      <c r="P23" s="1322">
        <f>SUM(G63:G67)</f>
        <v>25745000</v>
      </c>
      <c r="Q23" s="1323">
        <f>Q19*5</f>
        <v>19040000</v>
      </c>
      <c r="R23" s="1323">
        <f>R19*5</f>
        <v>22610000</v>
      </c>
      <c r="S23" s="1324">
        <f t="shared" si="5"/>
        <v>23160000</v>
      </c>
      <c r="T23" s="1318"/>
    </row>
    <row r="24" spans="2:20" ht="14.25" customHeight="1">
      <c r="B24" s="1740" t="s">
        <v>467</v>
      </c>
      <c r="C24" s="1742">
        <v>227600000</v>
      </c>
      <c r="D24" s="1742">
        <v>5000000</v>
      </c>
      <c r="E24" s="1742">
        <f>C24-D24</f>
        <v>222600000</v>
      </c>
      <c r="F24" s="1341">
        <v>12</v>
      </c>
      <c r="G24" s="1341"/>
      <c r="H24" s="1280">
        <v>0.151</v>
      </c>
      <c r="I24" s="1280">
        <v>9.7299999999999998E-2</v>
      </c>
      <c r="J24" s="1342">
        <f>G24/$C$24</f>
        <v>0</v>
      </c>
      <c r="K24" s="1341"/>
      <c r="L24" s="1282">
        <v>0.7</v>
      </c>
      <c r="M24" s="1325">
        <f>M14</f>
        <v>0.86485061510000005</v>
      </c>
      <c r="N24" s="1325">
        <f t="shared" si="0"/>
        <v>0.78</v>
      </c>
      <c r="O24" s="1281">
        <f>N24*C24</f>
        <v>177528000</v>
      </c>
      <c r="P24" s="1283">
        <f>SUM(C68:C72)</f>
        <v>6270000</v>
      </c>
      <c r="Q24" s="1284">
        <f>ROUNDUP(1.6%*C24,-3)</f>
        <v>3642000</v>
      </c>
      <c r="R24" s="1284">
        <f>ROUNDUP(1.9%*C24,-3)</f>
        <v>4325000</v>
      </c>
      <c r="S24" s="1285">
        <f>357000*F24</f>
        <v>4284000</v>
      </c>
      <c r="T24" s="1341"/>
    </row>
    <row r="25" spans="2:20" ht="14.25" customHeight="1">
      <c r="B25" s="1729"/>
      <c r="C25" s="1732"/>
      <c r="D25" s="1732"/>
      <c r="E25" s="1732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86"/>
      <c r="L25" s="1289">
        <v>0.65</v>
      </c>
      <c r="M25" s="1325">
        <f t="shared" ref="M25:M27" si="6">M15</f>
        <v>0.77363796129999995</v>
      </c>
      <c r="N25" s="1289">
        <f t="shared" si="0"/>
        <v>0.71</v>
      </c>
      <c r="O25" s="1288">
        <f>N25*C24</f>
        <v>161596000</v>
      </c>
      <c r="P25" s="1290">
        <f>SUM(D68:D72)</f>
        <v>11696000</v>
      </c>
      <c r="Q25" s="1291">
        <f>Q24*2</f>
        <v>7284000</v>
      </c>
      <c r="R25" s="1291">
        <f>R24*2</f>
        <v>8650000</v>
      </c>
      <c r="S25" s="1292">
        <f t="shared" ref="S25:S28" si="7">357000*F25</f>
        <v>8568000</v>
      </c>
      <c r="T25" s="1286"/>
    </row>
    <row r="26" spans="2:20" ht="14.25" customHeight="1">
      <c r="B26" s="1729"/>
      <c r="C26" s="1732"/>
      <c r="D26" s="1732"/>
      <c r="E26" s="1732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86"/>
      <c r="L26" s="1289">
        <v>0.59</v>
      </c>
      <c r="M26" s="1325">
        <f t="shared" si="6"/>
        <v>0.68242530749999997</v>
      </c>
      <c r="N26" s="1289">
        <f t="shared" si="0"/>
        <v>0.64</v>
      </c>
      <c r="O26" s="1288">
        <f>N26*C24</f>
        <v>145664000</v>
      </c>
      <c r="P26" s="1290">
        <f>SUM(E68:E72)</f>
        <v>16513000</v>
      </c>
      <c r="Q26" s="1291">
        <f>Q24*3</f>
        <v>10926000</v>
      </c>
      <c r="R26" s="1291">
        <f>R24*3</f>
        <v>12975000</v>
      </c>
      <c r="S26" s="1292">
        <f t="shared" si="7"/>
        <v>12852000</v>
      </c>
      <c r="T26" s="1286"/>
    </row>
    <row r="27" spans="2:20" ht="14.25" customHeight="1">
      <c r="B27" s="1729"/>
      <c r="C27" s="1732"/>
      <c r="D27" s="1732"/>
      <c r="E27" s="1732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86"/>
      <c r="L27" s="1289">
        <v>0.53</v>
      </c>
      <c r="M27" s="1325">
        <f t="shared" si="6"/>
        <v>0.59121265369999998</v>
      </c>
      <c r="N27" s="1289">
        <f t="shared" si="0"/>
        <v>0.56000000000000005</v>
      </c>
      <c r="O27" s="1288">
        <f>N27*C24</f>
        <v>127456000.00000001</v>
      </c>
      <c r="P27" s="1290">
        <f>SUM(F68:F72)</f>
        <v>20749000</v>
      </c>
      <c r="Q27" s="1294">
        <f>Q24*4</f>
        <v>14568000</v>
      </c>
      <c r="R27" s="1294">
        <f>R24*4</f>
        <v>17300000</v>
      </c>
      <c r="S27" s="1292">
        <f t="shared" si="7"/>
        <v>17136000</v>
      </c>
      <c r="T27" s="1286"/>
    </row>
    <row r="28" spans="2:20" ht="14.25" customHeight="1">
      <c r="B28" s="1741"/>
      <c r="C28" s="1743"/>
      <c r="D28" s="1743"/>
      <c r="E28" s="1743"/>
      <c r="F28" s="1343">
        <v>60</v>
      </c>
      <c r="G28" s="1343"/>
      <c r="H28" s="1296">
        <v>0.14299999999999999</v>
      </c>
      <c r="I28" s="1296">
        <v>9.9199999999999997E-2</v>
      </c>
      <c r="J28" s="1344">
        <f>G28/$C$24</f>
        <v>0</v>
      </c>
      <c r="K28" s="1343"/>
      <c r="L28" s="1299">
        <v>0.5</v>
      </c>
      <c r="M28" s="1299">
        <f>L28</f>
        <v>0.5</v>
      </c>
      <c r="N28" s="1299">
        <f t="shared" si="0"/>
        <v>0.5</v>
      </c>
      <c r="O28" s="1297">
        <f>N28*C24</f>
        <v>113800000</v>
      </c>
      <c r="P28" s="1300">
        <f>SUM(G68:G72)</f>
        <v>24757000</v>
      </c>
      <c r="Q28" s="1301">
        <f>Q24*5</f>
        <v>18210000</v>
      </c>
      <c r="R28" s="1301">
        <f>R24*5</f>
        <v>21625000</v>
      </c>
      <c r="S28" s="1302">
        <f t="shared" si="7"/>
        <v>21420000</v>
      </c>
      <c r="T28" s="1343"/>
    </row>
    <row r="29" spans="2:20" ht="14.25" customHeight="1">
      <c r="B29" s="1734" t="s">
        <v>468</v>
      </c>
      <c r="C29" s="1737">
        <v>231600000</v>
      </c>
      <c r="D29" s="1737">
        <v>5000000</v>
      </c>
      <c r="E29" s="1737">
        <f>C29-D29</f>
        <v>226600000</v>
      </c>
      <c r="F29" s="1303">
        <v>12</v>
      </c>
      <c r="G29" s="1303"/>
      <c r="H29" s="1304">
        <v>0.151</v>
      </c>
      <c r="I29" s="1304">
        <v>9.7299999999999998E-2</v>
      </c>
      <c r="J29" s="1305">
        <f>G29/$C$29</f>
        <v>0</v>
      </c>
      <c r="K29" s="1303"/>
      <c r="L29" s="1306">
        <v>0.67</v>
      </c>
      <c r="M29" s="1306">
        <f>M19</f>
        <v>0.85838655460000002</v>
      </c>
      <c r="N29" s="1306">
        <f t="shared" si="0"/>
        <v>0.76</v>
      </c>
      <c r="O29" s="1305">
        <f>N29*C29</f>
        <v>176016000</v>
      </c>
      <c r="P29" s="1307">
        <f>SUM(C73:C77)</f>
        <v>6368000</v>
      </c>
      <c r="Q29" s="1308">
        <f>ROUNDUP(1.6%*C29,-3)</f>
        <v>3706000</v>
      </c>
      <c r="R29" s="1308">
        <f>ROUNDUP(1.9%*C29,-3)</f>
        <v>4401000</v>
      </c>
      <c r="S29" s="1309">
        <f>386000*F29</f>
        <v>4632000</v>
      </c>
      <c r="T29" s="1303"/>
    </row>
    <row r="30" spans="2:20" ht="14.25" customHeight="1">
      <c r="B30" s="1735"/>
      <c r="C30" s="1738"/>
      <c r="D30" s="1738"/>
      <c r="E30" s="1738"/>
      <c r="F30" s="1310">
        <v>24</v>
      </c>
      <c r="G30" s="1310"/>
      <c r="H30" s="1311">
        <v>0.14499999999999999</v>
      </c>
      <c r="I30" s="1311">
        <v>9.9500000000000005E-2</v>
      </c>
      <c r="J30" s="1312">
        <f>G30/$C$29</f>
        <v>0</v>
      </c>
      <c r="K30" s="1310"/>
      <c r="L30" s="1313">
        <v>0.62</v>
      </c>
      <c r="M30" s="1313">
        <f t="shared" ref="M30:M32" si="8">M20</f>
        <v>0.7587899159</v>
      </c>
      <c r="N30" s="1313">
        <f t="shared" si="0"/>
        <v>0.69</v>
      </c>
      <c r="O30" s="1312">
        <f>N30*C29</f>
        <v>159804000</v>
      </c>
      <c r="P30" s="1314">
        <f>SUM(D73:D77)</f>
        <v>11878000</v>
      </c>
      <c r="Q30" s="1315">
        <f>Q29*2</f>
        <v>7412000</v>
      </c>
      <c r="R30" s="1315">
        <f>R29*2</f>
        <v>8802000</v>
      </c>
      <c r="S30" s="1316">
        <f t="shared" ref="S30:S33" si="9">386000*F30</f>
        <v>9264000</v>
      </c>
      <c r="T30" s="1310"/>
    </row>
    <row r="31" spans="2:20" ht="14.25" customHeight="1">
      <c r="B31" s="1735"/>
      <c r="C31" s="1738"/>
      <c r="D31" s="1738"/>
      <c r="E31" s="1738"/>
      <c r="F31" s="1310">
        <v>36</v>
      </c>
      <c r="G31" s="1310"/>
      <c r="H31" s="1311">
        <v>0.14399999999999999</v>
      </c>
      <c r="I31" s="1311">
        <v>9.9699999999999997E-2</v>
      </c>
      <c r="J31" s="1312">
        <f>G31/$C$29</f>
        <v>0</v>
      </c>
      <c r="K31" s="1310"/>
      <c r="L31" s="1313">
        <v>0.57999999999999996</v>
      </c>
      <c r="M31" s="1313">
        <f t="shared" si="8"/>
        <v>0.65919327719999998</v>
      </c>
      <c r="N31" s="1313">
        <f t="shared" si="0"/>
        <v>0.62</v>
      </c>
      <c r="O31" s="1312">
        <f>N31*C29</f>
        <v>143592000</v>
      </c>
      <c r="P31" s="1314">
        <f>SUM(E73:E77)</f>
        <v>16769000</v>
      </c>
      <c r="Q31" s="1315">
        <f>Q29*3</f>
        <v>11118000</v>
      </c>
      <c r="R31" s="1315">
        <f>R29*3</f>
        <v>13203000</v>
      </c>
      <c r="S31" s="1316">
        <f t="shared" si="9"/>
        <v>13896000</v>
      </c>
      <c r="T31" s="1310"/>
    </row>
    <row r="32" spans="2:20" ht="14.25" customHeight="1">
      <c r="B32" s="1735"/>
      <c r="C32" s="1738"/>
      <c r="D32" s="1738"/>
      <c r="E32" s="1738"/>
      <c r="F32" s="1310">
        <v>48</v>
      </c>
      <c r="G32" s="1310"/>
      <c r="H32" s="1311">
        <v>0.14399999999999999</v>
      </c>
      <c r="I32" s="1311">
        <v>9.9400000000000002E-2</v>
      </c>
      <c r="J32" s="1312">
        <f>G32/$C$29</f>
        <v>0</v>
      </c>
      <c r="K32" s="1310"/>
      <c r="L32" s="1313">
        <v>0.51</v>
      </c>
      <c r="M32" s="1313">
        <f t="shared" si="8"/>
        <v>0.55959663849999997</v>
      </c>
      <c r="N32" s="1313">
        <f t="shared" si="0"/>
        <v>0.53</v>
      </c>
      <c r="O32" s="1312">
        <f>N32*C29</f>
        <v>122748000</v>
      </c>
      <c r="P32" s="1314">
        <f>SUM(F73:F77)</f>
        <v>21069000</v>
      </c>
      <c r="Q32" s="1317">
        <f>Q29*4</f>
        <v>14824000</v>
      </c>
      <c r="R32" s="1317">
        <f>R29*4</f>
        <v>17604000</v>
      </c>
      <c r="S32" s="1316">
        <f t="shared" si="9"/>
        <v>18528000</v>
      </c>
      <c r="T32" s="1310"/>
    </row>
    <row r="33" spans="2:20" ht="14.25" customHeight="1">
      <c r="B33" s="1736"/>
      <c r="C33" s="1739"/>
      <c r="D33" s="1739"/>
      <c r="E33" s="1739"/>
      <c r="F33" s="1318">
        <v>60</v>
      </c>
      <c r="G33" s="1318"/>
      <c r="H33" s="1319">
        <v>0.14299999999999999</v>
      </c>
      <c r="I33" s="1319">
        <v>9.9199999999999997E-2</v>
      </c>
      <c r="J33" s="1320">
        <f>G33/$C$29</f>
        <v>0</v>
      </c>
      <c r="K33" s="1318"/>
      <c r="L33" s="1321">
        <v>0.46</v>
      </c>
      <c r="M33" s="1321">
        <f>L33</f>
        <v>0.46</v>
      </c>
      <c r="N33" s="1321">
        <f t="shared" si="0"/>
        <v>0.46</v>
      </c>
      <c r="O33" s="1320">
        <f>N33*C29</f>
        <v>106536000</v>
      </c>
      <c r="P33" s="1322">
        <f>SUM(G73:G77)</f>
        <v>25137000</v>
      </c>
      <c r="Q33" s="1323">
        <f>Q29*5</f>
        <v>18530000</v>
      </c>
      <c r="R33" s="1323">
        <f>R29*5</f>
        <v>22005000</v>
      </c>
      <c r="S33" s="1324">
        <f t="shared" si="9"/>
        <v>23160000</v>
      </c>
      <c r="T33" s="1318"/>
    </row>
    <row r="34" spans="2:20" ht="14.25" customHeight="1">
      <c r="B34" s="1740" t="s">
        <v>469</v>
      </c>
      <c r="C34" s="1742">
        <v>220600000</v>
      </c>
      <c r="D34" s="1742">
        <v>5000000</v>
      </c>
      <c r="E34" s="1742">
        <f>C34-D34</f>
        <v>215600000</v>
      </c>
      <c r="F34" s="1341">
        <v>12</v>
      </c>
      <c r="G34" s="1341"/>
      <c r="H34" s="1280">
        <v>0.151</v>
      </c>
      <c r="I34" s="1280">
        <v>9.7299999999999998E-2</v>
      </c>
      <c r="J34" s="1342">
        <f>G34/$C$34</f>
        <v>0</v>
      </c>
      <c r="K34" s="1341"/>
      <c r="L34" s="1282">
        <v>0.7</v>
      </c>
      <c r="M34" s="1325">
        <f>M24</f>
        <v>0.86485061510000005</v>
      </c>
      <c r="N34" s="1325">
        <f t="shared" si="0"/>
        <v>0.78</v>
      </c>
      <c r="O34" s="1281">
        <f>N34*C34</f>
        <v>172068000</v>
      </c>
      <c r="P34" s="1283">
        <f>SUM(C78:C82)</f>
        <v>6098000</v>
      </c>
      <c r="Q34" s="1284">
        <f>ROUNDUP(1.6%*C34,-3)</f>
        <v>3530000</v>
      </c>
      <c r="R34" s="1284">
        <f>ROUNDUP(1.9%*C34,-3)</f>
        <v>4192000</v>
      </c>
      <c r="S34" s="1285">
        <f>357000*F34</f>
        <v>4284000</v>
      </c>
      <c r="T34" s="1341"/>
    </row>
    <row r="35" spans="2:20" ht="14.25" customHeight="1">
      <c r="B35" s="1729"/>
      <c r="C35" s="1732"/>
      <c r="D35" s="1732"/>
      <c r="E35" s="1732"/>
      <c r="F35" s="1286">
        <v>24</v>
      </c>
      <c r="G35" s="1286"/>
      <c r="H35" s="1287">
        <v>0.14499999999999999</v>
      </c>
      <c r="I35" s="1287">
        <v>9.9500000000000005E-2</v>
      </c>
      <c r="J35" s="1288">
        <f>G35/$C$34</f>
        <v>0</v>
      </c>
      <c r="K35" s="1286"/>
      <c r="L35" s="1289">
        <v>0.65</v>
      </c>
      <c r="M35" s="1325">
        <f t="shared" ref="M35:M37" si="10">M25</f>
        <v>0.77363796129999995</v>
      </c>
      <c r="N35" s="1289">
        <f t="shared" si="0"/>
        <v>0.71</v>
      </c>
      <c r="O35" s="1288">
        <f>N35*C34</f>
        <v>156626000</v>
      </c>
      <c r="P35" s="1290">
        <f>SUM(D78:D82)</f>
        <v>11375000</v>
      </c>
      <c r="Q35" s="1291">
        <f>Q34*2</f>
        <v>7060000</v>
      </c>
      <c r="R35" s="1291">
        <f>R34*2</f>
        <v>8384000</v>
      </c>
      <c r="S35" s="1292">
        <f t="shared" ref="S35:S38" si="11">357000*F35</f>
        <v>8568000</v>
      </c>
      <c r="T35" s="1286"/>
    </row>
    <row r="36" spans="2:20" ht="14.25" customHeight="1">
      <c r="B36" s="1729"/>
      <c r="C36" s="1732"/>
      <c r="D36" s="1732"/>
      <c r="E36" s="1732"/>
      <c r="F36" s="1286">
        <v>36</v>
      </c>
      <c r="G36" s="1286"/>
      <c r="H36" s="1287">
        <v>0.14399999999999999</v>
      </c>
      <c r="I36" s="1287">
        <v>9.9699999999999997E-2</v>
      </c>
      <c r="J36" s="1288">
        <f>G36/$C$34</f>
        <v>0</v>
      </c>
      <c r="K36" s="1286"/>
      <c r="L36" s="1289">
        <v>0.59</v>
      </c>
      <c r="M36" s="1325">
        <f t="shared" si="10"/>
        <v>0.68242530749999997</v>
      </c>
      <c r="N36" s="1289">
        <f t="shared" si="0"/>
        <v>0.64</v>
      </c>
      <c r="O36" s="1288">
        <f>N36*C34</f>
        <v>141184000</v>
      </c>
      <c r="P36" s="1290">
        <f>SUM(E78:E82)</f>
        <v>16064000</v>
      </c>
      <c r="Q36" s="1291">
        <f>Q34*3</f>
        <v>10590000</v>
      </c>
      <c r="R36" s="1291">
        <f>R34*3</f>
        <v>12576000</v>
      </c>
      <c r="S36" s="1292">
        <f t="shared" si="11"/>
        <v>12852000</v>
      </c>
      <c r="T36" s="1286"/>
    </row>
    <row r="37" spans="2:20" ht="14.25" customHeight="1">
      <c r="B37" s="1729"/>
      <c r="C37" s="1732"/>
      <c r="D37" s="1732"/>
      <c r="E37" s="1732"/>
      <c r="F37" s="1286">
        <v>48</v>
      </c>
      <c r="G37" s="1286"/>
      <c r="H37" s="1287">
        <v>0.14399999999999999</v>
      </c>
      <c r="I37" s="1287">
        <v>9.9400000000000002E-2</v>
      </c>
      <c r="J37" s="1288">
        <f>G37/$C$34</f>
        <v>0</v>
      </c>
      <c r="K37" s="1286"/>
      <c r="L37" s="1289">
        <v>0.53</v>
      </c>
      <c r="M37" s="1325">
        <f t="shared" si="10"/>
        <v>0.59121265369999998</v>
      </c>
      <c r="N37" s="1289">
        <f t="shared" si="0"/>
        <v>0.56000000000000005</v>
      </c>
      <c r="O37" s="1288">
        <f>N37*C34</f>
        <v>123536000.00000001</v>
      </c>
      <c r="P37" s="1290">
        <f>SUM(F78:F82)</f>
        <v>20270000</v>
      </c>
      <c r="Q37" s="1294">
        <f>Q34*4</f>
        <v>14120000</v>
      </c>
      <c r="R37" s="1294">
        <f>R34*4</f>
        <v>16768000</v>
      </c>
      <c r="S37" s="1292">
        <f t="shared" si="11"/>
        <v>17136000</v>
      </c>
      <c r="T37" s="1286"/>
    </row>
    <row r="38" spans="2:20" ht="14.25" customHeight="1">
      <c r="B38" s="1741"/>
      <c r="C38" s="1743"/>
      <c r="D38" s="1743"/>
      <c r="E38" s="1743"/>
      <c r="F38" s="1343">
        <v>60</v>
      </c>
      <c r="G38" s="1343"/>
      <c r="H38" s="1296">
        <v>0.14299999999999999</v>
      </c>
      <c r="I38" s="1296">
        <v>9.9199999999999997E-2</v>
      </c>
      <c r="J38" s="1344">
        <f>G38/$C$34</f>
        <v>0</v>
      </c>
      <c r="K38" s="1343"/>
      <c r="L38" s="1299">
        <v>0.5</v>
      </c>
      <c r="M38" s="1299">
        <f>L38</f>
        <v>0.5</v>
      </c>
      <c r="N38" s="1299">
        <f t="shared" si="0"/>
        <v>0.5</v>
      </c>
      <c r="O38" s="1297">
        <f>N38*C34</f>
        <v>110300000</v>
      </c>
      <c r="P38" s="1300">
        <f>SUM(G78:G82)</f>
        <v>25052000</v>
      </c>
      <c r="Q38" s="1301">
        <f>Q34*5</f>
        <v>17650000</v>
      </c>
      <c r="R38" s="1301">
        <f>R34*5</f>
        <v>20960000</v>
      </c>
      <c r="S38" s="1302">
        <f t="shared" si="11"/>
        <v>21420000</v>
      </c>
      <c r="T38" s="1343"/>
    </row>
    <row r="39" spans="2:20" ht="14.25" customHeight="1">
      <c r="B39" s="1734" t="s">
        <v>470</v>
      </c>
      <c r="C39" s="1737">
        <v>204100000</v>
      </c>
      <c r="D39" s="1737">
        <v>5000000</v>
      </c>
      <c r="E39" s="1737">
        <f>C39-D39</f>
        <v>199100000</v>
      </c>
      <c r="F39" s="1303">
        <v>12</v>
      </c>
      <c r="G39" s="1303"/>
      <c r="H39" s="1304">
        <v>0.151</v>
      </c>
      <c r="I39" s="1304">
        <v>9.7299999999999998E-2</v>
      </c>
      <c r="J39" s="1305">
        <f>G39/$C$39</f>
        <v>0</v>
      </c>
      <c r="K39" s="1303"/>
      <c r="L39" s="1306">
        <v>0.7</v>
      </c>
      <c r="M39" s="1306">
        <f>M34</f>
        <v>0.86485061510000005</v>
      </c>
      <c r="N39" s="1306">
        <f t="shared" si="0"/>
        <v>0.78</v>
      </c>
      <c r="O39" s="1305">
        <f>N39*C39</f>
        <v>159198000</v>
      </c>
      <c r="P39" s="1307">
        <f>SUM(C83:C87)</f>
        <v>5691000</v>
      </c>
      <c r="Q39" s="1308">
        <f>ROUNDUP(1.6%*C39,-3)</f>
        <v>3266000</v>
      </c>
      <c r="R39" s="1308">
        <f>ROUNDUP(1.9%*C39,-3)</f>
        <v>3878000</v>
      </c>
      <c r="S39" s="1309">
        <f>357000*F39</f>
        <v>4284000</v>
      </c>
      <c r="T39" s="1303"/>
    </row>
    <row r="40" spans="2:20" ht="14.25" customHeight="1">
      <c r="B40" s="1735"/>
      <c r="C40" s="1738"/>
      <c r="D40" s="1738"/>
      <c r="E40" s="1738"/>
      <c r="F40" s="1310">
        <v>24</v>
      </c>
      <c r="G40" s="1310"/>
      <c r="H40" s="1311">
        <v>0.14499999999999999</v>
      </c>
      <c r="I40" s="1311">
        <v>9.9500000000000005E-2</v>
      </c>
      <c r="J40" s="1312">
        <f t="shared" ref="J40:J43" si="12">G40/$C$39</f>
        <v>0</v>
      </c>
      <c r="K40" s="1310"/>
      <c r="L40" s="1313">
        <v>0.65</v>
      </c>
      <c r="M40" s="1313">
        <f t="shared" ref="M40:M42" si="13">M35</f>
        <v>0.77363796129999995</v>
      </c>
      <c r="N40" s="1313">
        <f t="shared" si="0"/>
        <v>0.71</v>
      </c>
      <c r="O40" s="1312">
        <f>N40*C39</f>
        <v>144911000</v>
      </c>
      <c r="P40" s="1314">
        <f>SUM(D83:D87)</f>
        <v>10620000</v>
      </c>
      <c r="Q40" s="1315">
        <f>Q39*2</f>
        <v>6532000</v>
      </c>
      <c r="R40" s="1315">
        <f>R39*2</f>
        <v>7756000</v>
      </c>
      <c r="S40" s="1316">
        <f t="shared" ref="S40:S43" si="14">357000*F40</f>
        <v>8568000</v>
      </c>
      <c r="T40" s="1310"/>
    </row>
    <row r="41" spans="2:20" ht="14.25" customHeight="1">
      <c r="B41" s="1735"/>
      <c r="C41" s="1738"/>
      <c r="D41" s="1738"/>
      <c r="E41" s="1738"/>
      <c r="F41" s="1310">
        <v>36</v>
      </c>
      <c r="G41" s="1310"/>
      <c r="H41" s="1311">
        <v>0.14399999999999999</v>
      </c>
      <c r="I41" s="1311">
        <v>9.9699999999999997E-2</v>
      </c>
      <c r="J41" s="1312">
        <f t="shared" si="12"/>
        <v>0</v>
      </c>
      <c r="K41" s="1310"/>
      <c r="L41" s="1313">
        <v>0.59</v>
      </c>
      <c r="M41" s="1313">
        <f t="shared" si="13"/>
        <v>0.68242530749999997</v>
      </c>
      <c r="N41" s="1313">
        <f t="shared" si="0"/>
        <v>0.64</v>
      </c>
      <c r="O41" s="1312">
        <f>N41*C39</f>
        <v>130624000</v>
      </c>
      <c r="P41" s="1314">
        <f>SUM(E83:E87)</f>
        <v>15086000</v>
      </c>
      <c r="Q41" s="1315">
        <f>Q39*3</f>
        <v>9798000</v>
      </c>
      <c r="R41" s="1315">
        <f>R39*3</f>
        <v>11634000</v>
      </c>
      <c r="S41" s="1316">
        <f t="shared" si="14"/>
        <v>12852000</v>
      </c>
      <c r="T41" s="1310"/>
    </row>
    <row r="42" spans="2:20" ht="14.25" customHeight="1">
      <c r="B42" s="1735"/>
      <c r="C42" s="1738"/>
      <c r="D42" s="1738"/>
      <c r="E42" s="1738"/>
      <c r="F42" s="1310">
        <v>48</v>
      </c>
      <c r="G42" s="1310"/>
      <c r="H42" s="1311">
        <v>0.14399999999999999</v>
      </c>
      <c r="I42" s="1311">
        <v>9.9400000000000002E-2</v>
      </c>
      <c r="J42" s="1312">
        <f t="shared" si="12"/>
        <v>0</v>
      </c>
      <c r="K42" s="1310"/>
      <c r="L42" s="1313">
        <v>0.53</v>
      </c>
      <c r="M42" s="1313">
        <f t="shared" si="13"/>
        <v>0.59121265369999998</v>
      </c>
      <c r="N42" s="1313">
        <f t="shared" si="0"/>
        <v>0.56000000000000005</v>
      </c>
      <c r="O42" s="1312">
        <f>N42*C39</f>
        <v>114296000.00000001</v>
      </c>
      <c r="P42" s="1314">
        <f>SUM(F83:F87)</f>
        <v>19909000</v>
      </c>
      <c r="Q42" s="1317">
        <f>Q39*4</f>
        <v>13064000</v>
      </c>
      <c r="R42" s="1317">
        <f>R39*4</f>
        <v>15512000</v>
      </c>
      <c r="S42" s="1316">
        <f t="shared" si="14"/>
        <v>17136000</v>
      </c>
      <c r="T42" s="1310"/>
    </row>
    <row r="43" spans="2:20" ht="14.25" customHeight="1">
      <c r="B43" s="1736"/>
      <c r="C43" s="1739"/>
      <c r="D43" s="1739"/>
      <c r="E43" s="1739"/>
      <c r="F43" s="1318">
        <v>60</v>
      </c>
      <c r="G43" s="1318"/>
      <c r="H43" s="1319">
        <v>0.14299999999999999</v>
      </c>
      <c r="I43" s="1319">
        <v>9.9199999999999997E-2</v>
      </c>
      <c r="J43" s="1320">
        <f t="shared" si="12"/>
        <v>0</v>
      </c>
      <c r="K43" s="1318"/>
      <c r="L43" s="1321">
        <v>0.5</v>
      </c>
      <c r="M43" s="1321">
        <f>L43</f>
        <v>0.5</v>
      </c>
      <c r="N43" s="1321">
        <f t="shared" si="0"/>
        <v>0.5</v>
      </c>
      <c r="O43" s="1320">
        <f>N43*C39</f>
        <v>102050000</v>
      </c>
      <c r="P43" s="1322">
        <f>SUM(G83:G87)</f>
        <v>24379000</v>
      </c>
      <c r="Q43" s="1323">
        <f>Q39*5</f>
        <v>16330000</v>
      </c>
      <c r="R43" s="1323">
        <f>R39*5</f>
        <v>19390000</v>
      </c>
      <c r="S43" s="1324">
        <f t="shared" si="14"/>
        <v>21420000</v>
      </c>
      <c r="T43" s="1318"/>
    </row>
    <row r="46" spans="2:20">
      <c r="I46" s="1345" t="s">
        <v>471</v>
      </c>
    </row>
    <row r="47" spans="2:20">
      <c r="B47" s="1331" t="s">
        <v>458</v>
      </c>
      <c r="C47" s="1332">
        <v>12</v>
      </c>
      <c r="D47" s="1332">
        <v>24</v>
      </c>
      <c r="E47" s="1332">
        <v>36</v>
      </c>
      <c r="F47" s="1332">
        <v>48</v>
      </c>
      <c r="G47" s="1333">
        <v>60</v>
      </c>
      <c r="I47" s="1345" t="s">
        <v>472</v>
      </c>
    </row>
    <row r="48" spans="2:20">
      <c r="B48" s="1728" t="s">
        <v>463</v>
      </c>
      <c r="C48" s="1334">
        <v>6972000</v>
      </c>
      <c r="D48" s="1334">
        <v>6518000</v>
      </c>
      <c r="E48" s="1334">
        <v>6518000</v>
      </c>
      <c r="F48" s="1334">
        <v>6518000</v>
      </c>
      <c r="G48" s="1334">
        <v>6518000</v>
      </c>
      <c r="I48" s="1346">
        <v>12660000</v>
      </c>
    </row>
    <row r="49" spans="2:9">
      <c r="B49" s="1729"/>
      <c r="C49" s="1335"/>
      <c r="D49" s="1335">
        <v>5801000</v>
      </c>
      <c r="E49" s="1335">
        <v>5338000</v>
      </c>
      <c r="F49" s="1335">
        <v>5338000</v>
      </c>
      <c r="G49" s="1335">
        <v>5338000</v>
      </c>
      <c r="I49" s="1347"/>
    </row>
    <row r="50" spans="2:9">
      <c r="B50" s="1729"/>
      <c r="C50" s="1335"/>
      <c r="D50" s="1335"/>
      <c r="E50" s="1335">
        <v>5859000</v>
      </c>
      <c r="F50" s="1335">
        <v>5454000</v>
      </c>
      <c r="G50" s="1335">
        <v>5454000</v>
      </c>
      <c r="I50" s="1347"/>
    </row>
    <row r="51" spans="2:9">
      <c r="B51" s="1729"/>
      <c r="C51" s="1335"/>
      <c r="D51" s="1335"/>
      <c r="E51" s="1335"/>
      <c r="F51" s="1335">
        <v>5138000</v>
      </c>
      <c r="G51" s="1335">
        <v>4763000</v>
      </c>
      <c r="I51" s="1347"/>
    </row>
    <row r="52" spans="2:9">
      <c r="B52" s="1730"/>
      <c r="C52" s="1336"/>
      <c r="D52" s="1336"/>
      <c r="E52" s="1336"/>
      <c r="F52" s="1336"/>
      <c r="G52" s="1336">
        <v>4763000</v>
      </c>
      <c r="I52" s="1348"/>
    </row>
    <row r="53" spans="2:9">
      <c r="B53" s="1734" t="s">
        <v>464</v>
      </c>
      <c r="C53" s="1337">
        <v>6760000</v>
      </c>
      <c r="D53" s="1337">
        <v>6320000</v>
      </c>
      <c r="E53" s="1337">
        <v>6320000</v>
      </c>
      <c r="F53" s="1337">
        <v>6320000</v>
      </c>
      <c r="G53" s="1337">
        <v>6320000</v>
      </c>
      <c r="I53" s="1346">
        <v>12498000</v>
      </c>
    </row>
    <row r="54" spans="2:9">
      <c r="B54" s="1735"/>
      <c r="C54" s="1338"/>
      <c r="D54" s="1338">
        <v>5629000</v>
      </c>
      <c r="E54" s="1338">
        <v>5179000</v>
      </c>
      <c r="F54" s="1338">
        <v>5179000</v>
      </c>
      <c r="G54" s="1338">
        <v>5179000</v>
      </c>
      <c r="I54" s="1347"/>
    </row>
    <row r="55" spans="2:9">
      <c r="B55" s="1735"/>
      <c r="C55" s="1338"/>
      <c r="D55" s="1338"/>
      <c r="E55" s="1338">
        <v>5684000</v>
      </c>
      <c r="F55" s="1338">
        <v>5292000</v>
      </c>
      <c r="G55" s="1338">
        <v>5292000</v>
      </c>
      <c r="I55" s="1347"/>
    </row>
    <row r="56" spans="2:9">
      <c r="B56" s="1735"/>
      <c r="C56" s="1338"/>
      <c r="D56" s="1338"/>
      <c r="E56" s="1338"/>
      <c r="F56" s="1338">
        <v>4988000</v>
      </c>
      <c r="G56" s="1338">
        <v>4624000</v>
      </c>
      <c r="I56" s="1347"/>
    </row>
    <row r="57" spans="2:9">
      <c r="B57" s="1736"/>
      <c r="C57" s="1339"/>
      <c r="D57" s="1339"/>
      <c r="E57" s="1339"/>
      <c r="F57" s="1339"/>
      <c r="G57" s="1339">
        <v>4626000</v>
      </c>
      <c r="I57" s="1348"/>
    </row>
    <row r="58" spans="2:9">
      <c r="B58" s="1728" t="s">
        <v>465</v>
      </c>
      <c r="C58" s="1340">
        <v>6580000</v>
      </c>
      <c r="D58" s="1340">
        <v>6092000</v>
      </c>
      <c r="E58" s="1340">
        <v>6092000</v>
      </c>
      <c r="F58" s="1340">
        <v>6092000</v>
      </c>
      <c r="G58" s="1340">
        <v>6092000</v>
      </c>
      <c r="I58" s="1346">
        <v>12298000</v>
      </c>
    </row>
    <row r="59" spans="2:9">
      <c r="B59" s="1729"/>
      <c r="C59" s="1335"/>
      <c r="D59" s="1335">
        <v>6180000</v>
      </c>
      <c r="E59" s="1335">
        <v>5746000</v>
      </c>
      <c r="F59" s="1335">
        <v>5746000</v>
      </c>
      <c r="G59" s="1335">
        <v>5746000</v>
      </c>
      <c r="I59" s="1347"/>
    </row>
    <row r="60" spans="2:9">
      <c r="B60" s="1729"/>
      <c r="C60" s="1335"/>
      <c r="D60" s="1335"/>
      <c r="E60" s="1335">
        <v>5484000</v>
      </c>
      <c r="F60" s="1335">
        <v>5105000</v>
      </c>
      <c r="G60" s="1335">
        <v>5105000</v>
      </c>
      <c r="I60" s="1347"/>
    </row>
    <row r="61" spans="2:9">
      <c r="B61" s="1729"/>
      <c r="C61" s="1335"/>
      <c r="D61" s="1335"/>
      <c r="E61" s="1335"/>
      <c r="F61" s="1335">
        <v>4815000</v>
      </c>
      <c r="G61" s="1335">
        <v>4464000</v>
      </c>
      <c r="I61" s="1347"/>
    </row>
    <row r="62" spans="2:9">
      <c r="B62" s="1730"/>
      <c r="C62" s="1336"/>
      <c r="D62" s="1336"/>
      <c r="E62" s="1336"/>
      <c r="F62" s="1336"/>
      <c r="G62" s="1336">
        <v>4548000</v>
      </c>
      <c r="I62" s="1348"/>
    </row>
    <row r="63" spans="2:9">
      <c r="B63" s="1734" t="s">
        <v>466</v>
      </c>
      <c r="C63" s="1337">
        <v>6526000</v>
      </c>
      <c r="D63" s="1337">
        <v>6042000</v>
      </c>
      <c r="E63" s="1337">
        <v>6042000</v>
      </c>
      <c r="F63" s="1337">
        <v>6042000</v>
      </c>
      <c r="G63" s="1337">
        <v>6042000</v>
      </c>
      <c r="I63" s="1346">
        <v>12280000</v>
      </c>
    </row>
    <row r="64" spans="2:9">
      <c r="B64" s="1735"/>
      <c r="C64" s="1338"/>
      <c r="D64" s="1338">
        <v>6129000</v>
      </c>
      <c r="E64" s="1338">
        <v>5699000</v>
      </c>
      <c r="F64" s="1338">
        <v>5699000</v>
      </c>
      <c r="G64" s="1338">
        <v>5699000</v>
      </c>
      <c r="I64" s="1347"/>
    </row>
    <row r="65" spans="2:9">
      <c r="B65" s="1735"/>
      <c r="C65" s="1338"/>
      <c r="D65" s="1338"/>
      <c r="E65" s="1338">
        <v>5440000</v>
      </c>
      <c r="F65" s="1338">
        <v>5064000</v>
      </c>
      <c r="G65" s="1338">
        <v>5064000</v>
      </c>
      <c r="I65" s="1347"/>
    </row>
    <row r="66" spans="2:9">
      <c r="B66" s="1735"/>
      <c r="C66" s="1338"/>
      <c r="D66" s="1338"/>
      <c r="E66" s="1338"/>
      <c r="F66" s="1338">
        <v>4777000</v>
      </c>
      <c r="G66" s="1338">
        <v>4428000</v>
      </c>
      <c r="I66" s="1347"/>
    </row>
    <row r="67" spans="2:9">
      <c r="B67" s="1736"/>
      <c r="C67" s="1339"/>
      <c r="D67" s="1339"/>
      <c r="E67" s="1339"/>
      <c r="F67" s="1339"/>
      <c r="G67" s="1339">
        <v>4512000</v>
      </c>
      <c r="I67" s="1348"/>
    </row>
    <row r="68" spans="2:9">
      <c r="B68" s="1740" t="s">
        <v>467</v>
      </c>
      <c r="C68" s="1340">
        <v>6270000</v>
      </c>
      <c r="D68" s="1340">
        <v>5805000</v>
      </c>
      <c r="E68" s="1340">
        <v>5805000</v>
      </c>
      <c r="F68" s="1340">
        <v>5805000</v>
      </c>
      <c r="G68" s="1340">
        <v>5805000</v>
      </c>
      <c r="I68" s="1346">
        <v>14592000</v>
      </c>
    </row>
    <row r="69" spans="2:9">
      <c r="B69" s="1729"/>
      <c r="C69" s="1335"/>
      <c r="D69" s="1335">
        <v>5891000</v>
      </c>
      <c r="E69" s="1335">
        <v>5477000</v>
      </c>
      <c r="F69" s="1335">
        <v>5477000</v>
      </c>
      <c r="G69" s="1335">
        <v>5477000</v>
      </c>
      <c r="I69" s="1347"/>
    </row>
    <row r="70" spans="2:9">
      <c r="B70" s="1729"/>
      <c r="C70" s="1335"/>
      <c r="D70" s="1335"/>
      <c r="E70" s="1335">
        <v>5231000</v>
      </c>
      <c r="F70" s="1335">
        <v>4869000</v>
      </c>
      <c r="G70" s="1335">
        <v>4869000</v>
      </c>
      <c r="I70" s="1347"/>
    </row>
    <row r="71" spans="2:9">
      <c r="B71" s="1729"/>
      <c r="C71" s="1335"/>
      <c r="D71" s="1335"/>
      <c r="E71" s="1335"/>
      <c r="F71" s="1335">
        <v>4598000</v>
      </c>
      <c r="G71" s="1335">
        <v>4262000</v>
      </c>
      <c r="I71" s="1347"/>
    </row>
    <row r="72" spans="2:9">
      <c r="B72" s="1741"/>
      <c r="C72" s="1336"/>
      <c r="D72" s="1336"/>
      <c r="E72" s="1336"/>
      <c r="F72" s="1336"/>
      <c r="G72" s="1336">
        <v>4344000</v>
      </c>
      <c r="I72" s="1348"/>
    </row>
    <row r="73" spans="2:9">
      <c r="B73" s="1734" t="s">
        <v>468</v>
      </c>
      <c r="C73" s="1337">
        <v>6368000</v>
      </c>
      <c r="D73" s="1337">
        <v>5896000</v>
      </c>
      <c r="E73" s="1337">
        <v>5896000</v>
      </c>
      <c r="F73" s="1337">
        <v>5896000</v>
      </c>
      <c r="G73" s="1337">
        <v>5896000</v>
      </c>
      <c r="I73" s="1346">
        <v>12200000</v>
      </c>
    </row>
    <row r="74" spans="2:9">
      <c r="B74" s="1735"/>
      <c r="C74" s="1338"/>
      <c r="D74" s="1338">
        <v>5982000</v>
      </c>
      <c r="E74" s="1338">
        <v>5562000</v>
      </c>
      <c r="F74" s="1338">
        <v>5562000</v>
      </c>
      <c r="G74" s="1338">
        <v>5562000</v>
      </c>
      <c r="I74" s="1347"/>
    </row>
    <row r="75" spans="2:9">
      <c r="B75" s="1735"/>
      <c r="C75" s="1338"/>
      <c r="D75" s="1338"/>
      <c r="E75" s="1338">
        <v>5311000</v>
      </c>
      <c r="F75" s="1338">
        <v>4944000</v>
      </c>
      <c r="G75" s="1338">
        <v>4944000</v>
      </c>
      <c r="I75" s="1347"/>
    </row>
    <row r="76" spans="2:9">
      <c r="B76" s="1735"/>
      <c r="C76" s="1338"/>
      <c r="D76" s="1338"/>
      <c r="E76" s="1338"/>
      <c r="F76" s="1338">
        <v>4667000</v>
      </c>
      <c r="G76" s="1338">
        <v>4326000</v>
      </c>
      <c r="I76" s="1347"/>
    </row>
    <row r="77" spans="2:9">
      <c r="B77" s="1736"/>
      <c r="C77" s="1339"/>
      <c r="D77" s="1339"/>
      <c r="E77" s="1339"/>
      <c r="F77" s="1339"/>
      <c r="G77" s="1339">
        <v>4409000</v>
      </c>
      <c r="I77" s="1348"/>
    </row>
    <row r="78" spans="2:9">
      <c r="B78" s="1740" t="s">
        <v>469</v>
      </c>
      <c r="C78" s="1340">
        <v>6098000</v>
      </c>
      <c r="D78" s="1340">
        <v>5645000</v>
      </c>
      <c r="E78" s="1340">
        <v>5645000</v>
      </c>
      <c r="F78" s="1340">
        <v>5645000</v>
      </c>
      <c r="G78" s="1340">
        <v>5645000</v>
      </c>
      <c r="I78" s="1346">
        <v>14480000</v>
      </c>
    </row>
    <row r="79" spans="2:9">
      <c r="B79" s="1729"/>
      <c r="C79" s="1335"/>
      <c r="D79" s="1335">
        <v>5730000</v>
      </c>
      <c r="E79" s="1335">
        <v>5328000</v>
      </c>
      <c r="F79" s="1335">
        <v>5328000</v>
      </c>
      <c r="G79" s="1335">
        <v>5328000</v>
      </c>
      <c r="I79" s="1347"/>
    </row>
    <row r="80" spans="2:9">
      <c r="B80" s="1729"/>
      <c r="C80" s="1335"/>
      <c r="D80" s="1335"/>
      <c r="E80" s="1335">
        <v>5091000</v>
      </c>
      <c r="F80" s="1335">
        <v>4739000</v>
      </c>
      <c r="G80" s="1335">
        <v>4739000</v>
      </c>
      <c r="I80" s="1347"/>
    </row>
    <row r="81" spans="2:9">
      <c r="B81" s="1729"/>
      <c r="C81" s="1335"/>
      <c r="D81" s="1335"/>
      <c r="E81" s="1335"/>
      <c r="F81" s="1335">
        <v>4558000</v>
      </c>
      <c r="G81" s="1335">
        <v>4150000</v>
      </c>
      <c r="I81" s="1347"/>
    </row>
    <row r="82" spans="2:9">
      <c r="B82" s="1741"/>
      <c r="C82" s="1336"/>
      <c r="D82" s="1336"/>
      <c r="E82" s="1336"/>
      <c r="F82" s="1336"/>
      <c r="G82" s="1336">
        <v>5190000</v>
      </c>
      <c r="I82" s="1348"/>
    </row>
    <row r="83" spans="2:9">
      <c r="B83" s="1734" t="s">
        <v>470</v>
      </c>
      <c r="C83" s="1337">
        <v>5691000</v>
      </c>
      <c r="D83" s="1337">
        <v>5269000</v>
      </c>
      <c r="E83" s="1337">
        <v>5269000</v>
      </c>
      <c r="F83" s="1337">
        <v>5269000</v>
      </c>
      <c r="G83" s="1337">
        <v>5269000</v>
      </c>
      <c r="I83" s="1346">
        <v>11674000</v>
      </c>
    </row>
    <row r="84" spans="2:9">
      <c r="B84" s="1735"/>
      <c r="C84" s="1338"/>
      <c r="D84" s="1338">
        <v>5351000</v>
      </c>
      <c r="E84" s="1338">
        <v>4975000</v>
      </c>
      <c r="F84" s="1338">
        <v>4975000</v>
      </c>
      <c r="G84" s="1338">
        <v>4975000</v>
      </c>
      <c r="I84" s="1349"/>
    </row>
    <row r="85" spans="2:9">
      <c r="B85" s="1735"/>
      <c r="C85" s="1338"/>
      <c r="D85" s="1338"/>
      <c r="E85" s="1338">
        <v>4842000</v>
      </c>
      <c r="F85" s="1338">
        <v>4430000</v>
      </c>
      <c r="G85" s="1338">
        <v>4430000</v>
      </c>
      <c r="I85" s="1349"/>
    </row>
    <row r="86" spans="2:9">
      <c r="B86" s="1735"/>
      <c r="C86" s="1338"/>
      <c r="D86" s="1338"/>
      <c r="E86" s="1338"/>
      <c r="F86" s="1338">
        <v>5235000</v>
      </c>
      <c r="G86" s="1338">
        <v>4853000</v>
      </c>
      <c r="I86" s="1349"/>
    </row>
    <row r="87" spans="2:9">
      <c r="B87" s="1736"/>
      <c r="C87" s="1339"/>
      <c r="D87" s="1339"/>
      <c r="E87" s="1339"/>
      <c r="F87" s="1339"/>
      <c r="G87" s="1339">
        <v>4852000</v>
      </c>
      <c r="I87" s="1350"/>
    </row>
  </sheetData>
  <mergeCells count="40">
    <mergeCell ref="B78:B82"/>
    <mergeCell ref="B83:B87"/>
    <mergeCell ref="B48:B52"/>
    <mergeCell ref="B53:B57"/>
    <mergeCell ref="B58:B62"/>
    <mergeCell ref="B63:B67"/>
    <mergeCell ref="B68:B72"/>
    <mergeCell ref="B73:B77"/>
    <mergeCell ref="B34:B38"/>
    <mergeCell ref="C34:C38"/>
    <mergeCell ref="D34:D38"/>
    <mergeCell ref="E34:E38"/>
    <mergeCell ref="B39:B43"/>
    <mergeCell ref="C39:C43"/>
    <mergeCell ref="D39:D43"/>
    <mergeCell ref="E39:E43"/>
    <mergeCell ref="B24:B28"/>
    <mergeCell ref="C24:C28"/>
    <mergeCell ref="D24:D28"/>
    <mergeCell ref="E24:E28"/>
    <mergeCell ref="B29:B33"/>
    <mergeCell ref="C29:C33"/>
    <mergeCell ref="D29:D33"/>
    <mergeCell ref="E29:E33"/>
    <mergeCell ref="B14:B18"/>
    <mergeCell ref="C14:C18"/>
    <mergeCell ref="D14:D18"/>
    <mergeCell ref="E14:E18"/>
    <mergeCell ref="B19:B23"/>
    <mergeCell ref="C19:C23"/>
    <mergeCell ref="D19:D23"/>
    <mergeCell ref="E19:E23"/>
    <mergeCell ref="B4:B8"/>
    <mergeCell ref="C4:C8"/>
    <mergeCell ref="D4:D8"/>
    <mergeCell ref="E4:E8"/>
    <mergeCell ref="B9:B13"/>
    <mergeCell ref="C9:C13"/>
    <mergeCell ref="D9:D13"/>
    <mergeCell ref="E9:E13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 ht="16.5">
      <c r="B1" s="1352" t="s">
        <v>137</v>
      </c>
      <c r="C1" s="1353" t="s">
        <v>473</v>
      </c>
      <c r="D1" s="1353" t="s">
        <v>474</v>
      </c>
      <c r="E1" s="1354" t="s">
        <v>475</v>
      </c>
      <c r="F1" s="1355" t="s">
        <v>476</v>
      </c>
    </row>
    <row r="2" spans="2:6" ht="16.5">
      <c r="B2" s="1357">
        <v>0</v>
      </c>
      <c r="C2" s="1358"/>
      <c r="D2" s="1359">
        <f>Input　seet!D25</f>
        <v>293000000</v>
      </c>
      <c r="E2" s="1356"/>
      <c r="F2" s="1351"/>
    </row>
    <row r="3" spans="2:6" ht="16.5">
      <c r="B3" s="1357">
        <f>B2+1</f>
        <v>1</v>
      </c>
      <c r="C3" s="1360">
        <f>-($D$2*0.7)*0.25/12</f>
        <v>-4272916.666666667</v>
      </c>
      <c r="D3" s="1359">
        <f>D2+C3</f>
        <v>288727083.33333331</v>
      </c>
      <c r="E3" s="1356"/>
      <c r="F3" s="1351"/>
    </row>
    <row r="4" spans="2:6" ht="16.5">
      <c r="B4" s="1357">
        <f t="shared" ref="B4:B62" si="0">B3+1</f>
        <v>2</v>
      </c>
      <c r="C4" s="1360">
        <f>IF(B4&gt;Input　seet!$D$6,0,IF(Sheet5!B4&gt;48,0,Sheet5!C3))</f>
        <v>-4272916.666666667</v>
      </c>
      <c r="D4" s="1359">
        <f t="shared" ref="D4:D37" si="1">D3+C4</f>
        <v>284454166.66666663</v>
      </c>
      <c r="E4" s="1356"/>
      <c r="F4" s="1351"/>
    </row>
    <row r="5" spans="2:6" ht="16.5">
      <c r="B5" s="1357">
        <f t="shared" si="0"/>
        <v>3</v>
      </c>
      <c r="C5" s="1360">
        <f>IF(B5&gt;Input　seet!$D$6,0,IF(Sheet5!B5&gt;48,0,Sheet5!C4))</f>
        <v>-4272916.666666667</v>
      </c>
      <c r="D5" s="1359">
        <f t="shared" si="1"/>
        <v>280181249.99999994</v>
      </c>
      <c r="E5" s="1356"/>
      <c r="F5" s="1351"/>
    </row>
    <row r="6" spans="2:6" ht="16.5">
      <c r="B6" s="1357">
        <f t="shared" si="0"/>
        <v>4</v>
      </c>
      <c r="C6" s="1360">
        <f>IF(B6&gt;Input　seet!$D$6,0,IF(Sheet5!B6&gt;48,0,Sheet5!C5))</f>
        <v>-4272916.666666667</v>
      </c>
      <c r="D6" s="1359">
        <f t="shared" si="1"/>
        <v>275908333.33333325</v>
      </c>
      <c r="E6" s="1356"/>
      <c r="F6" s="1351"/>
    </row>
    <row r="7" spans="2:6" ht="16.5">
      <c r="B7" s="1357">
        <f t="shared" si="0"/>
        <v>5</v>
      </c>
      <c r="C7" s="1360">
        <f>IF(B7&gt;Input　seet!$D$6,0,IF(Sheet5!B7&gt;48,0,Sheet5!C6))</f>
        <v>-4272916.666666667</v>
      </c>
      <c r="D7" s="1359">
        <f t="shared" si="1"/>
        <v>271635416.66666657</v>
      </c>
      <c r="E7" s="1356"/>
      <c r="F7" s="1351"/>
    </row>
    <row r="8" spans="2:6" ht="16.5">
      <c r="B8" s="1357">
        <f t="shared" si="0"/>
        <v>6</v>
      </c>
      <c r="C8" s="1360">
        <f>IF(B8&gt;Input　seet!$D$6,0,IF(Sheet5!B8&gt;48,0,Sheet5!C7))</f>
        <v>-4272916.666666667</v>
      </c>
      <c r="D8" s="1359">
        <f t="shared" si="1"/>
        <v>267362499.99999991</v>
      </c>
      <c r="E8" s="1356"/>
      <c r="F8" s="1351"/>
    </row>
    <row r="9" spans="2:6" ht="16.5">
      <c r="B9" s="1357">
        <f t="shared" si="0"/>
        <v>7</v>
      </c>
      <c r="C9" s="1360">
        <f>IF(B9&gt;Input　seet!$D$6,0,IF(Sheet5!B9&gt;48,0,Sheet5!C8))</f>
        <v>-4272916.666666667</v>
      </c>
      <c r="D9" s="1359">
        <f t="shared" si="1"/>
        <v>263089583.33333325</v>
      </c>
      <c r="E9" s="1356"/>
      <c r="F9" s="1351"/>
    </row>
    <row r="10" spans="2:6" ht="16.5">
      <c r="B10" s="1357">
        <f t="shared" si="0"/>
        <v>8</v>
      </c>
      <c r="C10" s="1360">
        <f>IF(B10&gt;Input　seet!$D$6,0,IF(Sheet5!B10&gt;48,0,Sheet5!C9))</f>
        <v>-4272916.666666667</v>
      </c>
      <c r="D10" s="1359">
        <f t="shared" si="1"/>
        <v>258816666.6666666</v>
      </c>
      <c r="E10" s="1356"/>
      <c r="F10" s="1351"/>
    </row>
    <row r="11" spans="2:6" ht="16.5">
      <c r="B11" s="1357">
        <f t="shared" si="0"/>
        <v>9</v>
      </c>
      <c r="C11" s="1360">
        <f>IF(B11&gt;Input　seet!$D$6,0,IF(Sheet5!B11&gt;48,0,Sheet5!C10))</f>
        <v>-4272916.666666667</v>
      </c>
      <c r="D11" s="1359">
        <f t="shared" si="1"/>
        <v>254543749.99999994</v>
      </c>
      <c r="E11" s="1356"/>
      <c r="F11" s="1351"/>
    </row>
    <row r="12" spans="2:6" ht="16.5">
      <c r="B12" s="1357">
        <f t="shared" si="0"/>
        <v>10</v>
      </c>
      <c r="C12" s="1360">
        <f>IF(B12&gt;Input　seet!$D$6,0,IF(Sheet5!B12&gt;48,0,Sheet5!C11))</f>
        <v>-4272916.666666667</v>
      </c>
      <c r="D12" s="1359">
        <f t="shared" si="1"/>
        <v>250270833.33333328</v>
      </c>
      <c r="E12" s="1356"/>
      <c r="F12" s="1351"/>
    </row>
    <row r="13" spans="2:6" ht="16.5">
      <c r="B13" s="1357">
        <f t="shared" si="0"/>
        <v>11</v>
      </c>
      <c r="C13" s="1360">
        <f>IF(B13&gt;Input　seet!$D$6,0,IF(Sheet5!B13&gt;48,0,Sheet5!C12))</f>
        <v>-4272916.666666667</v>
      </c>
      <c r="D13" s="1359">
        <f t="shared" si="1"/>
        <v>245997916.66666663</v>
      </c>
      <c r="E13" s="1356"/>
      <c r="F13" s="1351"/>
    </row>
    <row r="14" spans="2:6" ht="16.5">
      <c r="B14" s="1361">
        <f t="shared" si="0"/>
        <v>12</v>
      </c>
      <c r="C14" s="1360">
        <f>IF(B14&gt;Input　seet!$D$6,0,IF(Sheet5!B14&gt;48,0,Sheet5!C13))</f>
        <v>-4272916.666666667</v>
      </c>
      <c r="D14" s="1362">
        <f t="shared" si="1"/>
        <v>241724999.99999997</v>
      </c>
      <c r="E14" s="1363"/>
      <c r="F14" s="1364"/>
    </row>
    <row r="15" spans="2:6" ht="16.5">
      <c r="B15" s="1357">
        <f t="shared" si="0"/>
        <v>13</v>
      </c>
      <c r="C15" s="1360">
        <f>IF(B15&gt;Input　seet!$D$6,0,IF(Sheet5!B15&gt;48,0,Sheet5!C14))</f>
        <v>-4272916.666666667</v>
      </c>
      <c r="D15" s="1359">
        <f t="shared" si="1"/>
        <v>237452083.33333331</v>
      </c>
      <c r="E15" s="1356"/>
      <c r="F15" s="1351"/>
    </row>
    <row r="16" spans="2:6" ht="16.5">
      <c r="B16" s="1357">
        <f t="shared" si="0"/>
        <v>14</v>
      </c>
      <c r="C16" s="1360">
        <f>IF(B16&gt;Input　seet!$D$6,0,IF(Sheet5!B16&gt;48,0,Sheet5!C15))</f>
        <v>-4272916.666666667</v>
      </c>
      <c r="D16" s="1359">
        <f t="shared" si="1"/>
        <v>233179166.66666666</v>
      </c>
      <c r="E16" s="1356"/>
      <c r="F16" s="1351"/>
    </row>
    <row r="17" spans="2:6" ht="16.5">
      <c r="B17" s="1357">
        <f t="shared" si="0"/>
        <v>15</v>
      </c>
      <c r="C17" s="1360">
        <f>IF(B17&gt;Input　seet!$D$6,0,IF(Sheet5!B17&gt;48,0,Sheet5!C16))</f>
        <v>-4272916.666666667</v>
      </c>
      <c r="D17" s="1359">
        <f t="shared" si="1"/>
        <v>228906250</v>
      </c>
      <c r="E17" s="1356"/>
      <c r="F17" s="1351"/>
    </row>
    <row r="18" spans="2:6" ht="16.5">
      <c r="B18" s="1357">
        <f t="shared" si="0"/>
        <v>16</v>
      </c>
      <c r="C18" s="1360">
        <f>IF(B18&gt;Input　seet!$D$6,0,IF(Sheet5!B18&gt;48,0,Sheet5!C17))</f>
        <v>-4272916.666666667</v>
      </c>
      <c r="D18" s="1359">
        <f t="shared" si="1"/>
        <v>224633333.33333334</v>
      </c>
      <c r="E18" s="1356"/>
      <c r="F18" s="1351"/>
    </row>
    <row r="19" spans="2:6" ht="16.5">
      <c r="B19" s="1357">
        <f t="shared" si="0"/>
        <v>17</v>
      </c>
      <c r="C19" s="1360">
        <f>IF(B19&gt;Input　seet!$D$6,0,IF(Sheet5!B19&gt;48,0,Sheet5!C18))</f>
        <v>-4272916.666666667</v>
      </c>
      <c r="D19" s="1359">
        <f t="shared" si="1"/>
        <v>220360416.66666669</v>
      </c>
      <c r="E19" s="1356"/>
      <c r="F19" s="1351"/>
    </row>
    <row r="20" spans="2:6" ht="16.5">
      <c r="B20" s="1357">
        <f t="shared" si="0"/>
        <v>18</v>
      </c>
      <c r="C20" s="1360">
        <f>IF(B20&gt;Input　seet!$D$6,0,IF(Sheet5!B20&gt;48,0,Sheet5!C19))</f>
        <v>-4272916.666666667</v>
      </c>
      <c r="D20" s="1359">
        <f t="shared" si="1"/>
        <v>216087500.00000003</v>
      </c>
      <c r="E20" s="1356"/>
      <c r="F20" s="1351"/>
    </row>
    <row r="21" spans="2:6" ht="16.5">
      <c r="B21" s="1357">
        <f t="shared" si="0"/>
        <v>19</v>
      </c>
      <c r="C21" s="1360">
        <f>IF(B21&gt;Input　seet!$D$6,0,IF(Sheet5!B21&gt;48,0,Sheet5!C20))</f>
        <v>-4272916.666666667</v>
      </c>
      <c r="D21" s="1359">
        <f t="shared" si="1"/>
        <v>211814583.33333337</v>
      </c>
      <c r="E21" s="1356"/>
      <c r="F21" s="1351"/>
    </row>
    <row r="22" spans="2:6" ht="16.5">
      <c r="B22" s="1357">
        <f t="shared" si="0"/>
        <v>20</v>
      </c>
      <c r="C22" s="1360">
        <f>IF(B22&gt;Input　seet!$D$6,0,IF(Sheet5!B22&gt;48,0,Sheet5!C21))</f>
        <v>-4272916.666666667</v>
      </c>
      <c r="D22" s="1359">
        <f t="shared" si="1"/>
        <v>207541666.66666672</v>
      </c>
      <c r="E22" s="1356"/>
      <c r="F22" s="1351"/>
    </row>
    <row r="23" spans="2:6" ht="16.5">
      <c r="B23" s="1357">
        <f t="shared" si="0"/>
        <v>21</v>
      </c>
      <c r="C23" s="1360">
        <f>IF(B23&gt;Input　seet!$D$6,0,IF(Sheet5!B23&gt;48,0,Sheet5!C22))</f>
        <v>-4272916.666666667</v>
      </c>
      <c r="D23" s="1359">
        <f t="shared" si="1"/>
        <v>203268750.00000006</v>
      </c>
      <c r="E23" s="1356"/>
      <c r="F23" s="1351"/>
    </row>
    <row r="24" spans="2:6" ht="16.5">
      <c r="B24" s="1357">
        <f t="shared" si="0"/>
        <v>22</v>
      </c>
      <c r="C24" s="1360">
        <f>IF(B24&gt;Input　seet!$D$6,0,IF(Sheet5!B24&gt;48,0,Sheet5!C23))</f>
        <v>-4272916.666666667</v>
      </c>
      <c r="D24" s="1359">
        <f t="shared" si="1"/>
        <v>198995833.3333334</v>
      </c>
      <c r="E24" s="1356"/>
      <c r="F24" s="1351"/>
    </row>
    <row r="25" spans="2:6" ht="16.5">
      <c r="B25" s="1357">
        <f t="shared" si="0"/>
        <v>23</v>
      </c>
      <c r="C25" s="1360">
        <f>IF(B25&gt;Input　seet!$D$6,0,IF(Sheet5!B25&gt;48,0,Sheet5!C24))</f>
        <v>-4272916.666666667</v>
      </c>
      <c r="D25" s="1359">
        <f t="shared" si="1"/>
        <v>194722916.66666675</v>
      </c>
      <c r="E25" s="1356"/>
      <c r="F25" s="1351"/>
    </row>
    <row r="26" spans="2:6" ht="16.5">
      <c r="B26" s="1361">
        <f t="shared" si="0"/>
        <v>24</v>
      </c>
      <c r="C26" s="1360">
        <f>IF(B26&gt;Input　seet!$D$6,0,IF(Sheet5!B26&gt;48,0,Sheet5!C25))</f>
        <v>-4272916.666666667</v>
      </c>
      <c r="D26" s="1362">
        <f t="shared" si="1"/>
        <v>190450000.00000009</v>
      </c>
      <c r="E26" s="1363"/>
      <c r="F26" s="1364"/>
    </row>
    <row r="27" spans="2:6" ht="16.5">
      <c r="B27" s="1357">
        <f t="shared" si="0"/>
        <v>25</v>
      </c>
      <c r="C27" s="1360">
        <f>IF(B27&gt;Input　seet!$D$6,0,IF(Sheet5!B27&gt;48,0,Sheet5!C26))</f>
        <v>-4272916.666666667</v>
      </c>
      <c r="D27" s="1359">
        <f t="shared" si="1"/>
        <v>186177083.33333343</v>
      </c>
      <c r="E27" s="1356"/>
      <c r="F27" s="1351"/>
    </row>
    <row r="28" spans="2:6" ht="16.5">
      <c r="B28" s="1357">
        <f t="shared" si="0"/>
        <v>26</v>
      </c>
      <c r="C28" s="1360">
        <f>IF(B28&gt;Input　seet!$D$6,0,IF(Sheet5!B28&gt;48,0,Sheet5!C27))</f>
        <v>-4272916.666666667</v>
      </c>
      <c r="D28" s="1359">
        <f t="shared" si="1"/>
        <v>181904166.66666678</v>
      </c>
      <c r="E28" s="1356"/>
      <c r="F28" s="1351"/>
    </row>
    <row r="29" spans="2:6" ht="16.5">
      <c r="B29" s="1357">
        <f t="shared" si="0"/>
        <v>27</v>
      </c>
      <c r="C29" s="1360">
        <f>IF(B29&gt;Input　seet!$D$6,0,IF(Sheet5!B29&gt;48,0,Sheet5!C28))</f>
        <v>-4272916.666666667</v>
      </c>
      <c r="D29" s="1359">
        <f t="shared" si="1"/>
        <v>177631250.00000012</v>
      </c>
      <c r="E29" s="1356"/>
      <c r="F29" s="1351"/>
    </row>
    <row r="30" spans="2:6" ht="16.5">
      <c r="B30" s="1357">
        <f t="shared" si="0"/>
        <v>28</v>
      </c>
      <c r="C30" s="1360">
        <f>IF(B30&gt;Input　seet!$D$6,0,IF(Sheet5!B30&gt;48,0,Sheet5!C29))</f>
        <v>-4272916.666666667</v>
      </c>
      <c r="D30" s="1359">
        <f t="shared" si="1"/>
        <v>173358333.33333346</v>
      </c>
      <c r="E30" s="1356"/>
      <c r="F30" s="1351"/>
    </row>
    <row r="31" spans="2:6" ht="16.5">
      <c r="B31" s="1357">
        <f t="shared" si="0"/>
        <v>29</v>
      </c>
      <c r="C31" s="1360">
        <f>IF(B31&gt;Input　seet!$D$6,0,IF(Sheet5!B31&gt;48,0,Sheet5!C30))</f>
        <v>-4272916.666666667</v>
      </c>
      <c r="D31" s="1359">
        <f t="shared" si="1"/>
        <v>169085416.66666681</v>
      </c>
      <c r="E31" s="1356"/>
      <c r="F31" s="1351"/>
    </row>
    <row r="32" spans="2:6" ht="16.5">
      <c r="B32" s="1357">
        <f t="shared" si="0"/>
        <v>30</v>
      </c>
      <c r="C32" s="1360">
        <f>IF(B32&gt;Input　seet!$D$6,0,IF(Sheet5!B32&gt;48,0,Sheet5!C31))</f>
        <v>-4272916.666666667</v>
      </c>
      <c r="D32" s="1359">
        <f t="shared" si="1"/>
        <v>164812500.00000015</v>
      </c>
      <c r="E32" s="1356"/>
      <c r="F32" s="1351"/>
    </row>
    <row r="33" spans="2:6" ht="16.5">
      <c r="B33" s="1357">
        <f t="shared" si="0"/>
        <v>31</v>
      </c>
      <c r="C33" s="1360">
        <f>IF(B33&gt;Input　seet!$D$6,0,IF(Sheet5!B33&gt;48,0,Sheet5!C32))</f>
        <v>-4272916.666666667</v>
      </c>
      <c r="D33" s="1359">
        <f t="shared" si="1"/>
        <v>160539583.33333349</v>
      </c>
      <c r="E33" s="1356"/>
      <c r="F33" s="1351"/>
    </row>
    <row r="34" spans="2:6" ht="16.5">
      <c r="B34" s="1357">
        <f t="shared" si="0"/>
        <v>32</v>
      </c>
      <c r="C34" s="1360">
        <f>IF(B34&gt;Input　seet!$D$6,0,IF(Sheet5!B34&gt;48,0,Sheet5!C33))</f>
        <v>-4272916.666666667</v>
      </c>
      <c r="D34" s="1359">
        <f t="shared" si="1"/>
        <v>156266666.66666684</v>
      </c>
      <c r="E34" s="1356"/>
      <c r="F34" s="1365"/>
    </row>
    <row r="35" spans="2:6" ht="16.5">
      <c r="B35" s="1357">
        <f t="shared" si="0"/>
        <v>33</v>
      </c>
      <c r="C35" s="1360">
        <f>IF(B35&gt;Input　seet!$D$6,0,IF(Sheet5!B35&gt;48,0,Sheet5!C34))</f>
        <v>-4272916.666666667</v>
      </c>
      <c r="D35" s="1359">
        <f t="shared" si="1"/>
        <v>151993750.00000018</v>
      </c>
      <c r="E35" s="1356"/>
      <c r="F35" s="1365"/>
    </row>
    <row r="36" spans="2:6" ht="16.5">
      <c r="B36" s="1357">
        <f t="shared" si="0"/>
        <v>34</v>
      </c>
      <c r="C36" s="1360">
        <f>IF(B36&gt;Input　seet!$D$6,0,IF(Sheet5!B36&gt;48,0,Sheet5!C35))</f>
        <v>-4272916.666666667</v>
      </c>
      <c r="D36" s="1359">
        <f t="shared" si="1"/>
        <v>147720833.33333352</v>
      </c>
      <c r="E36" s="1356"/>
      <c r="F36" s="1365"/>
    </row>
    <row r="37" spans="2:6" ht="16.5">
      <c r="B37" s="1357">
        <f t="shared" si="0"/>
        <v>35</v>
      </c>
      <c r="C37" s="1360">
        <f>IF(B37&gt;Input　seet!$D$6,0,IF(Sheet5!B37&gt;48,0,Sheet5!C36))</f>
        <v>-4272916.666666667</v>
      </c>
      <c r="D37" s="1359">
        <f t="shared" si="1"/>
        <v>143447916.66666687</v>
      </c>
      <c r="E37" s="1356"/>
      <c r="F37" s="1365"/>
    </row>
    <row r="38" spans="2:6" ht="16.5">
      <c r="B38" s="1361">
        <f t="shared" si="0"/>
        <v>36</v>
      </c>
      <c r="C38" s="1360">
        <f>IF(B38&gt;Input　seet!$D$6,0,IF(Sheet5!B38&gt;48,0,Sheet5!C37))</f>
        <v>-4272916.666666667</v>
      </c>
      <c r="D38" s="1362">
        <f>D37+C38</f>
        <v>139175000.00000021</v>
      </c>
      <c r="E38" s="1363"/>
      <c r="F38" s="1364"/>
    </row>
    <row r="39" spans="2:6" ht="16.5">
      <c r="B39" s="1357">
        <f t="shared" si="0"/>
        <v>37</v>
      </c>
      <c r="C39" s="1360">
        <f>IF(B39&gt;Input　seet!$D$6,0,IF(Sheet5!B39&gt;48,0,Sheet5!C38))</f>
        <v>0</v>
      </c>
      <c r="D39" s="1366">
        <f>D38+C39</f>
        <v>139175000.00000021</v>
      </c>
      <c r="E39" s="1356"/>
      <c r="F39" s="1367"/>
    </row>
    <row r="40" spans="2:6" ht="16.5">
      <c r="B40" s="1357">
        <f t="shared" si="0"/>
        <v>38</v>
      </c>
      <c r="C40" s="1360">
        <f>IF(B40&gt;Input　seet!$D$6,0,IF(Sheet5!B40&gt;48,0,Sheet5!C39))</f>
        <v>0</v>
      </c>
      <c r="D40" s="1366">
        <f t="shared" ref="D40:D62" si="2">D39+C40</f>
        <v>139175000.00000021</v>
      </c>
      <c r="E40" s="1356"/>
      <c r="F40" s="1367"/>
    </row>
    <row r="41" spans="2:6" ht="16.5">
      <c r="B41" s="1357">
        <f t="shared" si="0"/>
        <v>39</v>
      </c>
      <c r="C41" s="1360">
        <f>IF(B41&gt;Input　seet!$D$6,0,IF(Sheet5!B41&gt;48,0,Sheet5!C40))</f>
        <v>0</v>
      </c>
      <c r="D41" s="1366">
        <f t="shared" si="2"/>
        <v>139175000.00000021</v>
      </c>
      <c r="E41" s="1356"/>
      <c r="F41" s="1367"/>
    </row>
    <row r="42" spans="2:6" ht="16.5">
      <c r="B42" s="1357">
        <f t="shared" si="0"/>
        <v>40</v>
      </c>
      <c r="C42" s="1360">
        <f>IF(B42&gt;Input　seet!$D$6,0,IF(Sheet5!B42&gt;48,0,Sheet5!C41))</f>
        <v>0</v>
      </c>
      <c r="D42" s="1366">
        <f t="shared" si="2"/>
        <v>139175000.00000021</v>
      </c>
      <c r="E42" s="1356"/>
      <c r="F42" s="1367"/>
    </row>
    <row r="43" spans="2:6" ht="16.5">
      <c r="B43" s="1357">
        <f t="shared" si="0"/>
        <v>41</v>
      </c>
      <c r="C43" s="1360">
        <f>IF(B43&gt;Input　seet!$D$6,0,IF(Sheet5!B43&gt;48,0,Sheet5!C42))</f>
        <v>0</v>
      </c>
      <c r="D43" s="1366">
        <f t="shared" si="2"/>
        <v>139175000.00000021</v>
      </c>
      <c r="E43" s="1356"/>
      <c r="F43" s="1367"/>
    </row>
    <row r="44" spans="2:6" ht="16.5">
      <c r="B44" s="1357">
        <f t="shared" si="0"/>
        <v>42</v>
      </c>
      <c r="C44" s="1360">
        <f>IF(B44&gt;Input　seet!$D$6,0,IF(Sheet5!B44&gt;48,0,Sheet5!C43))</f>
        <v>0</v>
      </c>
      <c r="D44" s="1366">
        <f t="shared" si="2"/>
        <v>139175000.00000021</v>
      </c>
      <c r="E44" s="1356"/>
      <c r="F44" s="1367"/>
    </row>
    <row r="45" spans="2:6" ht="16.5">
      <c r="B45" s="1357">
        <f t="shared" si="0"/>
        <v>43</v>
      </c>
      <c r="C45" s="1360">
        <f>IF(B45&gt;Input　seet!$D$6,0,IF(Sheet5!B45&gt;48,0,Sheet5!C44))</f>
        <v>0</v>
      </c>
      <c r="D45" s="1366">
        <f t="shared" si="2"/>
        <v>139175000.00000021</v>
      </c>
      <c r="E45" s="1356"/>
      <c r="F45" s="1367"/>
    </row>
    <row r="46" spans="2:6" ht="16.5">
      <c r="B46" s="1357">
        <f t="shared" si="0"/>
        <v>44</v>
      </c>
      <c r="C46" s="1360">
        <f>IF(B46&gt;Input　seet!$D$6,0,IF(Sheet5!B46&gt;48,0,Sheet5!C45))</f>
        <v>0</v>
      </c>
      <c r="D46" s="1366">
        <f t="shared" si="2"/>
        <v>139175000.00000021</v>
      </c>
      <c r="E46" s="1356"/>
      <c r="F46" s="1367"/>
    </row>
    <row r="47" spans="2:6" ht="16.5">
      <c r="B47" s="1357">
        <f t="shared" si="0"/>
        <v>45</v>
      </c>
      <c r="C47" s="1360">
        <f>IF(B47&gt;Input　seet!$D$6,0,IF(Sheet5!B47&gt;48,0,Sheet5!C46))</f>
        <v>0</v>
      </c>
      <c r="D47" s="1366">
        <f t="shared" si="2"/>
        <v>139175000.00000021</v>
      </c>
      <c r="E47" s="1356"/>
      <c r="F47" s="1367"/>
    </row>
    <row r="48" spans="2:6" ht="16.5">
      <c r="B48" s="1357">
        <f t="shared" si="0"/>
        <v>46</v>
      </c>
      <c r="C48" s="1360">
        <f>IF(B48&gt;Input　seet!$D$6,0,IF(Sheet5!B48&gt;48,0,Sheet5!C47))</f>
        <v>0</v>
      </c>
      <c r="D48" s="1366">
        <f t="shared" si="2"/>
        <v>139175000.00000021</v>
      </c>
      <c r="E48" s="1356"/>
      <c r="F48" s="1367"/>
    </row>
    <row r="49" spans="2:6" ht="16.5">
      <c r="B49" s="1357">
        <f t="shared" si="0"/>
        <v>47</v>
      </c>
      <c r="C49" s="1360">
        <f>IF(B49&gt;Input　seet!$D$6,0,IF(Sheet5!B49&gt;48,0,Sheet5!C48))</f>
        <v>0</v>
      </c>
      <c r="D49" s="1366">
        <f t="shared" si="2"/>
        <v>139175000.00000021</v>
      </c>
      <c r="E49" s="1356"/>
      <c r="F49" s="1367"/>
    </row>
    <row r="50" spans="2:6" ht="16.5">
      <c r="B50" s="1361">
        <f t="shared" si="0"/>
        <v>48</v>
      </c>
      <c r="C50" s="1360">
        <f>IF(B50&gt;Input　seet!$D$6,0,IF(Sheet5!B50&gt;48,0,Sheet5!C49))</f>
        <v>0</v>
      </c>
      <c r="D50" s="1362">
        <f t="shared" si="2"/>
        <v>139175000.00000021</v>
      </c>
      <c r="E50" s="1363"/>
      <c r="F50" s="1364"/>
    </row>
    <row r="51" spans="2:6" ht="16.5">
      <c r="B51" s="1357">
        <f t="shared" si="0"/>
        <v>49</v>
      </c>
      <c r="C51" s="1360">
        <f>IF(B51&gt;Input　seet!$D$6,0,IF(Sheet5!B51&gt;48,0,Sheet5!C50))</f>
        <v>0</v>
      </c>
      <c r="D51" s="1366">
        <f t="shared" si="2"/>
        <v>139175000.00000021</v>
      </c>
      <c r="E51" s="1368"/>
      <c r="F51" s="1367"/>
    </row>
    <row r="52" spans="2:6" ht="16.5">
      <c r="B52" s="1357">
        <f t="shared" si="0"/>
        <v>50</v>
      </c>
      <c r="C52" s="1360">
        <f>IF(B52&gt;Input　seet!$D$6,0,IF(Sheet5!B52&gt;48,0,Sheet5!C51))</f>
        <v>0</v>
      </c>
      <c r="D52" s="1366">
        <f t="shared" si="2"/>
        <v>139175000.00000021</v>
      </c>
      <c r="E52" s="1368"/>
      <c r="F52" s="1367"/>
    </row>
    <row r="53" spans="2:6" ht="16.5">
      <c r="B53" s="1357">
        <f t="shared" si="0"/>
        <v>51</v>
      </c>
      <c r="C53" s="1360">
        <f>IF(B53&gt;Input　seet!$D$6,0,IF(Sheet5!B53&gt;48,0,Sheet5!C52))</f>
        <v>0</v>
      </c>
      <c r="D53" s="1366">
        <f t="shared" si="2"/>
        <v>139175000.00000021</v>
      </c>
      <c r="E53" s="1368"/>
      <c r="F53" s="1367"/>
    </row>
    <row r="54" spans="2:6" ht="16.5">
      <c r="B54" s="1357">
        <f t="shared" si="0"/>
        <v>52</v>
      </c>
      <c r="C54" s="1360">
        <f>IF(B54&gt;Input　seet!$D$6,0,IF(Sheet5!B54&gt;48,0,Sheet5!C53))</f>
        <v>0</v>
      </c>
      <c r="D54" s="1366">
        <f t="shared" si="2"/>
        <v>139175000.00000021</v>
      </c>
      <c r="E54" s="1368"/>
      <c r="F54" s="1367"/>
    </row>
    <row r="55" spans="2:6" ht="16.5">
      <c r="B55" s="1357">
        <f t="shared" si="0"/>
        <v>53</v>
      </c>
      <c r="C55" s="1360">
        <f>IF(B55&gt;Input　seet!$D$6,0,IF(Sheet5!B55&gt;48,0,Sheet5!C54))</f>
        <v>0</v>
      </c>
      <c r="D55" s="1366">
        <f t="shared" si="2"/>
        <v>139175000.00000021</v>
      </c>
      <c r="E55" s="1368"/>
      <c r="F55" s="1367"/>
    </row>
    <row r="56" spans="2:6" ht="16.5">
      <c r="B56" s="1357">
        <f t="shared" si="0"/>
        <v>54</v>
      </c>
      <c r="C56" s="1360">
        <f>IF(B56&gt;Input　seet!$D$6,0,IF(Sheet5!B56&gt;48,0,Sheet5!C55))</f>
        <v>0</v>
      </c>
      <c r="D56" s="1366">
        <f t="shared" si="2"/>
        <v>139175000.00000021</v>
      </c>
      <c r="E56" s="1368"/>
      <c r="F56" s="1367"/>
    </row>
    <row r="57" spans="2:6" ht="16.5">
      <c r="B57" s="1357">
        <f t="shared" si="0"/>
        <v>55</v>
      </c>
      <c r="C57" s="1360">
        <f>IF(B57&gt;Input　seet!$D$6,0,IF(Sheet5!B57&gt;48,0,Sheet5!C56))</f>
        <v>0</v>
      </c>
      <c r="D57" s="1366">
        <f t="shared" si="2"/>
        <v>139175000.00000021</v>
      </c>
      <c r="E57" s="1368"/>
      <c r="F57" s="1367"/>
    </row>
    <row r="58" spans="2:6" ht="16.5">
      <c r="B58" s="1357">
        <f t="shared" si="0"/>
        <v>56</v>
      </c>
      <c r="C58" s="1360">
        <f>IF(B58&gt;Input　seet!$D$6,0,IF(Sheet5!B58&gt;48,0,Sheet5!C57))</f>
        <v>0</v>
      </c>
      <c r="D58" s="1366">
        <f t="shared" si="2"/>
        <v>139175000.00000021</v>
      </c>
      <c r="E58" s="1368"/>
      <c r="F58" s="1367"/>
    </row>
    <row r="59" spans="2:6" ht="16.5">
      <c r="B59" s="1357">
        <f t="shared" si="0"/>
        <v>57</v>
      </c>
      <c r="C59" s="1360">
        <f>IF(B59&gt;Input　seet!$D$6,0,IF(Sheet5!B59&gt;48,0,Sheet5!C58))</f>
        <v>0</v>
      </c>
      <c r="D59" s="1366">
        <f t="shared" si="2"/>
        <v>139175000.00000021</v>
      </c>
      <c r="E59" s="1368"/>
      <c r="F59" s="1367"/>
    </row>
    <row r="60" spans="2:6" ht="16.5">
      <c r="B60" s="1357">
        <f t="shared" si="0"/>
        <v>58</v>
      </c>
      <c r="C60" s="1360">
        <f>IF(B60&gt;Input　seet!$D$6,0,IF(Sheet5!B60&gt;48,0,Sheet5!C59))</f>
        <v>0</v>
      </c>
      <c r="D60" s="1366">
        <f t="shared" si="2"/>
        <v>139175000.00000021</v>
      </c>
      <c r="E60" s="1368"/>
      <c r="F60" s="1367"/>
    </row>
    <row r="61" spans="2:6" ht="16.5">
      <c r="B61" s="1357">
        <f t="shared" si="0"/>
        <v>59</v>
      </c>
      <c r="C61" s="1360">
        <f>IF(B61&gt;Input　seet!$D$6,0,IF(Sheet5!B61&gt;48,0,Sheet5!C60))</f>
        <v>0</v>
      </c>
      <c r="D61" s="1366">
        <f t="shared" si="2"/>
        <v>139175000.00000021</v>
      </c>
      <c r="E61" s="1368"/>
      <c r="F61" s="1367"/>
    </row>
    <row r="62" spans="2:6" ht="16.5">
      <c r="B62" s="1361">
        <f t="shared" si="0"/>
        <v>60</v>
      </c>
      <c r="C62" s="1360">
        <f>IF(B62&gt;Input　seet!$D$6,0,IF(Sheet5!B62&gt;48,0,Sheet5!C61))</f>
        <v>0</v>
      </c>
      <c r="D62" s="1362">
        <f t="shared" si="2"/>
        <v>139175000.00000021</v>
      </c>
      <c r="E62" s="1363">
        <f>Calculation!D36</f>
        <v>90909089.999999985</v>
      </c>
      <c r="F62" s="1364">
        <f>E62-D62</f>
        <v>-48265910.000000224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topLeftCell="A26" zoomScale="85" zoomScaleNormal="85" workbookViewId="0">
      <selection activeCell="H51" sqref="H51"/>
    </sheetView>
  </sheetViews>
  <sheetFormatPr defaultColWidth="9" defaultRowHeight="12"/>
  <cols>
    <col min="1" max="1" width="4.7109375" style="1393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5.75">
      <c r="A2" s="1388" t="s">
        <v>371</v>
      </c>
      <c r="B2" s="927"/>
    </row>
    <row r="3" spans="1:11" ht="10.5" customHeight="1">
      <c r="A3" s="1389"/>
      <c r="B3" s="927"/>
    </row>
    <row r="4" spans="1:11" ht="15.75">
      <c r="A4" s="1401" t="s">
        <v>328</v>
      </c>
      <c r="B4" s="1401"/>
      <c r="C4" s="983" t="str">
        <f>Input　seet!C3:D3</f>
        <v>00074/OCN/01/04/2019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90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90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1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2">
        <v>1</v>
      </c>
      <c r="B10" s="965" t="s">
        <v>305</v>
      </c>
      <c r="C10" s="966"/>
      <c r="D10" s="1179">
        <f>Input　seet!D24</f>
        <v>326000000</v>
      </c>
      <c r="E10" s="967"/>
      <c r="F10" s="967"/>
      <c r="G10" s="967"/>
      <c r="H10" s="967"/>
    </row>
    <row r="11" spans="1:11" ht="15.75" customHeight="1">
      <c r="A11" s="1392">
        <f>A10+1</f>
        <v>2</v>
      </c>
      <c r="B11" s="968" t="s">
        <v>336</v>
      </c>
      <c r="C11" s="969"/>
      <c r="D11" s="970">
        <f>Input　seet!D25</f>
        <v>293000000</v>
      </c>
      <c r="E11" s="971"/>
      <c r="F11" s="971"/>
      <c r="G11" s="971"/>
      <c r="H11" s="971"/>
    </row>
    <row r="12" spans="1:11" ht="15.75" customHeight="1">
      <c r="A12" s="1392">
        <f t="shared" ref="A12:A14" si="0">A11+1</f>
        <v>3</v>
      </c>
      <c r="B12" s="968" t="s">
        <v>352</v>
      </c>
      <c r="C12" s="969"/>
      <c r="D12" s="1181">
        <f>Input　seet!D6</f>
        <v>36</v>
      </c>
      <c r="E12" s="971"/>
      <c r="F12" s="971"/>
      <c r="G12" s="971"/>
      <c r="H12" s="971"/>
    </row>
    <row r="13" spans="1:11" ht="15.75" customHeight="1">
      <c r="A13" s="1392">
        <f t="shared" si="0"/>
        <v>4</v>
      </c>
      <c r="B13" s="968" t="s">
        <v>15</v>
      </c>
      <c r="C13" s="969"/>
      <c r="D13" s="1180">
        <f>Input　seet!D7</f>
        <v>0.13500000000000001</v>
      </c>
      <c r="E13" s="971"/>
      <c r="F13" s="971"/>
      <c r="G13" s="971"/>
      <c r="H13" s="971"/>
      <c r="J13" s="998"/>
      <c r="K13" s="1001"/>
    </row>
    <row r="14" spans="1:11" ht="15.75" customHeight="1">
      <c r="A14" s="1392">
        <f t="shared" si="0"/>
        <v>5</v>
      </c>
      <c r="B14" s="968" t="s">
        <v>260</v>
      </c>
      <c r="C14" s="969"/>
      <c r="D14" s="1182">
        <f>Input　seet!D8</f>
        <v>7.0000000000000007E-2</v>
      </c>
      <c r="E14" s="971"/>
      <c r="F14" s="971"/>
      <c r="G14" s="971"/>
      <c r="H14" s="971"/>
    </row>
    <row r="15" spans="1:11" ht="15.75" customHeight="1">
      <c r="A15" s="1392">
        <f>A14+1</f>
        <v>6</v>
      </c>
      <c r="B15" s="968" t="s">
        <v>299</v>
      </c>
      <c r="C15" s="969"/>
      <c r="D15" s="993">
        <f>D13-D14</f>
        <v>6.5000000000000002E-2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2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4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2">
        <f>A15+1</f>
        <v>7</v>
      </c>
      <c r="B19" s="965" t="s">
        <v>337</v>
      </c>
      <c r="C19" s="966"/>
      <c r="D19" s="972">
        <f>Input　seet!D12+Input　seet!D15</f>
        <v>330000000</v>
      </c>
      <c r="E19" s="967"/>
      <c r="F19" s="967"/>
      <c r="G19" s="967"/>
      <c r="H19" s="967"/>
      <c r="K19" s="1000"/>
    </row>
    <row r="20" spans="1:11" ht="15.75" customHeight="1">
      <c r="A20" s="1392">
        <f>A19+1</f>
        <v>8</v>
      </c>
      <c r="B20" s="968" t="s">
        <v>312</v>
      </c>
      <c r="C20" s="969"/>
      <c r="D20" s="997">
        <f>Input　seet!D21</f>
        <v>0.30303029999999997</v>
      </c>
      <c r="E20" s="971"/>
      <c r="F20" s="971"/>
      <c r="G20" s="971"/>
      <c r="H20" s="971"/>
    </row>
    <row r="21" spans="1:11" ht="15.75" customHeight="1">
      <c r="A21" s="1392">
        <f t="shared" ref="A21" si="1">A20+1</f>
        <v>9</v>
      </c>
      <c r="B21" s="968" t="s">
        <v>357</v>
      </c>
      <c r="C21" s="969"/>
      <c r="D21" s="973">
        <f>Input　seet!D22</f>
        <v>99999998.999999985</v>
      </c>
      <c r="E21" s="971"/>
      <c r="F21" s="971"/>
      <c r="G21" s="971"/>
      <c r="H21" s="971"/>
      <c r="K21" s="998"/>
    </row>
    <row r="22" spans="1:11" ht="6" customHeight="1">
      <c r="A22" s="1392"/>
      <c r="B22" s="934"/>
    </row>
    <row r="23" spans="1:11" ht="15.75" customHeight="1">
      <c r="A23" s="1392"/>
      <c r="B23" s="946" t="s">
        <v>372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4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2">
        <v>10</v>
      </c>
      <c r="B25" s="965" t="s">
        <v>330</v>
      </c>
      <c r="C25" s="966"/>
      <c r="D25" s="974">
        <f>'①Tidak termasuk VAT TAX'!J6</f>
        <v>7266815.2882989021</v>
      </c>
      <c r="E25" s="967"/>
      <c r="F25" s="967"/>
      <c r="G25" s="967"/>
      <c r="H25" s="967"/>
    </row>
    <row r="26" spans="1:11" ht="15.75" customHeight="1">
      <c r="A26" s="1392">
        <v>11</v>
      </c>
      <c r="B26" s="968" t="s">
        <v>300</v>
      </c>
      <c r="C26" s="969"/>
      <c r="D26" s="970">
        <f>D25*D12</f>
        <v>261605350.37876049</v>
      </c>
      <c r="E26" s="971"/>
      <c r="F26" s="971"/>
      <c r="G26" s="971"/>
      <c r="H26" s="971"/>
    </row>
    <row r="27" spans="1:11" ht="15.75" customHeight="1">
      <c r="A27" s="1392">
        <f>A26+1</f>
        <v>12</v>
      </c>
      <c r="B27" s="968" t="s">
        <v>329</v>
      </c>
      <c r="C27" s="969"/>
      <c r="D27" s="970"/>
      <c r="E27" s="994">
        <f>'③Termasuk VAT'!AI26</f>
        <v>109211.19147509469</v>
      </c>
      <c r="F27" s="994">
        <f>D25+E27</f>
        <v>7376026.4797739964</v>
      </c>
      <c r="G27" s="994">
        <f>-'⑤Termasuk TAX'!AI26</f>
        <v>-857.19963384292919</v>
      </c>
      <c r="H27" s="995">
        <f>F27+G27</f>
        <v>7375169.2801401531</v>
      </c>
      <c r="K27" s="932"/>
    </row>
    <row r="28" spans="1:11" ht="15.75" customHeight="1">
      <c r="A28" s="1392">
        <v>13</v>
      </c>
      <c r="B28" s="968" t="s">
        <v>301</v>
      </c>
      <c r="C28" s="969"/>
      <c r="D28" s="970"/>
      <c r="E28" s="994">
        <f>E27*D12</f>
        <v>3931602.8931034086</v>
      </c>
      <c r="F28" s="994">
        <f>F27*D12</f>
        <v>265536953.27186388</v>
      </c>
      <c r="G28" s="994">
        <f>G27*D12</f>
        <v>-30859.18681834545</v>
      </c>
      <c r="H28" s="995">
        <f>H27*D12</f>
        <v>265506094.08504552</v>
      </c>
    </row>
    <row r="29" spans="1:11" ht="15.75" customHeight="1">
      <c r="A29" s="1392">
        <v>14</v>
      </c>
      <c r="B29" s="968" t="s">
        <v>313</v>
      </c>
      <c r="C29" s="969"/>
      <c r="D29" s="970"/>
      <c r="E29" s="994"/>
      <c r="F29" s="994">
        <f>F27*110%</f>
        <v>8113629.127751397</v>
      </c>
      <c r="G29" s="994"/>
      <c r="H29" s="995">
        <f>H27*110%</f>
        <v>8112686.2081541689</v>
      </c>
      <c r="J29" s="998"/>
    </row>
    <row r="30" spans="1:11" ht="15.75" customHeight="1">
      <c r="A30" s="1392">
        <v>15</v>
      </c>
      <c r="B30" s="968" t="s">
        <v>301</v>
      </c>
      <c r="C30" s="969"/>
      <c r="D30" s="970"/>
      <c r="E30" s="994"/>
      <c r="F30" s="994">
        <f>F29*$D$12</f>
        <v>292090648.59905028</v>
      </c>
      <c r="G30" s="994"/>
      <c r="H30" s="995">
        <f>H29*$D$12</f>
        <v>292056703.49355006</v>
      </c>
    </row>
    <row r="31" spans="1:11" ht="6" customHeight="1">
      <c r="A31" s="1392"/>
      <c r="B31" s="928"/>
      <c r="F31" s="940"/>
      <c r="G31" s="928"/>
    </row>
    <row r="32" spans="1:11" ht="15.75" customHeight="1">
      <c r="A32" s="1392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4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2">
        <v>16</v>
      </c>
      <c r="B34" s="975" t="s">
        <v>318</v>
      </c>
      <c r="C34" s="966"/>
      <c r="D34" s="976">
        <f>D25*D12</f>
        <v>261605350.37876049</v>
      </c>
      <c r="E34" s="976"/>
      <c r="F34" s="974">
        <f>F28</f>
        <v>265536953.27186388</v>
      </c>
      <c r="G34" s="974"/>
      <c r="H34" s="974">
        <f>H28</f>
        <v>265506094.08504552</v>
      </c>
    </row>
    <row r="35" spans="1:9" ht="15.75" customHeight="1">
      <c r="A35" s="1392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3">
        <v>18</v>
      </c>
      <c r="B36" s="977" t="s">
        <v>359</v>
      </c>
      <c r="C36" s="991"/>
      <c r="D36" s="973">
        <f>'①Tidak termasuk VAT TAX'!M14/1.1</f>
        <v>90909089.999999985</v>
      </c>
      <c r="E36" s="971"/>
      <c r="F36" s="971"/>
      <c r="G36" s="971"/>
      <c r="H36" s="971"/>
    </row>
    <row r="37" spans="1:9" ht="15.75" customHeight="1">
      <c r="A37" s="1393">
        <v>19</v>
      </c>
      <c r="B37" s="977" t="s">
        <v>320</v>
      </c>
      <c r="C37" s="1184">
        <f>Input　seet!D29</f>
        <v>0</v>
      </c>
      <c r="D37" s="970">
        <f>'①Tidak termasuk VAT TAX'!AA11</f>
        <v>0</v>
      </c>
      <c r="E37" s="971"/>
      <c r="F37" s="971"/>
      <c r="G37" s="971"/>
      <c r="H37" s="971"/>
    </row>
    <row r="38" spans="1:9" ht="15.75" customHeight="1">
      <c r="A38" s="1393">
        <v>20</v>
      </c>
      <c r="B38" s="977" t="s">
        <v>487</v>
      </c>
      <c r="C38" s="1398"/>
      <c r="D38" s="970">
        <f>Input　seet!D43</f>
        <v>22000000</v>
      </c>
      <c r="E38" s="971"/>
      <c r="F38" s="971"/>
      <c r="G38" s="971"/>
      <c r="H38" s="971"/>
    </row>
    <row r="39" spans="1:9" ht="15.75" customHeight="1">
      <c r="A39" s="1392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2">
        <v>21</v>
      </c>
      <c r="B40" s="978" t="s">
        <v>302</v>
      </c>
      <c r="C40" s="969"/>
      <c r="D40" s="970">
        <f>SUM(D34:D38)</f>
        <v>374514440.37876046</v>
      </c>
      <c r="E40" s="973"/>
      <c r="F40" s="973">
        <f>F34+SUM(D35:D38)</f>
        <v>378446043.27186388</v>
      </c>
      <c r="G40" s="973"/>
      <c r="H40" s="973">
        <f>H34+SUM(D35:D38)</f>
        <v>378415184.08504552</v>
      </c>
    </row>
    <row r="41" spans="1:9" ht="6" customHeight="1">
      <c r="A41" s="1395"/>
      <c r="B41" s="936"/>
    </row>
    <row r="42" spans="1:9" ht="15.75" customHeight="1">
      <c r="A42" s="1392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4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2">
        <v>22</v>
      </c>
      <c r="B44" s="975" t="s">
        <v>321</v>
      </c>
      <c r="C44" s="966"/>
      <c r="D44" s="976">
        <f>-'①Tidak termasuk VAT TAX'!AA8</f>
        <v>0</v>
      </c>
      <c r="E44" s="976"/>
      <c r="F44" s="976"/>
      <c r="G44" s="976"/>
      <c r="H44" s="976"/>
    </row>
    <row r="45" spans="1:9" ht="15.75" customHeight="1">
      <c r="A45" s="1392">
        <v>23</v>
      </c>
      <c r="B45" s="977" t="s">
        <v>322</v>
      </c>
      <c r="C45" s="991"/>
      <c r="D45" s="973">
        <f>'①Tidak termasuk VAT TAX'!E91+'①Tidak termasuk VAT TAX'!G91+'①Tidak termasuk VAT TAX'!I91</f>
        <v>-293000000</v>
      </c>
      <c r="E45" s="973"/>
      <c r="F45" s="973"/>
      <c r="G45" s="973"/>
      <c r="H45" s="973"/>
    </row>
    <row r="46" spans="1:9" ht="15.75" customHeight="1">
      <c r="A46" s="1392">
        <v>24</v>
      </c>
      <c r="B46" s="977" t="s">
        <v>323</v>
      </c>
      <c r="C46" s="1183">
        <f>Input　seet!D9</f>
        <v>14</v>
      </c>
      <c r="D46" s="973">
        <f>'①Tidak termasuk VAT TAX'!R91</f>
        <v>-797611.11111111124</v>
      </c>
      <c r="E46" s="973"/>
      <c r="F46" s="973"/>
      <c r="G46" s="973"/>
      <c r="H46" s="973"/>
    </row>
    <row r="47" spans="1:9" ht="15.75" customHeight="1">
      <c r="A47" s="1392">
        <v>25</v>
      </c>
      <c r="B47" s="977" t="s">
        <v>324</v>
      </c>
      <c r="C47" s="966"/>
      <c r="D47" s="973">
        <f>'①Tidak termasuk VAT TAX'!M91</f>
        <v>-2500000</v>
      </c>
      <c r="E47" s="973"/>
      <c r="F47" s="973"/>
      <c r="G47" s="973"/>
      <c r="H47" s="973"/>
    </row>
    <row r="48" spans="1:9" ht="15.75" customHeight="1">
      <c r="A48" s="1392">
        <v>26</v>
      </c>
      <c r="B48" s="977" t="s">
        <v>385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2">
        <v>27</v>
      </c>
      <c r="B49" s="977" t="s">
        <v>376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2">
        <v>28</v>
      </c>
      <c r="B50" s="977" t="s">
        <v>325</v>
      </c>
      <c r="C50" s="969"/>
      <c r="D50" s="973">
        <f>'①Tidak termasuk VAT TAX'!P91</f>
        <v>0</v>
      </c>
      <c r="E50" s="973"/>
      <c r="F50" s="973"/>
      <c r="G50" s="973"/>
      <c r="H50" s="973"/>
    </row>
    <row r="51" spans="1:10" ht="15.75" customHeight="1">
      <c r="A51" s="1392">
        <v>29</v>
      </c>
      <c r="B51" s="977" t="s">
        <v>326</v>
      </c>
      <c r="C51" s="969"/>
      <c r="D51" s="973">
        <f>-'①Tidak termasuk VAT TAX'!Q167</f>
        <v>-35386184.268239573</v>
      </c>
      <c r="E51" s="973">
        <f>-'③Termasuk VAT'!T168</f>
        <v>-3931602.8931033583</v>
      </c>
      <c r="F51" s="973">
        <f>D51+E51</f>
        <v>-39317787.161342934</v>
      </c>
      <c r="G51" s="973">
        <f>-'⑤Termasuk TAX'!T168</f>
        <v>30859.18681834477</v>
      </c>
      <c r="H51" s="973">
        <f>SUM(F51:G51)</f>
        <v>-39286927.974524587</v>
      </c>
    </row>
    <row r="52" spans="1:10" ht="15.75" customHeight="1">
      <c r="A52" s="1392">
        <v>30</v>
      </c>
      <c r="B52" s="977" t="s">
        <v>327</v>
      </c>
      <c r="C52" s="969"/>
      <c r="D52" s="973">
        <f>-'①Tidak termasuk VAT TAX'!AA10</f>
        <v>0</v>
      </c>
      <c r="E52" s="973"/>
      <c r="F52" s="973"/>
      <c r="G52" s="973"/>
      <c r="H52" s="973"/>
    </row>
    <row r="53" spans="1:10" ht="15.75" customHeight="1">
      <c r="A53" s="1392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2">
        <v>32</v>
      </c>
      <c r="B54" s="978" t="s">
        <v>302</v>
      </c>
      <c r="C54" s="969"/>
      <c r="D54" s="970">
        <f>SUM(D44:D53)</f>
        <v>-331683795.37935066</v>
      </c>
      <c r="E54" s="973"/>
      <c r="F54" s="973">
        <f>D54+E51</f>
        <v>-335615398.27245402</v>
      </c>
      <c r="G54" s="973"/>
      <c r="H54" s="973">
        <f>F54+G51</f>
        <v>-335584539.08563566</v>
      </c>
    </row>
    <row r="55" spans="1:10" ht="6" customHeight="1">
      <c r="A55" s="1392"/>
      <c r="B55" s="935"/>
    </row>
    <row r="56" spans="1:10" ht="15.75" customHeight="1">
      <c r="A56" s="1392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4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2">
        <v>33</v>
      </c>
      <c r="B58" s="979" t="s">
        <v>33</v>
      </c>
      <c r="C58" s="966"/>
      <c r="D58" s="972">
        <f>D40+D54</f>
        <v>42830644.999409795</v>
      </c>
      <c r="E58" s="972"/>
      <c r="F58" s="972">
        <f>F40+F54</f>
        <v>42830644.999409854</v>
      </c>
      <c r="G58" s="976"/>
      <c r="H58" s="976">
        <f>H40+H54</f>
        <v>42830644.999409854</v>
      </c>
      <c r="J58" s="932">
        <f>F58-D58</f>
        <v>5.9604644775390625E-8</v>
      </c>
    </row>
    <row r="59" spans="1:10" ht="15.75" customHeight="1">
      <c r="A59" s="1392">
        <v>34</v>
      </c>
      <c r="B59" s="968" t="s">
        <v>265</v>
      </c>
      <c r="C59" s="969"/>
      <c r="D59" s="970"/>
      <c r="E59" s="973"/>
      <c r="F59" s="973">
        <f>F58/$D$12*12</f>
        <v>14276881.66646995</v>
      </c>
      <c r="G59" s="973"/>
      <c r="H59" s="973">
        <f>H58/$D$12*12</f>
        <v>14276881.66646995</v>
      </c>
    </row>
    <row r="60" spans="1:10" ht="15.75" customHeight="1">
      <c r="A60" s="1392">
        <v>35</v>
      </c>
      <c r="B60" s="968" t="s">
        <v>303</v>
      </c>
      <c r="C60" s="969"/>
      <c r="D60" s="970"/>
      <c r="E60" s="973"/>
      <c r="F60" s="973">
        <f>(($D$19-$D$21)/2)+$D$21</f>
        <v>214999999.5</v>
      </c>
      <c r="G60" s="973"/>
      <c r="H60" s="973">
        <f>(($D$19-$D$21)/2)+$D$21</f>
        <v>214999999.5</v>
      </c>
    </row>
    <row r="61" spans="1:10" ht="15.75" customHeight="1">
      <c r="A61" s="1392">
        <v>36</v>
      </c>
      <c r="B61" s="968" t="s">
        <v>304</v>
      </c>
      <c r="C61" s="969"/>
      <c r="D61" s="970"/>
      <c r="E61" s="973"/>
      <c r="F61" s="996">
        <f>F59/F60</f>
        <v>6.640410092870698E-2</v>
      </c>
      <c r="G61" s="999"/>
      <c r="H61" s="996">
        <f>H59/H60</f>
        <v>6.640410092870698E-2</v>
      </c>
    </row>
    <row r="62" spans="1:10" ht="6" customHeight="1">
      <c r="A62" s="1392"/>
      <c r="B62" s="928"/>
      <c r="F62" s="928"/>
      <c r="G62" s="928"/>
      <c r="H62" s="928"/>
    </row>
    <row r="63" spans="1:10" ht="15.75" customHeight="1">
      <c r="A63" s="1392"/>
      <c r="B63" s="928"/>
      <c r="F63" s="928"/>
      <c r="G63" s="928"/>
      <c r="H63" s="928"/>
    </row>
    <row r="64" spans="1:10" ht="19.5" customHeight="1">
      <c r="A64" s="1392"/>
      <c r="B64" s="950" t="s">
        <v>481</v>
      </c>
      <c r="C64" s="947"/>
      <c r="D64" s="948"/>
      <c r="E64" s="949"/>
      <c r="F64" s="949"/>
      <c r="G64" s="949"/>
      <c r="H64" s="949"/>
    </row>
    <row r="65" spans="1:9">
      <c r="A65" s="1392"/>
      <c r="B65" s="964"/>
      <c r="C65" s="959"/>
      <c r="D65" s="960"/>
      <c r="E65" s="961"/>
      <c r="F65" s="961"/>
      <c r="G65" s="1369" t="s">
        <v>478</v>
      </c>
      <c r="H65" s="1370" t="s">
        <v>58</v>
      </c>
    </row>
    <row r="66" spans="1:9" ht="14.25" customHeight="1">
      <c r="A66" s="1393">
        <v>37</v>
      </c>
      <c r="B66" s="1371" t="s">
        <v>485</v>
      </c>
      <c r="C66" s="1372"/>
      <c r="D66" s="1373"/>
      <c r="E66" s="1373"/>
      <c r="F66" s="1373"/>
      <c r="G66" s="1383">
        <f>H66/(D12/12)</f>
        <v>14276881.666469952</v>
      </c>
      <c r="H66" s="1383">
        <f>H40+H54+C74+C75+C77</f>
        <v>42830644.999409854</v>
      </c>
    </row>
    <row r="67" spans="1:9" ht="14.25" customHeight="1">
      <c r="A67" s="1393">
        <v>38</v>
      </c>
      <c r="B67" s="968" t="s">
        <v>477</v>
      </c>
      <c r="C67" s="1374">
        <v>-4.2000000000000003E-2</v>
      </c>
      <c r="D67" s="970"/>
      <c r="E67" s="1384"/>
      <c r="F67" s="1384"/>
      <c r="G67" s="1384">
        <f>C67*G70</f>
        <v>-8985943.7500000019</v>
      </c>
      <c r="H67" s="1384">
        <f>(D12/12)*G67</f>
        <v>-26957831.250000007</v>
      </c>
    </row>
    <row r="68" spans="1:9" ht="14.25" customHeight="1">
      <c r="A68" s="1393">
        <v>39</v>
      </c>
      <c r="B68" s="968" t="s">
        <v>479</v>
      </c>
      <c r="C68" s="1374">
        <v>-8.9999999999999993E-3</v>
      </c>
      <c r="D68" s="970"/>
      <c r="E68" s="1384"/>
      <c r="F68" s="1384"/>
      <c r="G68" s="1384">
        <f>C68*G70</f>
        <v>-1925559.3750000002</v>
      </c>
      <c r="H68" s="1384">
        <f>(D12/12)*G68</f>
        <v>-5776678.1250000009</v>
      </c>
    </row>
    <row r="69" spans="1:9" ht="14.25" customHeight="1">
      <c r="A69" s="1393">
        <v>40</v>
      </c>
      <c r="B69" s="1375" t="s">
        <v>480</v>
      </c>
      <c r="C69" s="1376"/>
      <c r="D69" s="970"/>
      <c r="E69" s="1384"/>
      <c r="F69" s="1384"/>
      <c r="G69" s="1385">
        <f>SUM(G66:G68)</f>
        <v>3365378.5414699502</v>
      </c>
      <c r="H69" s="1385">
        <f>SUM(H66:H68)</f>
        <v>10096135.624409847</v>
      </c>
    </row>
    <row r="70" spans="1:9" ht="14.25" customHeight="1">
      <c r="A70" s="1393">
        <v>41</v>
      </c>
      <c r="B70" s="968" t="s">
        <v>486</v>
      </c>
      <c r="C70" s="969"/>
      <c r="D70" s="970"/>
      <c r="E70" s="1384"/>
      <c r="F70" s="1384"/>
      <c r="G70" s="1384">
        <f>IF(D12=12,AVERAGE(Sheet5!D3:D14),IF(D12=24,AVERAGE(Sheet5!D3:D26),IF(D12=36,AVERAGE(Sheet5!D3:D38),IF(D12=48,AVERAGE(Sheet5!D3:D50),IF(D12=60,AVERAGE(Sheet5!D3:D62),"ERROR")))))</f>
        <v>213951041.66666672</v>
      </c>
      <c r="H70" s="1384">
        <f>IF(D12=12,AVERAGE(Sheet5!D3:D14),IF(D12=24,AVERAGE(Sheet5!D3:D26),IF(D12=36,AVERAGE(Sheet5!D3:D38),IF(D12=48,AVERAGE(Sheet5!D3:D50),IF(D12=60,AVERAGE(Sheet5!D3:D62),"ERROR")))))</f>
        <v>213951041.66666672</v>
      </c>
    </row>
    <row r="71" spans="1:9" ht="14.25" customHeight="1">
      <c r="A71" s="1393">
        <v>42</v>
      </c>
      <c r="B71" s="1375" t="s">
        <v>304</v>
      </c>
      <c r="C71" s="969"/>
      <c r="D71" s="970"/>
      <c r="E71" s="1384"/>
      <c r="F71" s="1386"/>
      <c r="G71" s="1387">
        <f>G69/G70</f>
        <v>1.5729666540783529E-2</v>
      </c>
      <c r="H71" s="932"/>
      <c r="I71" s="928"/>
    </row>
    <row r="72" spans="1:9">
      <c r="B72" s="934"/>
    </row>
    <row r="74" spans="1:9">
      <c r="B74" s="928" t="s">
        <v>483</v>
      </c>
      <c r="C74" s="929">
        <f>Input　seet!D45</f>
        <v>0</v>
      </c>
    </row>
    <row r="75" spans="1:9">
      <c r="B75" s="928" t="s">
        <v>484</v>
      </c>
      <c r="C75" s="1380">
        <f>-15%*(D37+D44)</f>
        <v>0</v>
      </c>
    </row>
    <row r="77" spans="1:9">
      <c r="C77" s="1381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503" t="s">
        <v>61</v>
      </c>
      <c r="C4" s="1504"/>
      <c r="D4" s="1504"/>
      <c r="E4" s="1504"/>
      <c r="F4" s="1504"/>
      <c r="G4" s="1505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506" t="s">
        <v>64</v>
      </c>
      <c r="F5" s="1506"/>
      <c r="G5" s="1507"/>
      <c r="H5" s="1508" t="s">
        <v>65</v>
      </c>
      <c r="I5" s="1493"/>
      <c r="J5" s="1493"/>
      <c r="K5" s="94"/>
      <c r="L5" s="94"/>
      <c r="M5" s="1492" t="s">
        <v>66</v>
      </c>
      <c r="N5" s="1493"/>
      <c r="O5" s="1502"/>
      <c r="P5" s="1491" t="s">
        <v>67</v>
      </c>
      <c r="Q5" s="1491"/>
      <c r="R5" s="1491"/>
      <c r="S5" s="1492" t="s">
        <v>68</v>
      </c>
      <c r="T5" s="1493"/>
      <c r="U5" s="1493"/>
      <c r="V5" s="1493"/>
      <c r="W5" s="1502"/>
      <c r="X5" s="1491" t="s">
        <v>69</v>
      </c>
      <c r="Y5" s="1491"/>
      <c r="Z5" s="1491"/>
      <c r="AA5" s="1491"/>
      <c r="AB5" s="1491"/>
      <c r="AC5" s="95"/>
      <c r="AD5" s="1492" t="s">
        <v>70</v>
      </c>
      <c r="AE5" s="1493"/>
      <c r="AF5" s="1493"/>
      <c r="AG5" s="1493"/>
      <c r="AH5" s="1493"/>
      <c r="AI5" s="1493"/>
      <c r="AJ5" s="1493"/>
      <c r="AK5" s="1493"/>
      <c r="AL5" s="1493"/>
      <c r="AM5" s="1494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95" t="s">
        <v>75</v>
      </c>
      <c r="T6" s="1496"/>
      <c r="U6" s="1497"/>
      <c r="V6" s="115" t="s">
        <v>76</v>
      </c>
      <c r="W6" s="116" t="s">
        <v>77</v>
      </c>
      <c r="X6" s="1498" t="s">
        <v>75</v>
      </c>
      <c r="Y6" s="1498"/>
      <c r="Z6" s="1499"/>
      <c r="AA6" s="117" t="s">
        <v>76</v>
      </c>
      <c r="AB6" s="118" t="s">
        <v>77</v>
      </c>
      <c r="AC6" s="118"/>
      <c r="AD6" s="1500" t="s">
        <v>78</v>
      </c>
      <c r="AE6" s="1498"/>
      <c r="AF6" s="1499"/>
      <c r="AG6" s="119" t="s">
        <v>79</v>
      </c>
      <c r="AH6" s="120" t="s">
        <v>80</v>
      </c>
      <c r="AI6" s="1501" t="s">
        <v>81</v>
      </c>
      <c r="AJ6" s="1498"/>
      <c r="AK6" s="1498"/>
      <c r="AL6" s="1499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67" t="s">
        <v>131</v>
      </c>
      <c r="T13" s="1468"/>
      <c r="U13" s="1469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70"/>
      <c r="T14" s="1471"/>
      <c r="U14" s="1472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50" t="s">
        <v>140</v>
      </c>
      <c r="F17" s="1451"/>
      <c r="G17" s="1451"/>
      <c r="H17" s="1451"/>
      <c r="I17" s="1451"/>
      <c r="J17" s="1451"/>
      <c r="K17" s="1451"/>
      <c r="L17" s="1451"/>
      <c r="M17" s="1451"/>
      <c r="N17" s="1451"/>
      <c r="O17" s="1451"/>
      <c r="P17" s="1451"/>
      <c r="Q17" s="1451"/>
      <c r="R17" s="1451"/>
      <c r="S17" s="1451"/>
      <c r="T17" s="1451"/>
      <c r="U17" s="1451"/>
      <c r="V17" s="1473"/>
      <c r="W17" s="1474" t="s">
        <v>141</v>
      </c>
      <c r="X17" s="1477" t="s">
        <v>142</v>
      </c>
      <c r="Y17" s="1478"/>
      <c r="Z17" s="1478"/>
      <c r="AA17" s="1478"/>
      <c r="AB17" s="1478"/>
      <c r="AC17" s="282"/>
      <c r="AD17" s="1479" t="s">
        <v>143</v>
      </c>
      <c r="AE17" s="1482" t="s">
        <v>144</v>
      </c>
      <c r="AF17" s="1447" t="s">
        <v>145</v>
      </c>
      <c r="AG17" s="1450" t="s">
        <v>146</v>
      </c>
      <c r="AH17" s="1451"/>
      <c r="AI17" s="1451"/>
      <c r="AJ17" s="1451"/>
      <c r="AK17" s="1452"/>
      <c r="AL17" s="1450" t="s">
        <v>147</v>
      </c>
      <c r="AM17" s="1451"/>
      <c r="AN17" s="1451"/>
      <c r="AO17" s="1452"/>
      <c r="AP17" s="1453" t="s">
        <v>148</v>
      </c>
      <c r="AQ17" s="1456" t="s">
        <v>149</v>
      </c>
      <c r="AR17" s="1459" t="s">
        <v>150</v>
      </c>
      <c r="AS17" s="1437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40" t="s">
        <v>153</v>
      </c>
      <c r="F18" s="1418"/>
      <c r="G18" s="1418" t="s">
        <v>154</v>
      </c>
      <c r="H18" s="1418"/>
      <c r="I18" s="1418" t="s">
        <v>155</v>
      </c>
      <c r="J18" s="1418"/>
      <c r="K18" s="1441"/>
      <c r="L18" s="1442"/>
      <c r="M18" s="1418" t="s">
        <v>156</v>
      </c>
      <c r="N18" s="1418"/>
      <c r="O18" s="1443" t="s">
        <v>157</v>
      </c>
      <c r="P18" s="1443" t="s">
        <v>158</v>
      </c>
      <c r="Q18" s="1443" t="s">
        <v>159</v>
      </c>
      <c r="R18" s="1418" t="s">
        <v>160</v>
      </c>
      <c r="S18" s="1446"/>
      <c r="T18" s="1485" t="s">
        <v>161</v>
      </c>
      <c r="U18" s="1485" t="s">
        <v>162</v>
      </c>
      <c r="V18" s="1488" t="s">
        <v>163</v>
      </c>
      <c r="W18" s="1475"/>
      <c r="X18" s="1414" t="s">
        <v>164</v>
      </c>
      <c r="Y18" s="1416"/>
      <c r="Z18" s="1416" t="s">
        <v>165</v>
      </c>
      <c r="AA18" s="1416"/>
      <c r="AB18" s="1416"/>
      <c r="AC18" s="289"/>
      <c r="AD18" s="1480"/>
      <c r="AE18" s="1483"/>
      <c r="AF18" s="1448"/>
      <c r="AG18" s="1428" t="s">
        <v>166</v>
      </c>
      <c r="AH18" s="1431" t="s">
        <v>167</v>
      </c>
      <c r="AI18" s="1431" t="s">
        <v>168</v>
      </c>
      <c r="AJ18" s="1431" t="s">
        <v>169</v>
      </c>
      <c r="AK18" s="1434" t="s">
        <v>170</v>
      </c>
      <c r="AL18" s="1462" t="s">
        <v>171</v>
      </c>
      <c r="AM18" s="1465" t="s">
        <v>172</v>
      </c>
      <c r="AN18" s="1443" t="s">
        <v>173</v>
      </c>
      <c r="AO18" s="290" t="s">
        <v>174</v>
      </c>
      <c r="AP18" s="1454"/>
      <c r="AQ18" s="1457"/>
      <c r="AR18" s="1460"/>
      <c r="AS18" s="1438"/>
      <c r="AU18" s="291" t="s">
        <v>175</v>
      </c>
      <c r="AV18" s="1420" t="s">
        <v>176</v>
      </c>
      <c r="AW18" s="1421"/>
      <c r="AX18" s="1421"/>
      <c r="AY18" s="1421"/>
      <c r="AZ18" s="1421"/>
      <c r="BA18" s="1421"/>
      <c r="BB18" s="1421"/>
      <c r="BC18" s="1422"/>
      <c r="BD18" s="1420" t="s">
        <v>177</v>
      </c>
      <c r="BE18" s="1421"/>
      <c r="BF18" s="1421"/>
      <c r="BG18" s="1422"/>
      <c r="BH18" s="1423" t="s">
        <v>178</v>
      </c>
      <c r="BI18" s="1424"/>
      <c r="BJ18" s="1425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26" t="s">
        <v>181</v>
      </c>
      <c r="F19" s="1412" t="s">
        <v>182</v>
      </c>
      <c r="G19" s="1412" t="s">
        <v>181</v>
      </c>
      <c r="H19" s="1412" t="s">
        <v>182</v>
      </c>
      <c r="I19" s="1412" t="s">
        <v>181</v>
      </c>
      <c r="J19" s="1412" t="s">
        <v>182</v>
      </c>
      <c r="K19" s="279"/>
      <c r="L19" s="279"/>
      <c r="M19" s="1412" t="s">
        <v>183</v>
      </c>
      <c r="N19" s="1412" t="s">
        <v>182</v>
      </c>
      <c r="O19" s="1444"/>
      <c r="P19" s="1444"/>
      <c r="Q19" s="1444"/>
      <c r="R19" s="1412" t="s">
        <v>183</v>
      </c>
      <c r="S19" s="1412" t="s">
        <v>182</v>
      </c>
      <c r="T19" s="1486"/>
      <c r="U19" s="1486"/>
      <c r="V19" s="1489"/>
      <c r="W19" s="1475"/>
      <c r="X19" s="1414" t="s">
        <v>184</v>
      </c>
      <c r="Y19" s="1416" t="s">
        <v>169</v>
      </c>
      <c r="Z19" s="1416" t="s">
        <v>185</v>
      </c>
      <c r="AA19" s="1418" t="s">
        <v>169</v>
      </c>
      <c r="AB19" s="1418" t="s">
        <v>170</v>
      </c>
      <c r="AC19" s="288" t="s">
        <v>186</v>
      </c>
      <c r="AD19" s="1480"/>
      <c r="AE19" s="1483"/>
      <c r="AF19" s="1448"/>
      <c r="AG19" s="1429"/>
      <c r="AH19" s="1432"/>
      <c r="AI19" s="1432"/>
      <c r="AJ19" s="1432"/>
      <c r="AK19" s="1435"/>
      <c r="AL19" s="1463"/>
      <c r="AM19" s="1465"/>
      <c r="AN19" s="1444"/>
      <c r="AO19" s="296"/>
      <c r="AP19" s="1454"/>
      <c r="AQ19" s="1457"/>
      <c r="AR19" s="1460"/>
      <c r="AS19" s="1438"/>
      <c r="AU19" s="297"/>
      <c r="AV19" s="1405" t="s">
        <v>166</v>
      </c>
      <c r="AW19" s="1406"/>
      <c r="AX19" s="1407" t="s">
        <v>187</v>
      </c>
      <c r="AY19" s="1406"/>
      <c r="AZ19" s="1407" t="s">
        <v>165</v>
      </c>
      <c r="BA19" s="1406"/>
      <c r="BB19" s="298" t="s">
        <v>188</v>
      </c>
      <c r="BC19" s="299" t="s">
        <v>58</v>
      </c>
      <c r="BD19" s="1408" t="s">
        <v>189</v>
      </c>
      <c r="BE19" s="300" t="s">
        <v>190</v>
      </c>
      <c r="BF19" s="1410" t="s">
        <v>191</v>
      </c>
      <c r="BG19" s="299" t="s">
        <v>58</v>
      </c>
      <c r="BH19" s="301" t="s">
        <v>192</v>
      </c>
      <c r="BI19" s="1410" t="s">
        <v>193</v>
      </c>
      <c r="BJ19" s="1402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27"/>
      <c r="F20" s="1413"/>
      <c r="G20" s="1413"/>
      <c r="H20" s="1413"/>
      <c r="I20" s="1413"/>
      <c r="J20" s="1413"/>
      <c r="K20" s="306"/>
      <c r="L20" s="306"/>
      <c r="M20" s="1413"/>
      <c r="N20" s="1413"/>
      <c r="O20" s="1445"/>
      <c r="P20" s="1445"/>
      <c r="Q20" s="1445"/>
      <c r="R20" s="1413"/>
      <c r="S20" s="1413"/>
      <c r="T20" s="1487"/>
      <c r="U20" s="1487"/>
      <c r="V20" s="1490"/>
      <c r="W20" s="1476"/>
      <c r="X20" s="1415"/>
      <c r="Y20" s="1417"/>
      <c r="Z20" s="1417"/>
      <c r="AA20" s="1419"/>
      <c r="AB20" s="1419"/>
      <c r="AC20" s="307"/>
      <c r="AD20" s="1481"/>
      <c r="AE20" s="1484"/>
      <c r="AF20" s="1449"/>
      <c r="AG20" s="1430"/>
      <c r="AH20" s="1433"/>
      <c r="AI20" s="1433"/>
      <c r="AJ20" s="1433"/>
      <c r="AK20" s="1436"/>
      <c r="AL20" s="1464"/>
      <c r="AM20" s="1466"/>
      <c r="AN20" s="1445"/>
      <c r="AO20" s="308"/>
      <c r="AP20" s="1455"/>
      <c r="AQ20" s="1458"/>
      <c r="AR20" s="1461"/>
      <c r="AS20" s="1439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409"/>
      <c r="BE20" s="312"/>
      <c r="BF20" s="1411"/>
      <c r="BG20" s="313"/>
      <c r="BH20" s="314"/>
      <c r="BI20" s="1411"/>
      <c r="BJ20" s="1403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404" t="s">
        <v>200</v>
      </c>
      <c r="D94" s="1404"/>
      <c r="E94" s="1404"/>
      <c r="F94" s="1404"/>
      <c r="G94" s="1404"/>
      <c r="H94" s="1404"/>
      <c r="I94" s="504" t="s">
        <v>201</v>
      </c>
      <c r="J94" s="505"/>
      <c r="K94" s="505"/>
      <c r="L94" s="505"/>
      <c r="M94" s="503" t="s">
        <v>199</v>
      </c>
      <c r="N94" s="1404" t="s">
        <v>200</v>
      </c>
      <c r="O94" s="1404"/>
      <c r="P94" s="1404"/>
      <c r="Q94" s="1404"/>
      <c r="R94" s="1404"/>
      <c r="S94" s="1404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4:G4"/>
    <mergeCell ref="E5:G5"/>
    <mergeCell ref="H5:J5"/>
    <mergeCell ref="M5:O5"/>
    <mergeCell ref="P5:R5"/>
    <mergeCell ref="X5:AB5"/>
    <mergeCell ref="AD5:AM5"/>
    <mergeCell ref="S6:U6"/>
    <mergeCell ref="X6:Z6"/>
    <mergeCell ref="AD6:AF6"/>
    <mergeCell ref="AI6:AL6"/>
    <mergeCell ref="S5:W5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12" t="s">
        <v>1</v>
      </c>
      <c r="C4" s="1513"/>
      <c r="D4" s="1514"/>
      <c r="F4" s="1512" t="s">
        <v>2</v>
      </c>
      <c r="G4" s="1513"/>
      <c r="H4" s="1514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09" t="s">
        <v>23</v>
      </c>
      <c r="C16" s="1510"/>
      <c r="D16" s="1511"/>
      <c r="F16" s="1509" t="s">
        <v>23</v>
      </c>
      <c r="G16" s="1510"/>
      <c r="H16" s="1511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09" t="s">
        <v>29</v>
      </c>
      <c r="C21" s="1510"/>
      <c r="D21" s="1511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09" t="s">
        <v>29</v>
      </c>
      <c r="G23" s="1510"/>
      <c r="H23" s="1511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12" t="s">
        <v>57</v>
      </c>
      <c r="C34" s="1513"/>
      <c r="D34" s="1514"/>
      <c r="F34" s="1512" t="s">
        <v>37</v>
      </c>
      <c r="G34" s="1513"/>
      <c r="H34" s="1514"/>
      <c r="J34" s="1512" t="s">
        <v>37</v>
      </c>
      <c r="K34" s="1513"/>
      <c r="L34" s="1514"/>
      <c r="N34" s="1512" t="s">
        <v>36</v>
      </c>
      <c r="O34" s="1513"/>
      <c r="P34" s="1514"/>
      <c r="R34" s="1512" t="s">
        <v>36</v>
      </c>
      <c r="S34" s="1513"/>
      <c r="T34" s="1514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09" t="s">
        <v>23</v>
      </c>
      <c r="C46" s="1510"/>
      <c r="D46" s="1511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09" t="s">
        <v>23</v>
      </c>
      <c r="O46" s="1510"/>
      <c r="P46" s="1511"/>
      <c r="R46" s="1509" t="s">
        <v>23</v>
      </c>
      <c r="S46" s="1510"/>
      <c r="T46" s="1511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09" t="s">
        <v>29</v>
      </c>
      <c r="C51" s="1510"/>
      <c r="D51" s="1511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09" t="s">
        <v>29</v>
      </c>
      <c r="O51" s="1510"/>
      <c r="P51" s="1511"/>
      <c r="R51" s="1509" t="s">
        <v>29</v>
      </c>
      <c r="S51" s="1510"/>
      <c r="T51" s="1511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  <mergeCell ref="F23:H23"/>
    <mergeCell ref="B4:D4"/>
    <mergeCell ref="F4:H4"/>
    <mergeCell ref="B16:D16"/>
    <mergeCell ref="F16:H16"/>
    <mergeCell ref="B21:D21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0.13500000000000001</v>
      </c>
      <c r="F3" s="584">
        <f>E3</f>
        <v>0.13500000000000001</v>
      </c>
      <c r="G3" s="586"/>
      <c r="H3" s="584">
        <v>0.14000000000000001</v>
      </c>
      <c r="I3" s="584">
        <f>Calculation!D14</f>
        <v>7.0000000000000007E-2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99999998.999999985</v>
      </c>
      <c r="E6" s="583">
        <f>Calculation!D21</f>
        <v>99999998.999999985</v>
      </c>
      <c r="F6" s="583">
        <f>E6</f>
        <v>99999998.999999985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69444.444444444438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AA16" zoomScale="80" zoomScaleNormal="80" workbookViewId="0">
      <selection activeCell="AL26" sqref="AL26"/>
    </sheetView>
  </sheetViews>
  <sheetFormatPr defaultColWidth="9.140625" defaultRowHeight="12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373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90909089.999999985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63" t="s">
        <v>61</v>
      </c>
      <c r="C4" s="1563"/>
      <c r="D4" s="1563"/>
      <c r="E4" s="1563"/>
      <c r="F4" s="1563"/>
      <c r="G4" s="1563"/>
      <c r="H4" s="1563" t="s">
        <v>62</v>
      </c>
      <c r="I4" s="1563"/>
      <c r="J4" s="1563"/>
      <c r="K4" s="1563"/>
      <c r="L4" s="1563"/>
      <c r="M4" s="1563"/>
      <c r="N4" s="1563"/>
      <c r="O4" s="1563"/>
      <c r="P4" s="1563"/>
      <c r="Q4" s="1563"/>
      <c r="R4" s="1563"/>
      <c r="S4" s="1563"/>
      <c r="T4" s="1563"/>
      <c r="U4" s="1563"/>
      <c r="V4" s="1563"/>
      <c r="W4" s="1563"/>
      <c r="X4" s="1563"/>
      <c r="Y4" s="1563"/>
      <c r="Z4" s="1563"/>
      <c r="AA4" s="1563"/>
      <c r="AB4" s="1563"/>
      <c r="AC4" s="1563"/>
      <c r="AD4" s="1563"/>
      <c r="AE4" s="1563"/>
      <c r="AF4" s="1563"/>
      <c r="AG4" s="1563"/>
      <c r="AH4" s="1563"/>
      <c r="AI4" s="1563"/>
      <c r="AJ4" s="1563"/>
      <c r="AK4" s="1563"/>
      <c r="AL4" s="1563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87" t="s">
        <v>63</v>
      </c>
      <c r="C5" s="1587"/>
      <c r="D5" s="1587"/>
      <c r="E5" s="1585"/>
      <c r="F5" s="1585"/>
      <c r="G5" s="1585"/>
      <c r="H5" s="1586" t="s">
        <v>65</v>
      </c>
      <c r="I5" s="1586"/>
      <c r="J5" s="1586"/>
      <c r="K5" s="1583" t="s">
        <v>66</v>
      </c>
      <c r="L5" s="1583"/>
      <c r="M5" s="1583"/>
      <c r="N5" s="1583" t="s">
        <v>67</v>
      </c>
      <c r="O5" s="1583"/>
      <c r="P5" s="1583"/>
      <c r="Q5" s="1583" t="s">
        <v>68</v>
      </c>
      <c r="R5" s="1583"/>
      <c r="S5" s="1583"/>
      <c r="T5" s="1583"/>
      <c r="U5" s="1583"/>
      <c r="V5" s="1073"/>
      <c r="W5" s="1583" t="s">
        <v>69</v>
      </c>
      <c r="X5" s="1583"/>
      <c r="Y5" s="1583"/>
      <c r="Z5" s="1583"/>
      <c r="AA5" s="1583"/>
      <c r="AB5" s="1073"/>
      <c r="AC5" s="1583" t="s">
        <v>70</v>
      </c>
      <c r="AD5" s="1583"/>
      <c r="AE5" s="1583"/>
      <c r="AF5" s="1583"/>
      <c r="AG5" s="1583"/>
      <c r="AH5" s="1583"/>
      <c r="AI5" s="1583"/>
      <c r="AJ5" s="1583"/>
      <c r="AK5" s="1583"/>
      <c r="AL5" s="1583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577" t="s">
        <v>71</v>
      </c>
      <c r="C6" s="1577"/>
      <c r="D6" s="1577"/>
      <c r="E6" s="1582"/>
      <c r="F6" s="1582"/>
      <c r="G6" s="1582"/>
      <c r="H6" s="1562" t="s">
        <v>72</v>
      </c>
      <c r="I6" s="1562"/>
      <c r="J6" s="1062">
        <f>AL26</f>
        <v>7266815.2882989021</v>
      </c>
      <c r="K6" s="1577" t="s">
        <v>73</v>
      </c>
      <c r="L6" s="1577"/>
      <c r="M6" s="1068">
        <f>Input　seet!D12</f>
        <v>330000000</v>
      </c>
      <c r="N6" s="1562" t="s">
        <v>74</v>
      </c>
      <c r="O6" s="1562"/>
      <c r="P6" s="1074">
        <f>Input　seet!D15+Input　seet!D16</f>
        <v>0</v>
      </c>
      <c r="Q6" s="1576" t="s">
        <v>75</v>
      </c>
      <c r="R6" s="1576"/>
      <c r="S6" s="1576"/>
      <c r="T6" s="1061" t="s">
        <v>76</v>
      </c>
      <c r="U6" s="1061" t="s">
        <v>77</v>
      </c>
      <c r="V6" s="1061"/>
      <c r="W6" s="1568" t="s">
        <v>75</v>
      </c>
      <c r="X6" s="1568"/>
      <c r="Y6" s="1568"/>
      <c r="Z6" s="1061" t="s">
        <v>76</v>
      </c>
      <c r="AA6" s="1568" t="s">
        <v>77</v>
      </c>
      <c r="AB6" s="1568"/>
      <c r="AC6" s="1568" t="s">
        <v>78</v>
      </c>
      <c r="AD6" s="1568"/>
      <c r="AE6" s="1568"/>
      <c r="AF6" s="1061" t="s">
        <v>79</v>
      </c>
      <c r="AG6" s="1061" t="s">
        <v>80</v>
      </c>
      <c r="AH6" s="1584" t="s">
        <v>81</v>
      </c>
      <c r="AI6" s="1584"/>
      <c r="AJ6" s="1584"/>
      <c r="AK6" s="1584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577" t="s">
        <v>82</v>
      </c>
      <c r="C7" s="1577"/>
      <c r="D7" s="1577"/>
      <c r="E7" s="1059">
        <v>1</v>
      </c>
      <c r="F7" s="1060">
        <v>1</v>
      </c>
      <c r="G7" s="1061">
        <v>2018</v>
      </c>
      <c r="H7" s="1562" t="s">
        <v>83</v>
      </c>
      <c r="I7" s="1562"/>
      <c r="J7" s="1063">
        <f>Calculation!D12</f>
        <v>36</v>
      </c>
      <c r="K7" s="1577" t="s">
        <v>84</v>
      </c>
      <c r="L7" s="1577"/>
      <c r="M7" s="1068">
        <f>-Input　seet!D13</f>
        <v>-4000000</v>
      </c>
      <c r="N7" s="1562" t="s">
        <v>85</v>
      </c>
      <c r="O7" s="1562"/>
      <c r="P7" s="1074">
        <f>Input　seet!D18+Input　seet!D19</f>
        <v>0</v>
      </c>
      <c r="Q7" s="1573" t="s">
        <v>86</v>
      </c>
      <c r="R7" s="1573"/>
      <c r="S7" s="1573"/>
      <c r="T7" s="1075">
        <v>2500</v>
      </c>
      <c r="U7" s="1075">
        <f>IF(T7&gt;0,T7*J7,0)</f>
        <v>90000</v>
      </c>
      <c r="V7" s="1569" t="s">
        <v>235</v>
      </c>
      <c r="W7" s="1569"/>
      <c r="X7" s="1569"/>
      <c r="Y7" s="1569"/>
      <c r="Z7" s="1075"/>
      <c r="AA7" s="1567"/>
      <c r="AB7" s="1567"/>
      <c r="AC7" s="1569" t="s">
        <v>88</v>
      </c>
      <c r="AD7" s="1569"/>
      <c r="AE7" s="1569"/>
      <c r="AF7" s="1231"/>
      <c r="AG7" s="1075">
        <f>AF7*M8</f>
        <v>0</v>
      </c>
      <c r="AH7" s="1562" t="s">
        <v>89</v>
      </c>
      <c r="AI7" s="1562"/>
      <c r="AJ7" s="1562"/>
      <c r="AK7" s="1562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577" t="s">
        <v>90</v>
      </c>
      <c r="C8" s="1577"/>
      <c r="D8" s="1577"/>
      <c r="E8" s="1059">
        <v>1</v>
      </c>
      <c r="F8" s="1060">
        <v>1</v>
      </c>
      <c r="G8" s="1059">
        <f>G7</f>
        <v>2018</v>
      </c>
      <c r="H8" s="1577" t="s">
        <v>92</v>
      </c>
      <c r="I8" s="1577"/>
      <c r="J8" s="1064" t="s">
        <v>93</v>
      </c>
      <c r="K8" s="1577" t="s">
        <v>94</v>
      </c>
      <c r="L8" s="1577"/>
      <c r="M8" s="1069">
        <f>M6+M7</f>
        <v>326000000</v>
      </c>
      <c r="N8" s="1562" t="s">
        <v>377</v>
      </c>
      <c r="O8" s="1562"/>
      <c r="P8" s="1074">
        <f>Input　seet!D40</f>
        <v>0</v>
      </c>
      <c r="Q8" s="1573" t="s">
        <v>96</v>
      </c>
      <c r="R8" s="1573"/>
      <c r="S8" s="1573"/>
      <c r="T8" s="1075"/>
      <c r="U8" s="1075">
        <f>IF(T8&gt;0,T8*J7,0)</f>
        <v>0</v>
      </c>
      <c r="V8" s="1569" t="s">
        <v>350</v>
      </c>
      <c r="W8" s="1569"/>
      <c r="X8" s="1569"/>
      <c r="Y8" s="1569"/>
      <c r="Z8" s="1075"/>
      <c r="AA8" s="1567">
        <f>Input　seet!D28</f>
        <v>0</v>
      </c>
      <c r="AB8" s="1567"/>
      <c r="AC8" s="1569" t="s">
        <v>98</v>
      </c>
      <c r="AD8" s="1569"/>
      <c r="AE8" s="1569"/>
      <c r="AF8" s="1231"/>
      <c r="AG8" s="1075">
        <f>AF8*P6</f>
        <v>0</v>
      </c>
      <c r="AH8" s="1562" t="s">
        <v>99</v>
      </c>
      <c r="AI8" s="1562"/>
      <c r="AJ8" s="1562"/>
      <c r="AK8" s="1562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581"/>
      <c r="C9" s="1581"/>
      <c r="D9" s="1581"/>
      <c r="E9" s="1582"/>
      <c r="F9" s="1582"/>
      <c r="G9" s="1582"/>
      <c r="H9" s="1577" t="s">
        <v>100</v>
      </c>
      <c r="I9" s="1577"/>
      <c r="J9" s="1064" t="s">
        <v>101</v>
      </c>
      <c r="K9" s="1577" t="s">
        <v>102</v>
      </c>
      <c r="L9" s="1577"/>
      <c r="M9" s="1070">
        <f>Input　seet!D14</f>
        <v>33000000</v>
      </c>
      <c r="N9" s="1562"/>
      <c r="O9" s="1562"/>
      <c r="P9" s="1074"/>
      <c r="Q9" s="1574" t="s">
        <v>103</v>
      </c>
      <c r="R9" s="1574"/>
      <c r="S9" s="1574"/>
      <c r="T9" s="1075">
        <v>0</v>
      </c>
      <c r="U9" s="1075">
        <f>IF(T9&gt;0,T9*J7,0)</f>
        <v>0</v>
      </c>
      <c r="V9" s="1569" t="s">
        <v>104</v>
      </c>
      <c r="W9" s="1569"/>
      <c r="X9" s="1569"/>
      <c r="Y9" s="1569"/>
      <c r="Z9" s="1075"/>
      <c r="AA9" s="1567">
        <f>Input　seet!D37</f>
        <v>2500000</v>
      </c>
      <c r="AB9" s="1567"/>
      <c r="AC9" s="1569" t="s">
        <v>105</v>
      </c>
      <c r="AD9" s="1569"/>
      <c r="AE9" s="1569"/>
      <c r="AF9" s="1231"/>
      <c r="AG9" s="1075">
        <f>AF9*P7</f>
        <v>0</v>
      </c>
      <c r="AH9" s="1562" t="s">
        <v>106</v>
      </c>
      <c r="AI9" s="1562"/>
      <c r="AJ9" s="1562"/>
      <c r="AK9" s="1562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562" t="s">
        <v>107</v>
      </c>
      <c r="C10" s="1562"/>
      <c r="D10" s="1562"/>
      <c r="E10" s="1562"/>
      <c r="F10" s="1562"/>
      <c r="G10" s="1101">
        <f>G14+5%</f>
        <v>0.12000000000000001</v>
      </c>
      <c r="H10" s="1577" t="s">
        <v>108</v>
      </c>
      <c r="I10" s="1577"/>
      <c r="J10" s="1064">
        <f>Calculation!C46</f>
        <v>14</v>
      </c>
      <c r="K10" s="1577" t="s">
        <v>109</v>
      </c>
      <c r="L10" s="1577"/>
      <c r="M10" s="1071"/>
      <c r="N10" s="1562" t="s">
        <v>110</v>
      </c>
      <c r="O10" s="1562"/>
      <c r="P10" s="1074">
        <f>P6+P7+P8</f>
        <v>0</v>
      </c>
      <c r="Q10" s="1574" t="s">
        <v>111</v>
      </c>
      <c r="R10" s="1574"/>
      <c r="S10" s="1574"/>
      <c r="T10" s="1076"/>
      <c r="U10" s="1075">
        <f>IF(T10&gt;0,T10*J7,0)</f>
        <v>0</v>
      </c>
      <c r="V10" s="1569" t="s">
        <v>112</v>
      </c>
      <c r="W10" s="1569"/>
      <c r="X10" s="1569"/>
      <c r="Y10" s="1077">
        <v>4.8611111111111112E-2</v>
      </c>
      <c r="Z10" s="1075"/>
      <c r="AA10" s="1567">
        <f>Input　seet!D34</f>
        <v>0</v>
      </c>
      <c r="AB10" s="1567"/>
      <c r="AC10" s="1569" t="s">
        <v>381</v>
      </c>
      <c r="AD10" s="1569"/>
      <c r="AE10" s="1569"/>
      <c r="AF10" s="1075"/>
      <c r="AG10" s="1232">
        <v>3</v>
      </c>
      <c r="AH10" s="1562" t="s">
        <v>114</v>
      </c>
      <c r="AI10" s="1562"/>
      <c r="AJ10" s="1562"/>
      <c r="AK10" s="1562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562" t="s">
        <v>115</v>
      </c>
      <c r="C11" s="1562"/>
      <c r="D11" s="1562"/>
      <c r="E11" s="1562"/>
      <c r="F11" s="1562"/>
      <c r="G11" s="1102"/>
      <c r="H11" s="1577"/>
      <c r="I11" s="1577"/>
      <c r="J11" s="1065"/>
      <c r="K11" s="1578" t="s">
        <v>116</v>
      </c>
      <c r="L11" s="1578"/>
      <c r="M11" s="1072">
        <f>Input　seet!D43</f>
        <v>22000000</v>
      </c>
      <c r="N11" s="1562" t="s">
        <v>117</v>
      </c>
      <c r="O11" s="1562"/>
      <c r="P11" s="1074">
        <f>Input　seet!D17</f>
        <v>0</v>
      </c>
      <c r="Q11" s="1574" t="s">
        <v>118</v>
      </c>
      <c r="R11" s="1574"/>
      <c r="S11" s="1574"/>
      <c r="T11" s="1076">
        <f>Input　seet!D32</f>
        <v>0</v>
      </c>
      <c r="U11" s="1075">
        <f>IF(T11&gt;0,T11*J7,0)</f>
        <v>0</v>
      </c>
      <c r="V11" s="1569" t="s">
        <v>236</v>
      </c>
      <c r="W11" s="1569"/>
      <c r="X11" s="1569"/>
      <c r="Y11" s="1569"/>
      <c r="Z11" s="1075"/>
      <c r="AA11" s="1567">
        <f>AA8*25%</f>
        <v>0</v>
      </c>
      <c r="AB11" s="1567"/>
      <c r="AC11" s="1569" t="s">
        <v>382</v>
      </c>
      <c r="AD11" s="1569"/>
      <c r="AE11" s="1569"/>
      <c r="AF11" s="1075"/>
      <c r="AG11" s="1232">
        <v>3</v>
      </c>
      <c r="AH11" s="1562" t="s">
        <v>121</v>
      </c>
      <c r="AI11" s="1562"/>
      <c r="AJ11" s="1562"/>
      <c r="AK11" s="1562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562" t="s">
        <v>122</v>
      </c>
      <c r="C12" s="1562"/>
      <c r="D12" s="1562"/>
      <c r="E12" s="1562"/>
      <c r="F12" s="1562"/>
      <c r="G12" s="1102"/>
      <c r="H12" s="1580" t="s">
        <v>123</v>
      </c>
      <c r="I12" s="1580"/>
      <c r="J12" s="1064"/>
      <c r="K12" s="1577" t="s">
        <v>124</v>
      </c>
      <c r="L12" s="1577"/>
      <c r="M12" s="1069">
        <f>M11*10%</f>
        <v>2200000</v>
      </c>
      <c r="N12" s="1562" t="s">
        <v>125</v>
      </c>
      <c r="O12" s="1562"/>
      <c r="P12" s="1078">
        <f>Input　seet!D20</f>
        <v>0</v>
      </c>
      <c r="Q12" s="1575"/>
      <c r="R12" s="1575"/>
      <c r="S12" s="1575"/>
      <c r="T12" s="1570"/>
      <c r="U12" s="1570"/>
      <c r="V12" s="1572"/>
      <c r="W12" s="1572"/>
      <c r="X12" s="1572"/>
      <c r="Y12" s="1572"/>
      <c r="Z12" s="1572"/>
      <c r="AA12" s="1567"/>
      <c r="AB12" s="1567"/>
      <c r="AC12" s="1569" t="s">
        <v>383</v>
      </c>
      <c r="AD12" s="1569"/>
      <c r="AE12" s="1569"/>
      <c r="AF12" s="1075"/>
      <c r="AG12" s="1232">
        <v>3</v>
      </c>
      <c r="AH12" s="1562" t="s">
        <v>127</v>
      </c>
      <c r="AI12" s="1562"/>
      <c r="AJ12" s="1562"/>
      <c r="AK12" s="1562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562" t="s">
        <v>128</v>
      </c>
      <c r="C13" s="1562"/>
      <c r="D13" s="1562"/>
      <c r="E13" s="1562"/>
      <c r="F13" s="1562"/>
      <c r="G13" s="1102">
        <f>Calculation!D13</f>
        <v>0.13500000000000001</v>
      </c>
      <c r="H13" s="1577"/>
      <c r="I13" s="1577"/>
      <c r="J13" s="1066"/>
      <c r="K13" s="1579" t="s">
        <v>129</v>
      </c>
      <c r="L13" s="1579"/>
      <c r="M13" s="1069">
        <f>M11*15%</f>
        <v>3300000</v>
      </c>
      <c r="N13" s="1562" t="s">
        <v>130</v>
      </c>
      <c r="O13" s="1562"/>
      <c r="P13" s="1078"/>
      <c r="Q13" s="1598" t="s">
        <v>131</v>
      </c>
      <c r="R13" s="1598"/>
      <c r="S13" s="1598"/>
      <c r="T13" s="1615"/>
      <c r="U13" s="1615"/>
      <c r="V13" s="1572"/>
      <c r="W13" s="1572"/>
      <c r="X13" s="1572"/>
      <c r="Y13" s="1572"/>
      <c r="Z13" s="1572"/>
      <c r="AA13" s="1567"/>
      <c r="AB13" s="1567"/>
      <c r="AC13" s="1079"/>
      <c r="AD13" s="1079"/>
      <c r="AE13" s="1079"/>
      <c r="AF13" s="1572"/>
      <c r="AG13" s="1572"/>
      <c r="AH13" s="1562"/>
      <c r="AI13" s="1562"/>
      <c r="AJ13" s="1562"/>
      <c r="AK13" s="1562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562" t="s">
        <v>132</v>
      </c>
      <c r="C14" s="1562"/>
      <c r="D14" s="1562"/>
      <c r="E14" s="1562"/>
      <c r="F14" s="1562"/>
      <c r="G14" s="1102">
        <f>Calculation!D14</f>
        <v>7.0000000000000007E-2</v>
      </c>
      <c r="H14" s="1577"/>
      <c r="I14" s="1577"/>
      <c r="J14" s="1067"/>
      <c r="K14" s="1578" t="s">
        <v>133</v>
      </c>
      <c r="L14" s="1578"/>
      <c r="M14" s="1186">
        <f>Input　seet!D22</f>
        <v>99999998.999999985</v>
      </c>
      <c r="N14" s="1562" t="s">
        <v>134</v>
      </c>
      <c r="O14" s="1562"/>
      <c r="P14" s="1071"/>
      <c r="Q14" s="1598"/>
      <c r="R14" s="1598"/>
      <c r="S14" s="1598"/>
      <c r="T14" s="1571">
        <v>1</v>
      </c>
      <c r="U14" s="1571"/>
      <c r="V14" s="1572"/>
      <c r="W14" s="1572"/>
      <c r="X14" s="1572"/>
      <c r="Y14" s="1572"/>
      <c r="Z14" s="1572"/>
      <c r="AA14" s="1567"/>
      <c r="AB14" s="1567"/>
      <c r="AC14" s="1079"/>
      <c r="AD14" s="1079"/>
      <c r="AE14" s="1079"/>
      <c r="AF14" s="1572"/>
      <c r="AG14" s="1572"/>
      <c r="AH14" s="1562"/>
      <c r="AI14" s="1562"/>
      <c r="AJ14" s="1562"/>
      <c r="AK14" s="1562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562" t="s">
        <v>135</v>
      </c>
      <c r="C15" s="1562"/>
      <c r="D15" s="1562"/>
      <c r="E15" s="1562"/>
      <c r="F15" s="1562"/>
      <c r="G15" s="1101">
        <f>G13-G14</f>
        <v>6.5000000000000002E-2</v>
      </c>
      <c r="H15" s="1577"/>
      <c r="I15" s="1577"/>
      <c r="J15" s="1067"/>
      <c r="K15" s="1577" t="s">
        <v>136</v>
      </c>
      <c r="L15" s="1577"/>
      <c r="M15" s="1185">
        <f>M14-(M14/1.1)</f>
        <v>9090909</v>
      </c>
      <c r="N15" s="1562"/>
      <c r="O15" s="1562"/>
      <c r="P15" s="1080"/>
      <c r="Q15" s="1576"/>
      <c r="R15" s="1576"/>
      <c r="S15" s="1576"/>
      <c r="T15" s="1568"/>
      <c r="U15" s="1568"/>
      <c r="V15" s="1572"/>
      <c r="W15" s="1572"/>
      <c r="X15" s="1572"/>
      <c r="Y15" s="1572"/>
      <c r="Z15" s="1572"/>
      <c r="AA15" s="1567"/>
      <c r="AB15" s="1567"/>
      <c r="AC15" s="1079"/>
      <c r="AD15" s="1079"/>
      <c r="AE15" s="1079"/>
      <c r="AF15" s="1572"/>
      <c r="AG15" s="1572"/>
      <c r="AH15" s="1562"/>
      <c r="AI15" s="1562"/>
      <c r="AJ15" s="1562"/>
      <c r="AK15" s="1562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515" t="s">
        <v>137</v>
      </c>
      <c r="C17" s="1515" t="s">
        <v>368</v>
      </c>
      <c r="D17" s="1564" t="s">
        <v>139</v>
      </c>
      <c r="E17" s="1599" t="s">
        <v>140</v>
      </c>
      <c r="F17" s="1600"/>
      <c r="G17" s="1600"/>
      <c r="H17" s="1600"/>
      <c r="I17" s="1600"/>
      <c r="J17" s="1600"/>
      <c r="K17" s="1600"/>
      <c r="L17" s="1600"/>
      <c r="M17" s="1600"/>
      <c r="N17" s="1600"/>
      <c r="O17" s="1600"/>
      <c r="P17" s="1600"/>
      <c r="Q17" s="1600"/>
      <c r="R17" s="1600"/>
      <c r="S17" s="1600"/>
      <c r="T17" s="1600"/>
      <c r="U17" s="1601" t="s">
        <v>340</v>
      </c>
      <c r="V17" s="1595" t="s">
        <v>344</v>
      </c>
      <c r="W17" s="1599" t="s">
        <v>142</v>
      </c>
      <c r="X17" s="1600"/>
      <c r="Y17" s="1600"/>
      <c r="Z17" s="1600"/>
      <c r="AA17" s="1600"/>
      <c r="AB17" s="1518" t="s">
        <v>288</v>
      </c>
      <c r="AC17" s="1604" t="s">
        <v>341</v>
      </c>
      <c r="AD17" s="1607" t="s">
        <v>342</v>
      </c>
      <c r="AE17" s="1521" t="s">
        <v>346</v>
      </c>
      <c r="AF17" s="1521" t="s">
        <v>345</v>
      </c>
      <c r="AG17" s="1524" t="s">
        <v>347</v>
      </c>
      <c r="AH17" s="1524" t="s">
        <v>348</v>
      </c>
      <c r="AI17" s="1618" t="s">
        <v>349</v>
      </c>
      <c r="AJ17" s="1621" t="s">
        <v>146</v>
      </c>
      <c r="AK17" s="1622"/>
      <c r="AL17" s="1622"/>
      <c r="AM17" s="1622"/>
      <c r="AN17" s="1623"/>
      <c r="AO17" s="1621" t="s">
        <v>147</v>
      </c>
      <c r="AP17" s="1622"/>
      <c r="AQ17" s="1622"/>
      <c r="AR17" s="1623"/>
      <c r="AS17" s="1629" t="s">
        <v>148</v>
      </c>
      <c r="AT17" s="1649" t="s">
        <v>151</v>
      </c>
    </row>
    <row r="18" spans="1:61" s="680" customFormat="1" ht="18" customHeight="1">
      <c r="B18" s="1516"/>
      <c r="C18" s="1516"/>
      <c r="D18" s="1565"/>
      <c r="E18" s="1588" t="s">
        <v>266</v>
      </c>
      <c r="F18" s="1592"/>
      <c r="G18" s="1592" t="s">
        <v>267</v>
      </c>
      <c r="H18" s="1592"/>
      <c r="I18" s="1592" t="s">
        <v>268</v>
      </c>
      <c r="J18" s="1592"/>
      <c r="K18" s="1592" t="s">
        <v>269</v>
      </c>
      <c r="L18" s="1592"/>
      <c r="M18" s="1612" t="s">
        <v>157</v>
      </c>
      <c r="N18" s="1627" t="s">
        <v>338</v>
      </c>
      <c r="O18" s="1612" t="s">
        <v>159</v>
      </c>
      <c r="P18" s="1592" t="s">
        <v>270</v>
      </c>
      <c r="Q18" s="1617"/>
      <c r="R18" s="1610" t="s">
        <v>161</v>
      </c>
      <c r="S18" s="1610" t="s">
        <v>384</v>
      </c>
      <c r="T18" s="1612" t="s">
        <v>339</v>
      </c>
      <c r="U18" s="1602"/>
      <c r="V18" s="1596"/>
      <c r="W18" s="1558" t="s">
        <v>271</v>
      </c>
      <c r="X18" s="1594"/>
      <c r="Y18" s="1594" t="s">
        <v>272</v>
      </c>
      <c r="Z18" s="1594"/>
      <c r="AA18" s="1594"/>
      <c r="AB18" s="1519"/>
      <c r="AC18" s="1605"/>
      <c r="AD18" s="1608"/>
      <c r="AE18" s="1522"/>
      <c r="AF18" s="1522"/>
      <c r="AG18" s="1525"/>
      <c r="AH18" s="1525"/>
      <c r="AI18" s="1619"/>
      <c r="AJ18" s="1637" t="s">
        <v>284</v>
      </c>
      <c r="AK18" s="1640" t="s">
        <v>167</v>
      </c>
      <c r="AL18" s="1643" t="s">
        <v>168</v>
      </c>
      <c r="AM18" s="1640" t="s">
        <v>169</v>
      </c>
      <c r="AN18" s="1646" t="s">
        <v>170</v>
      </c>
      <c r="AO18" s="1632" t="s">
        <v>171</v>
      </c>
      <c r="AP18" s="1635" t="s">
        <v>172</v>
      </c>
      <c r="AQ18" s="1624" t="s">
        <v>173</v>
      </c>
      <c r="AR18" s="1118" t="s">
        <v>174</v>
      </c>
      <c r="AS18" s="1630"/>
      <c r="AT18" s="1650"/>
    </row>
    <row r="19" spans="1:61" s="680" customFormat="1" ht="18" customHeight="1">
      <c r="B19" s="1516"/>
      <c r="C19" s="1516"/>
      <c r="D19" s="1565"/>
      <c r="E19" s="1588" t="s">
        <v>343</v>
      </c>
      <c r="F19" s="1590" t="s">
        <v>182</v>
      </c>
      <c r="G19" s="1592" t="s">
        <v>181</v>
      </c>
      <c r="H19" s="1590" t="s">
        <v>182</v>
      </c>
      <c r="I19" s="1592" t="s">
        <v>181</v>
      </c>
      <c r="J19" s="1590" t="s">
        <v>182</v>
      </c>
      <c r="K19" s="1592" t="s">
        <v>183</v>
      </c>
      <c r="L19" s="1590" t="s">
        <v>182</v>
      </c>
      <c r="M19" s="1612"/>
      <c r="N19" s="1627"/>
      <c r="O19" s="1612"/>
      <c r="P19" s="1592" t="s">
        <v>183</v>
      </c>
      <c r="Q19" s="1590" t="s">
        <v>182</v>
      </c>
      <c r="R19" s="1610"/>
      <c r="S19" s="1610"/>
      <c r="T19" s="1612"/>
      <c r="U19" s="1602"/>
      <c r="V19" s="1596"/>
      <c r="W19" s="1558" t="s">
        <v>184</v>
      </c>
      <c r="X19" s="1560" t="s">
        <v>169</v>
      </c>
      <c r="Y19" s="1594" t="s">
        <v>185</v>
      </c>
      <c r="Z19" s="1592" t="s">
        <v>169</v>
      </c>
      <c r="AA19" s="1592" t="s">
        <v>170</v>
      </c>
      <c r="AB19" s="1519"/>
      <c r="AC19" s="1605"/>
      <c r="AD19" s="1608"/>
      <c r="AE19" s="1522"/>
      <c r="AF19" s="1522"/>
      <c r="AG19" s="1525"/>
      <c r="AH19" s="1525"/>
      <c r="AI19" s="1619"/>
      <c r="AJ19" s="1638"/>
      <c r="AK19" s="1641"/>
      <c r="AL19" s="1644"/>
      <c r="AM19" s="1641"/>
      <c r="AN19" s="1647"/>
      <c r="AO19" s="1633"/>
      <c r="AP19" s="1635"/>
      <c r="AQ19" s="1625"/>
      <c r="AR19" s="1119"/>
      <c r="AS19" s="1630"/>
      <c r="AT19" s="1650"/>
    </row>
    <row r="20" spans="1:61" s="680" customFormat="1" ht="30.75" customHeight="1" thickBot="1">
      <c r="B20" s="1517"/>
      <c r="C20" s="1517"/>
      <c r="D20" s="1566"/>
      <c r="E20" s="1589"/>
      <c r="F20" s="1591"/>
      <c r="G20" s="1593"/>
      <c r="H20" s="1591"/>
      <c r="I20" s="1593"/>
      <c r="J20" s="1591"/>
      <c r="K20" s="1593"/>
      <c r="L20" s="1591"/>
      <c r="M20" s="1613"/>
      <c r="N20" s="1628"/>
      <c r="O20" s="1613"/>
      <c r="P20" s="1593"/>
      <c r="Q20" s="1591"/>
      <c r="R20" s="1611"/>
      <c r="S20" s="1611"/>
      <c r="T20" s="1613"/>
      <c r="U20" s="1603"/>
      <c r="V20" s="1597"/>
      <c r="W20" s="1559"/>
      <c r="X20" s="1561"/>
      <c r="Y20" s="1616"/>
      <c r="Z20" s="1614"/>
      <c r="AA20" s="1614"/>
      <c r="AB20" s="1520"/>
      <c r="AC20" s="1606"/>
      <c r="AD20" s="1609"/>
      <c r="AE20" s="1523"/>
      <c r="AF20" s="1523"/>
      <c r="AG20" s="1526"/>
      <c r="AH20" s="1526"/>
      <c r="AI20" s="1620"/>
      <c r="AJ20" s="1639"/>
      <c r="AK20" s="1642"/>
      <c r="AL20" s="1645"/>
      <c r="AM20" s="1642"/>
      <c r="AN20" s="1648"/>
      <c r="AO20" s="1634"/>
      <c r="AP20" s="1636"/>
      <c r="AQ20" s="1626"/>
      <c r="AR20" s="1120"/>
      <c r="AS20" s="1631"/>
      <c r="AT20" s="1651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4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4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4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-293000000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0</v>
      </c>
      <c r="O25" s="1082">
        <f>-AA7</f>
        <v>0</v>
      </c>
      <c r="P25" s="1082"/>
      <c r="Q25" s="1094"/>
      <c r="R25" s="1082">
        <f>(SUM(E25:Q25)+T25+U22+U23+U24)*G14*J10/360</f>
        <v>-797611.11111111124</v>
      </c>
      <c r="S25" s="1082"/>
      <c r="T25" s="1082"/>
      <c r="U25" s="1083">
        <f t="shared" si="6"/>
        <v>-293797611.1111111</v>
      </c>
      <c r="V25" s="1104">
        <f>M25+P25+T25+N25</f>
        <v>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-293797611.1111111</v>
      </c>
      <c r="AE25" s="1083">
        <f>(U25-V25)+AC25</f>
        <v>-293797611.1111111</v>
      </c>
      <c r="AF25" s="1082">
        <f>V25</f>
        <v>0</v>
      </c>
      <c r="AG25" s="1082">
        <f>PV($G$13/12,$B25,0,$AE25*-1,0)</f>
        <v>-293797611.1111111</v>
      </c>
      <c r="AH25" s="1082">
        <f>PV($G$14/12,$B25,0,$AF25*-1,0)</f>
        <v>0</v>
      </c>
      <c r="AI25" s="1116">
        <f>AG25+AH25</f>
        <v>-293797611.1111111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0</v>
      </c>
      <c r="Q26" s="1094"/>
      <c r="R26" s="1082"/>
      <c r="S26" s="1082"/>
      <c r="T26" s="1082">
        <f t="shared" ref="T26:T57" si="14">IF($AT26&lt;=$J$7,($AA$10/$J$7)*-1,0)</f>
        <v>0</v>
      </c>
      <c r="U26" s="1083">
        <f t="shared" si="6"/>
        <v>0</v>
      </c>
      <c r="V26" s="1104">
        <f t="shared" ref="V26:V89" si="15">M26+P26+T26+N26</f>
        <v>0</v>
      </c>
      <c r="W26" s="1087">
        <f t="shared" si="10"/>
        <v>0</v>
      </c>
      <c r="X26" s="1094"/>
      <c r="Y26" s="1082">
        <f>M11</f>
        <v>22000000</v>
      </c>
      <c r="Z26" s="1082">
        <v>0</v>
      </c>
      <c r="AA26" s="1082"/>
      <c r="AB26" s="1203">
        <f>IF(B26&lt;=($J$7-1),($AA$11/($J$7/12)),)</f>
        <v>0</v>
      </c>
      <c r="AC26" s="1208">
        <f>SUM(W26:AB26)-X26-Z26</f>
        <v>22000000</v>
      </c>
      <c r="AD26" s="1112">
        <f>U26+AC26</f>
        <v>22000000</v>
      </c>
      <c r="AE26" s="1083">
        <f>(U26-V26)+AC26</f>
        <v>22000000</v>
      </c>
      <c r="AF26" s="1082">
        <f t="shared" si="9"/>
        <v>0</v>
      </c>
      <c r="AG26" s="1082">
        <f t="shared" ref="AG26:AG56" si="16">PV($G$13/12,$B26,0,$AE26*-1,0)</f>
        <v>21755253.399258345</v>
      </c>
      <c r="AH26" s="1082">
        <f t="shared" ref="AH26:AH56" si="17">PV($G$14/12,$B26,0,$AF26*-1,0)</f>
        <v>0</v>
      </c>
      <c r="AI26" s="1116">
        <f>AG26+AH26</f>
        <v>21755253.399258345</v>
      </c>
      <c r="AJ26" s="1087">
        <f>PMT($G$13/12,$J$7,$AI$91,,0)</f>
        <v>7266815.2882989021</v>
      </c>
      <c r="AK26" s="1094"/>
      <c r="AL26" s="1129">
        <f>AJ26</f>
        <v>7266815.2882989021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0</v>
      </c>
      <c r="Q27" s="1094"/>
      <c r="R27" s="1082"/>
      <c r="S27" s="1082"/>
      <c r="T27" s="1082">
        <f t="shared" si="14"/>
        <v>0</v>
      </c>
      <c r="U27" s="1083">
        <f t="shared" si="6"/>
        <v>0</v>
      </c>
      <c r="V27" s="1104">
        <f t="shared" si="15"/>
        <v>0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0</v>
      </c>
      <c r="AE27" s="1083">
        <f t="shared" si="8"/>
        <v>0</v>
      </c>
      <c r="AF27" s="1082">
        <f t="shared" si="9"/>
        <v>0</v>
      </c>
      <c r="AG27" s="1082">
        <f t="shared" si="16"/>
        <v>0</v>
      </c>
      <c r="AH27" s="1082">
        <f t="shared" si="17"/>
        <v>0</v>
      </c>
      <c r="AI27" s="1116">
        <f t="shared" ref="AI27:AI89" si="20">AG27+AH27</f>
        <v>0</v>
      </c>
      <c r="AJ27" s="1087">
        <f t="shared" ref="AJ27:AJ58" si="21">IF(AT27&lt;=$J$7,AJ26,0)</f>
        <v>7266815.2882989021</v>
      </c>
      <c r="AK27" s="1094"/>
      <c r="AL27" s="1129">
        <f>AJ27</f>
        <v>7266815.2882989021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0</v>
      </c>
      <c r="Q28" s="1094"/>
      <c r="R28" s="1082"/>
      <c r="S28" s="1082"/>
      <c r="T28" s="1082">
        <f t="shared" si="14"/>
        <v>0</v>
      </c>
      <c r="U28" s="1083">
        <f t="shared" si="6"/>
        <v>0</v>
      </c>
      <c r="V28" s="1104">
        <f t="shared" si="15"/>
        <v>0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0</v>
      </c>
      <c r="AE28" s="1083">
        <f t="shared" si="8"/>
        <v>0</v>
      </c>
      <c r="AF28" s="1082">
        <f t="shared" si="9"/>
        <v>0</v>
      </c>
      <c r="AG28" s="1082">
        <f t="shared" si="16"/>
        <v>0</v>
      </c>
      <c r="AH28" s="1082">
        <f t="shared" si="17"/>
        <v>0</v>
      </c>
      <c r="AI28" s="1116">
        <f t="shared" si="20"/>
        <v>0</v>
      </c>
      <c r="AJ28" s="1087">
        <f t="shared" si="21"/>
        <v>7266815.2882989021</v>
      </c>
      <c r="AK28" s="1094"/>
      <c r="AL28" s="1129">
        <f t="shared" ref="AL28:AL90" si="22">AJ28</f>
        <v>7266815.2882989021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0</v>
      </c>
      <c r="Q29" s="1094"/>
      <c r="R29" s="1082"/>
      <c r="S29" s="1082"/>
      <c r="T29" s="1082">
        <f t="shared" si="14"/>
        <v>0</v>
      </c>
      <c r="U29" s="1083">
        <f t="shared" si="6"/>
        <v>0</v>
      </c>
      <c r="V29" s="1104">
        <f t="shared" si="15"/>
        <v>0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0</v>
      </c>
      <c r="AE29" s="1083">
        <f t="shared" si="8"/>
        <v>0</v>
      </c>
      <c r="AF29" s="1082">
        <f t="shared" si="9"/>
        <v>0</v>
      </c>
      <c r="AG29" s="1082">
        <f t="shared" si="16"/>
        <v>0</v>
      </c>
      <c r="AH29" s="1082">
        <f t="shared" si="17"/>
        <v>0</v>
      </c>
      <c r="AI29" s="1116">
        <f t="shared" si="20"/>
        <v>0</v>
      </c>
      <c r="AJ29" s="1087">
        <f t="shared" si="21"/>
        <v>7266815.2882989021</v>
      </c>
      <c r="AK29" s="1094"/>
      <c r="AL29" s="1129">
        <f t="shared" si="22"/>
        <v>7266815.2882989021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0</v>
      </c>
      <c r="Q30" s="1094"/>
      <c r="R30" s="1082"/>
      <c r="S30" s="1082"/>
      <c r="T30" s="1082">
        <f t="shared" si="14"/>
        <v>0</v>
      </c>
      <c r="U30" s="1083">
        <f t="shared" si="6"/>
        <v>0</v>
      </c>
      <c r="V30" s="1104">
        <f t="shared" si="15"/>
        <v>0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0</v>
      </c>
      <c r="AE30" s="1083">
        <f t="shared" si="8"/>
        <v>0</v>
      </c>
      <c r="AF30" s="1082">
        <f t="shared" si="9"/>
        <v>0</v>
      </c>
      <c r="AG30" s="1082">
        <f t="shared" si="16"/>
        <v>0</v>
      </c>
      <c r="AH30" s="1082">
        <f t="shared" si="17"/>
        <v>0</v>
      </c>
      <c r="AI30" s="1116">
        <f t="shared" si="20"/>
        <v>0</v>
      </c>
      <c r="AJ30" s="1087">
        <f t="shared" si="21"/>
        <v>7266815.2882989021</v>
      </c>
      <c r="AK30" s="1094"/>
      <c r="AL30" s="1129">
        <f>AJ30</f>
        <v>7266815.2882989021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0</v>
      </c>
      <c r="Q31" s="1094"/>
      <c r="R31" s="1082"/>
      <c r="S31" s="1082"/>
      <c r="T31" s="1082">
        <f t="shared" si="14"/>
        <v>0</v>
      </c>
      <c r="U31" s="1083">
        <f t="shared" si="6"/>
        <v>0</v>
      </c>
      <c r="V31" s="1104">
        <f t="shared" si="15"/>
        <v>0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0</v>
      </c>
      <c r="AE31" s="1083">
        <f t="shared" si="8"/>
        <v>0</v>
      </c>
      <c r="AF31" s="1082">
        <f t="shared" si="9"/>
        <v>0</v>
      </c>
      <c r="AG31" s="1082">
        <f t="shared" si="16"/>
        <v>0</v>
      </c>
      <c r="AH31" s="1082">
        <f t="shared" si="17"/>
        <v>0</v>
      </c>
      <c r="AI31" s="1116">
        <f t="shared" si="20"/>
        <v>0</v>
      </c>
      <c r="AJ31" s="1087">
        <f t="shared" si="21"/>
        <v>7266815.2882989021</v>
      </c>
      <c r="AK31" s="1094"/>
      <c r="AL31" s="1129">
        <f t="shared" si="22"/>
        <v>7266815.2882989021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0</v>
      </c>
      <c r="Q32" s="1094"/>
      <c r="R32" s="1082"/>
      <c r="S32" s="1082"/>
      <c r="T32" s="1082">
        <f t="shared" si="14"/>
        <v>0</v>
      </c>
      <c r="U32" s="1083">
        <f t="shared" si="6"/>
        <v>0</v>
      </c>
      <c r="V32" s="1104">
        <f t="shared" si="15"/>
        <v>0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0</v>
      </c>
      <c r="AE32" s="1083">
        <f t="shared" si="8"/>
        <v>0</v>
      </c>
      <c r="AF32" s="1082">
        <f t="shared" si="9"/>
        <v>0</v>
      </c>
      <c r="AG32" s="1082">
        <f t="shared" si="16"/>
        <v>0</v>
      </c>
      <c r="AH32" s="1082">
        <f t="shared" si="17"/>
        <v>0</v>
      </c>
      <c r="AI32" s="1116">
        <f t="shared" si="20"/>
        <v>0</v>
      </c>
      <c r="AJ32" s="1087">
        <f t="shared" si="21"/>
        <v>7266815.2882989021</v>
      </c>
      <c r="AK32" s="1094"/>
      <c r="AL32" s="1129">
        <f t="shared" si="22"/>
        <v>7266815.2882989021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0</v>
      </c>
      <c r="Q33" s="1094"/>
      <c r="R33" s="1082"/>
      <c r="S33" s="1082"/>
      <c r="T33" s="1082">
        <f t="shared" si="14"/>
        <v>0</v>
      </c>
      <c r="U33" s="1083">
        <f t="shared" si="6"/>
        <v>0</v>
      </c>
      <c r="V33" s="1104">
        <f t="shared" si="15"/>
        <v>0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0</v>
      </c>
      <c r="AE33" s="1083">
        <f t="shared" si="8"/>
        <v>0</v>
      </c>
      <c r="AF33" s="1082">
        <f t="shared" si="9"/>
        <v>0</v>
      </c>
      <c r="AG33" s="1082">
        <f t="shared" si="16"/>
        <v>0</v>
      </c>
      <c r="AH33" s="1082">
        <f t="shared" si="17"/>
        <v>0</v>
      </c>
      <c r="AI33" s="1116">
        <f t="shared" si="20"/>
        <v>0</v>
      </c>
      <c r="AJ33" s="1087">
        <f t="shared" si="21"/>
        <v>7266815.2882989021</v>
      </c>
      <c r="AK33" s="1094"/>
      <c r="AL33" s="1129">
        <f t="shared" si="22"/>
        <v>7266815.2882989021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0</v>
      </c>
      <c r="Q34" s="1094"/>
      <c r="R34" s="1082"/>
      <c r="S34" s="1082"/>
      <c r="T34" s="1082">
        <f t="shared" si="14"/>
        <v>0</v>
      </c>
      <c r="U34" s="1083">
        <f t="shared" si="6"/>
        <v>0</v>
      </c>
      <c r="V34" s="1104">
        <f t="shared" si="15"/>
        <v>0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0</v>
      </c>
      <c r="AE34" s="1083">
        <f t="shared" si="8"/>
        <v>0</v>
      </c>
      <c r="AF34" s="1082">
        <f t="shared" si="9"/>
        <v>0</v>
      </c>
      <c r="AG34" s="1082">
        <f t="shared" si="16"/>
        <v>0</v>
      </c>
      <c r="AH34" s="1082">
        <f t="shared" si="17"/>
        <v>0</v>
      </c>
      <c r="AI34" s="1116">
        <f t="shared" si="20"/>
        <v>0</v>
      </c>
      <c r="AJ34" s="1087">
        <f t="shared" si="21"/>
        <v>7266815.2882989021</v>
      </c>
      <c r="AK34" s="1094"/>
      <c r="AL34" s="1129">
        <f>AJ34</f>
        <v>7266815.2882989021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0</v>
      </c>
      <c r="Q35" s="1094"/>
      <c r="R35" s="1082"/>
      <c r="S35" s="1082"/>
      <c r="T35" s="1082">
        <f t="shared" si="14"/>
        <v>0</v>
      </c>
      <c r="U35" s="1083">
        <f t="shared" si="6"/>
        <v>0</v>
      </c>
      <c r="V35" s="1104">
        <f t="shared" si="15"/>
        <v>0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0</v>
      </c>
      <c r="AE35" s="1083">
        <f t="shared" si="8"/>
        <v>0</v>
      </c>
      <c r="AF35" s="1082">
        <f t="shared" si="9"/>
        <v>0</v>
      </c>
      <c r="AG35" s="1082">
        <f t="shared" si="16"/>
        <v>0</v>
      </c>
      <c r="AH35" s="1082">
        <f t="shared" si="17"/>
        <v>0</v>
      </c>
      <c r="AI35" s="1116">
        <f t="shared" si="20"/>
        <v>0</v>
      </c>
      <c r="AJ35" s="1087">
        <f t="shared" si="21"/>
        <v>7266815.2882989021</v>
      </c>
      <c r="AK35" s="1094"/>
      <c r="AL35" s="1129">
        <f t="shared" si="22"/>
        <v>7266815.2882989021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-833333.33333333337</v>
      </c>
      <c r="N36" s="1217"/>
      <c r="O36" s="1082"/>
      <c r="P36" s="1082">
        <f t="shared" si="13"/>
        <v>0</v>
      </c>
      <c r="Q36" s="1094"/>
      <c r="R36" s="1082"/>
      <c r="S36" s="1082"/>
      <c r="T36" s="1082">
        <f t="shared" si="14"/>
        <v>0</v>
      </c>
      <c r="U36" s="1083">
        <f t="shared" si="6"/>
        <v>-833333.33333333337</v>
      </c>
      <c r="V36" s="1104">
        <f t="shared" si="15"/>
        <v>-833333.33333333337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-833333.33333333337</v>
      </c>
      <c r="AE36" s="1083">
        <f t="shared" si="8"/>
        <v>0</v>
      </c>
      <c r="AF36" s="1082">
        <f t="shared" si="9"/>
        <v>-833333.33333333337</v>
      </c>
      <c r="AG36" s="1082">
        <f t="shared" si="16"/>
        <v>0</v>
      </c>
      <c r="AH36" s="1082">
        <f t="shared" si="17"/>
        <v>-781686.28005505423</v>
      </c>
      <c r="AI36" s="1116">
        <f t="shared" si="20"/>
        <v>-781686.28005505423</v>
      </c>
      <c r="AJ36" s="1087">
        <f t="shared" si="21"/>
        <v>7266815.2882989021</v>
      </c>
      <c r="AK36" s="1094"/>
      <c r="AL36" s="1129">
        <f t="shared" si="22"/>
        <v>7266815.2882989021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0</v>
      </c>
      <c r="O37" s="1082"/>
      <c r="P37" s="1082">
        <f t="shared" si="13"/>
        <v>0</v>
      </c>
      <c r="Q37" s="1094"/>
      <c r="R37" s="1082"/>
      <c r="S37" s="1082"/>
      <c r="T37" s="1082">
        <f t="shared" si="14"/>
        <v>0</v>
      </c>
      <c r="U37" s="1083">
        <f t="shared" si="6"/>
        <v>0</v>
      </c>
      <c r="V37" s="1104">
        <f t="shared" si="15"/>
        <v>0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0</v>
      </c>
      <c r="AE37" s="1083">
        <f t="shared" si="8"/>
        <v>0</v>
      </c>
      <c r="AF37" s="1082">
        <f t="shared" si="9"/>
        <v>0</v>
      </c>
      <c r="AG37" s="1082">
        <f t="shared" si="16"/>
        <v>0</v>
      </c>
      <c r="AH37" s="1082">
        <f t="shared" si="17"/>
        <v>0</v>
      </c>
      <c r="AI37" s="1116">
        <f t="shared" si="20"/>
        <v>0</v>
      </c>
      <c r="AJ37" s="1087">
        <f t="shared" si="21"/>
        <v>7266815.2882989021</v>
      </c>
      <c r="AK37" s="1094"/>
      <c r="AL37" s="1129">
        <f t="shared" si="22"/>
        <v>7266815.2882989021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0</v>
      </c>
      <c r="Q38" s="1094"/>
      <c r="R38" s="1082"/>
      <c r="S38" s="1082"/>
      <c r="T38" s="1082">
        <f t="shared" si="14"/>
        <v>0</v>
      </c>
      <c r="U38" s="1083">
        <f t="shared" si="6"/>
        <v>0</v>
      </c>
      <c r="V38" s="1104">
        <f t="shared" si="15"/>
        <v>0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0</v>
      </c>
      <c r="AC38" s="1208">
        <f t="shared" si="19"/>
        <v>0</v>
      </c>
      <c r="AD38" s="1112">
        <f t="shared" si="7"/>
        <v>0</v>
      </c>
      <c r="AE38" s="1083">
        <f t="shared" si="8"/>
        <v>0</v>
      </c>
      <c r="AF38" s="1082">
        <f t="shared" si="9"/>
        <v>0</v>
      </c>
      <c r="AG38" s="1082">
        <f t="shared" si="16"/>
        <v>0</v>
      </c>
      <c r="AH38" s="1082">
        <f t="shared" si="17"/>
        <v>0</v>
      </c>
      <c r="AI38" s="1116">
        <f t="shared" si="20"/>
        <v>0</v>
      </c>
      <c r="AJ38" s="1087">
        <f t="shared" si="21"/>
        <v>7266815.2882989021</v>
      </c>
      <c r="AK38" s="1094"/>
      <c r="AL38" s="1129">
        <f t="shared" si="22"/>
        <v>7266815.2882989021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0</v>
      </c>
      <c r="Q39" s="1094"/>
      <c r="R39" s="1082"/>
      <c r="S39" s="1082"/>
      <c r="T39" s="1082">
        <f t="shared" si="14"/>
        <v>0</v>
      </c>
      <c r="U39" s="1083">
        <f t="shared" si="6"/>
        <v>0</v>
      </c>
      <c r="V39" s="1104">
        <f t="shared" si="15"/>
        <v>0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0</v>
      </c>
      <c r="AE39" s="1083">
        <f t="shared" si="8"/>
        <v>0</v>
      </c>
      <c r="AF39" s="1082">
        <f t="shared" si="9"/>
        <v>0</v>
      </c>
      <c r="AG39" s="1082">
        <f t="shared" si="16"/>
        <v>0</v>
      </c>
      <c r="AH39" s="1082">
        <f t="shared" si="17"/>
        <v>0</v>
      </c>
      <c r="AI39" s="1116">
        <f t="shared" si="20"/>
        <v>0</v>
      </c>
      <c r="AJ39" s="1087">
        <f t="shared" si="21"/>
        <v>7266815.2882989021</v>
      </c>
      <c r="AK39" s="1094"/>
      <c r="AL39" s="1129">
        <f t="shared" si="22"/>
        <v>7266815.2882989021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0</v>
      </c>
      <c r="Q40" s="1094"/>
      <c r="R40" s="1082"/>
      <c r="S40" s="1082"/>
      <c r="T40" s="1082">
        <f t="shared" si="14"/>
        <v>0</v>
      </c>
      <c r="U40" s="1083">
        <f t="shared" si="6"/>
        <v>0</v>
      </c>
      <c r="V40" s="1104">
        <f t="shared" si="15"/>
        <v>0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0</v>
      </c>
      <c r="AE40" s="1083">
        <f t="shared" si="8"/>
        <v>0</v>
      </c>
      <c r="AF40" s="1082">
        <f t="shared" si="9"/>
        <v>0</v>
      </c>
      <c r="AG40" s="1082">
        <f t="shared" si="16"/>
        <v>0</v>
      </c>
      <c r="AH40" s="1082">
        <f t="shared" si="17"/>
        <v>0</v>
      </c>
      <c r="AI40" s="1116">
        <f t="shared" si="20"/>
        <v>0</v>
      </c>
      <c r="AJ40" s="1087">
        <f t="shared" si="21"/>
        <v>7266815.2882989021</v>
      </c>
      <c r="AK40" s="1094"/>
      <c r="AL40" s="1129">
        <f t="shared" si="22"/>
        <v>7266815.2882989021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0</v>
      </c>
      <c r="Q41" s="1094"/>
      <c r="R41" s="1082"/>
      <c r="S41" s="1082"/>
      <c r="T41" s="1082">
        <f t="shared" si="14"/>
        <v>0</v>
      </c>
      <c r="U41" s="1083">
        <f t="shared" si="6"/>
        <v>0</v>
      </c>
      <c r="V41" s="1104">
        <f t="shared" si="15"/>
        <v>0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0</v>
      </c>
      <c r="AE41" s="1083">
        <f t="shared" si="8"/>
        <v>0</v>
      </c>
      <c r="AF41" s="1082">
        <f t="shared" si="9"/>
        <v>0</v>
      </c>
      <c r="AG41" s="1082">
        <f t="shared" si="16"/>
        <v>0</v>
      </c>
      <c r="AH41" s="1082">
        <f t="shared" si="17"/>
        <v>0</v>
      </c>
      <c r="AI41" s="1116">
        <f t="shared" si="20"/>
        <v>0</v>
      </c>
      <c r="AJ41" s="1087">
        <f t="shared" si="21"/>
        <v>7266815.2882989021</v>
      </c>
      <c r="AK41" s="1094"/>
      <c r="AL41" s="1129">
        <f t="shared" si="22"/>
        <v>7266815.2882989021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0</v>
      </c>
      <c r="Q42" s="1094"/>
      <c r="R42" s="1082"/>
      <c r="S42" s="1082"/>
      <c r="T42" s="1082">
        <f t="shared" si="14"/>
        <v>0</v>
      </c>
      <c r="U42" s="1083">
        <f t="shared" si="6"/>
        <v>0</v>
      </c>
      <c r="V42" s="1104">
        <f t="shared" si="15"/>
        <v>0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0</v>
      </c>
      <c r="AE42" s="1083">
        <f t="shared" si="8"/>
        <v>0</v>
      </c>
      <c r="AF42" s="1082">
        <f t="shared" si="9"/>
        <v>0</v>
      </c>
      <c r="AG42" s="1082">
        <f t="shared" si="16"/>
        <v>0</v>
      </c>
      <c r="AH42" s="1082">
        <f t="shared" si="17"/>
        <v>0</v>
      </c>
      <c r="AI42" s="1116">
        <f t="shared" si="20"/>
        <v>0</v>
      </c>
      <c r="AJ42" s="1087">
        <f t="shared" si="21"/>
        <v>7266815.2882989021</v>
      </c>
      <c r="AK42" s="1094"/>
      <c r="AL42" s="1129">
        <f t="shared" si="22"/>
        <v>7266815.2882989021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0</v>
      </c>
      <c r="Q43" s="1094"/>
      <c r="R43" s="1082"/>
      <c r="S43" s="1082"/>
      <c r="T43" s="1082">
        <f t="shared" si="14"/>
        <v>0</v>
      </c>
      <c r="U43" s="1083">
        <f t="shared" si="6"/>
        <v>0</v>
      </c>
      <c r="V43" s="1104">
        <f t="shared" si="15"/>
        <v>0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0</v>
      </c>
      <c r="AE43" s="1083">
        <f t="shared" si="8"/>
        <v>0</v>
      </c>
      <c r="AF43" s="1082">
        <f t="shared" si="9"/>
        <v>0</v>
      </c>
      <c r="AG43" s="1082">
        <f t="shared" si="16"/>
        <v>0</v>
      </c>
      <c r="AH43" s="1082">
        <f t="shared" si="17"/>
        <v>0</v>
      </c>
      <c r="AI43" s="1116">
        <f t="shared" si="20"/>
        <v>0</v>
      </c>
      <c r="AJ43" s="1087">
        <f t="shared" si="21"/>
        <v>7266815.2882989021</v>
      </c>
      <c r="AK43" s="1094"/>
      <c r="AL43" s="1129">
        <f t="shared" si="22"/>
        <v>7266815.2882989021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0</v>
      </c>
      <c r="Q44" s="1094"/>
      <c r="R44" s="1082"/>
      <c r="S44" s="1082"/>
      <c r="T44" s="1082">
        <f t="shared" si="14"/>
        <v>0</v>
      </c>
      <c r="U44" s="1083">
        <f t="shared" si="6"/>
        <v>0</v>
      </c>
      <c r="V44" s="1104">
        <f t="shared" si="15"/>
        <v>0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0</v>
      </c>
      <c r="AE44" s="1083">
        <f t="shared" si="8"/>
        <v>0</v>
      </c>
      <c r="AF44" s="1082">
        <f t="shared" si="9"/>
        <v>0</v>
      </c>
      <c r="AG44" s="1082">
        <f t="shared" si="16"/>
        <v>0</v>
      </c>
      <c r="AH44" s="1082">
        <f t="shared" si="17"/>
        <v>0</v>
      </c>
      <c r="AI44" s="1116">
        <f t="shared" si="20"/>
        <v>0</v>
      </c>
      <c r="AJ44" s="1087">
        <f t="shared" si="21"/>
        <v>7266815.2882989021</v>
      </c>
      <c r="AK44" s="1094"/>
      <c r="AL44" s="1129">
        <f t="shared" si="22"/>
        <v>7266815.2882989021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0</v>
      </c>
      <c r="Q45" s="1094"/>
      <c r="R45" s="1082"/>
      <c r="S45" s="1082"/>
      <c r="T45" s="1082">
        <f t="shared" si="14"/>
        <v>0</v>
      </c>
      <c r="U45" s="1083">
        <f t="shared" si="6"/>
        <v>0</v>
      </c>
      <c r="V45" s="1104">
        <f t="shared" si="15"/>
        <v>0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0</v>
      </c>
      <c r="AE45" s="1083">
        <f t="shared" si="8"/>
        <v>0</v>
      </c>
      <c r="AF45" s="1082">
        <f t="shared" si="9"/>
        <v>0</v>
      </c>
      <c r="AG45" s="1082">
        <f t="shared" si="16"/>
        <v>0</v>
      </c>
      <c r="AH45" s="1082">
        <f t="shared" si="17"/>
        <v>0</v>
      </c>
      <c r="AI45" s="1116">
        <f t="shared" si="20"/>
        <v>0</v>
      </c>
      <c r="AJ45" s="1087">
        <f t="shared" si="21"/>
        <v>7266815.2882989021</v>
      </c>
      <c r="AK45" s="1094"/>
      <c r="AL45" s="1129">
        <f t="shared" si="22"/>
        <v>7266815.2882989021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0</v>
      </c>
      <c r="Q46" s="1094"/>
      <c r="R46" s="1082"/>
      <c r="S46" s="1082"/>
      <c r="T46" s="1082">
        <f t="shared" si="14"/>
        <v>0</v>
      </c>
      <c r="U46" s="1083">
        <f t="shared" si="6"/>
        <v>0</v>
      </c>
      <c r="V46" s="1104">
        <f t="shared" si="15"/>
        <v>0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0</v>
      </c>
      <c r="AE46" s="1083">
        <f t="shared" si="8"/>
        <v>0</v>
      </c>
      <c r="AF46" s="1082">
        <f t="shared" si="9"/>
        <v>0</v>
      </c>
      <c r="AG46" s="1082">
        <f t="shared" si="16"/>
        <v>0</v>
      </c>
      <c r="AH46" s="1082">
        <f t="shared" si="17"/>
        <v>0</v>
      </c>
      <c r="AI46" s="1116">
        <f t="shared" si="20"/>
        <v>0</v>
      </c>
      <c r="AJ46" s="1087">
        <f t="shared" si="21"/>
        <v>7266815.2882989021</v>
      </c>
      <c r="AK46" s="1094"/>
      <c r="AL46" s="1129">
        <f t="shared" si="22"/>
        <v>7266815.2882989021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0</v>
      </c>
      <c r="Q47" s="1094"/>
      <c r="R47" s="1082"/>
      <c r="S47" s="1082"/>
      <c r="T47" s="1082">
        <f t="shared" si="14"/>
        <v>0</v>
      </c>
      <c r="U47" s="1083">
        <f t="shared" si="6"/>
        <v>0</v>
      </c>
      <c r="V47" s="1104">
        <f t="shared" si="15"/>
        <v>0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0</v>
      </c>
      <c r="AE47" s="1083">
        <f t="shared" si="8"/>
        <v>0</v>
      </c>
      <c r="AF47" s="1082">
        <f t="shared" si="9"/>
        <v>0</v>
      </c>
      <c r="AG47" s="1082">
        <f t="shared" si="16"/>
        <v>0</v>
      </c>
      <c r="AH47" s="1082">
        <f t="shared" si="17"/>
        <v>0</v>
      </c>
      <c r="AI47" s="1116">
        <f t="shared" si="20"/>
        <v>0</v>
      </c>
      <c r="AJ47" s="1087">
        <f t="shared" si="21"/>
        <v>7266815.2882989021</v>
      </c>
      <c r="AK47" s="1094"/>
      <c r="AL47" s="1129">
        <f t="shared" si="22"/>
        <v>7266815.2882989021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-833333.33333333337</v>
      </c>
      <c r="N48" s="1217"/>
      <c r="O48" s="1082"/>
      <c r="P48" s="1082">
        <f t="shared" si="13"/>
        <v>0</v>
      </c>
      <c r="Q48" s="1094"/>
      <c r="R48" s="1082"/>
      <c r="S48" s="1082"/>
      <c r="T48" s="1082">
        <f t="shared" si="14"/>
        <v>0</v>
      </c>
      <c r="U48" s="1083">
        <f t="shared" si="6"/>
        <v>-833333.33333333337</v>
      </c>
      <c r="V48" s="1104">
        <f t="shared" si="15"/>
        <v>-833333.33333333337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-833333.33333333337</v>
      </c>
      <c r="AE48" s="1083">
        <f t="shared" si="8"/>
        <v>0</v>
      </c>
      <c r="AF48" s="1082">
        <f t="shared" si="9"/>
        <v>-833333.33333333337</v>
      </c>
      <c r="AG48" s="1082">
        <f t="shared" si="16"/>
        <v>0</v>
      </c>
      <c r="AH48" s="1082">
        <f t="shared" si="17"/>
        <v>-728987.70026005362</v>
      </c>
      <c r="AI48" s="1116">
        <f t="shared" si="20"/>
        <v>-728987.70026005362</v>
      </c>
      <c r="AJ48" s="1087">
        <f t="shared" si="21"/>
        <v>7266815.2882989021</v>
      </c>
      <c r="AK48" s="1094"/>
      <c r="AL48" s="1129">
        <f t="shared" si="22"/>
        <v>7266815.2882989021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0</v>
      </c>
      <c r="O49" s="1082"/>
      <c r="P49" s="1082">
        <f t="shared" si="13"/>
        <v>0</v>
      </c>
      <c r="Q49" s="1094"/>
      <c r="R49" s="1082"/>
      <c r="S49" s="1082"/>
      <c r="T49" s="1082">
        <f t="shared" si="14"/>
        <v>0</v>
      </c>
      <c r="U49" s="1083">
        <f t="shared" si="6"/>
        <v>0</v>
      </c>
      <c r="V49" s="1104">
        <f t="shared" si="15"/>
        <v>0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0</v>
      </c>
      <c r="AE49" s="1083">
        <f t="shared" si="8"/>
        <v>0</v>
      </c>
      <c r="AF49" s="1082">
        <f t="shared" si="9"/>
        <v>0</v>
      </c>
      <c r="AG49" s="1082">
        <f t="shared" si="16"/>
        <v>0</v>
      </c>
      <c r="AH49" s="1082">
        <f t="shared" si="17"/>
        <v>0</v>
      </c>
      <c r="AI49" s="1116">
        <f t="shared" si="20"/>
        <v>0</v>
      </c>
      <c r="AJ49" s="1087">
        <f t="shared" si="21"/>
        <v>7266815.2882989021</v>
      </c>
      <c r="AK49" s="1094"/>
      <c r="AL49" s="1129">
        <f t="shared" si="22"/>
        <v>7266815.2882989021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0</v>
      </c>
      <c r="Q50" s="1094"/>
      <c r="R50" s="1082"/>
      <c r="S50" s="1082"/>
      <c r="T50" s="1082">
        <f t="shared" si="14"/>
        <v>0</v>
      </c>
      <c r="U50" s="1083">
        <f t="shared" si="6"/>
        <v>0</v>
      </c>
      <c r="V50" s="1104">
        <f t="shared" si="15"/>
        <v>0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0</v>
      </c>
      <c r="AC50" s="1208">
        <f t="shared" si="19"/>
        <v>0</v>
      </c>
      <c r="AD50" s="1112">
        <f t="shared" si="7"/>
        <v>0</v>
      </c>
      <c r="AE50" s="1083">
        <f t="shared" si="8"/>
        <v>0</v>
      </c>
      <c r="AF50" s="1082">
        <f t="shared" si="9"/>
        <v>0</v>
      </c>
      <c r="AG50" s="1082">
        <f t="shared" si="16"/>
        <v>0</v>
      </c>
      <c r="AH50" s="1082">
        <f t="shared" si="17"/>
        <v>0</v>
      </c>
      <c r="AI50" s="1116">
        <f t="shared" si="20"/>
        <v>0</v>
      </c>
      <c r="AJ50" s="1087">
        <f t="shared" si="21"/>
        <v>7266815.2882989021</v>
      </c>
      <c r="AK50" s="1094"/>
      <c r="AL50" s="1129">
        <f t="shared" si="22"/>
        <v>7266815.2882989021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0</v>
      </c>
      <c r="Q51" s="1094"/>
      <c r="R51" s="1082"/>
      <c r="S51" s="1082"/>
      <c r="T51" s="1082">
        <f t="shared" si="14"/>
        <v>0</v>
      </c>
      <c r="U51" s="1083">
        <f t="shared" si="6"/>
        <v>0</v>
      </c>
      <c r="V51" s="1104">
        <f t="shared" si="15"/>
        <v>0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0</v>
      </c>
      <c r="AE51" s="1083">
        <f t="shared" si="8"/>
        <v>0</v>
      </c>
      <c r="AF51" s="1082">
        <f t="shared" si="9"/>
        <v>0</v>
      </c>
      <c r="AG51" s="1082">
        <f t="shared" si="16"/>
        <v>0</v>
      </c>
      <c r="AH51" s="1082">
        <f t="shared" si="17"/>
        <v>0</v>
      </c>
      <c r="AI51" s="1116">
        <f t="shared" si="20"/>
        <v>0</v>
      </c>
      <c r="AJ51" s="1087">
        <f t="shared" si="21"/>
        <v>7266815.2882989021</v>
      </c>
      <c r="AK51" s="1094"/>
      <c r="AL51" s="1129">
        <f t="shared" si="22"/>
        <v>7266815.2882989021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0</v>
      </c>
      <c r="Q52" s="1094"/>
      <c r="R52" s="1082"/>
      <c r="S52" s="1082"/>
      <c r="T52" s="1082">
        <f t="shared" si="14"/>
        <v>0</v>
      </c>
      <c r="U52" s="1083">
        <f t="shared" si="6"/>
        <v>0</v>
      </c>
      <c r="V52" s="1104">
        <f t="shared" si="15"/>
        <v>0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0</v>
      </c>
      <c r="AE52" s="1083">
        <f t="shared" si="8"/>
        <v>0</v>
      </c>
      <c r="AF52" s="1082">
        <f t="shared" si="9"/>
        <v>0</v>
      </c>
      <c r="AG52" s="1082">
        <f t="shared" si="16"/>
        <v>0</v>
      </c>
      <c r="AH52" s="1082">
        <f t="shared" si="17"/>
        <v>0</v>
      </c>
      <c r="AI52" s="1116">
        <f t="shared" si="20"/>
        <v>0</v>
      </c>
      <c r="AJ52" s="1087">
        <f t="shared" si="21"/>
        <v>7266815.2882989021</v>
      </c>
      <c r="AK52" s="1094"/>
      <c r="AL52" s="1129">
        <f t="shared" si="22"/>
        <v>7266815.2882989021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0</v>
      </c>
      <c r="Q53" s="1094"/>
      <c r="R53" s="1082"/>
      <c r="S53" s="1082"/>
      <c r="T53" s="1082">
        <f t="shared" si="14"/>
        <v>0</v>
      </c>
      <c r="U53" s="1083">
        <f t="shared" si="6"/>
        <v>0</v>
      </c>
      <c r="V53" s="1104">
        <f t="shared" si="15"/>
        <v>0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0</v>
      </c>
      <c r="AE53" s="1083">
        <f t="shared" si="8"/>
        <v>0</v>
      </c>
      <c r="AF53" s="1082">
        <f t="shared" si="9"/>
        <v>0</v>
      </c>
      <c r="AG53" s="1082">
        <f t="shared" si="16"/>
        <v>0</v>
      </c>
      <c r="AH53" s="1082">
        <f t="shared" si="17"/>
        <v>0</v>
      </c>
      <c r="AI53" s="1116">
        <f t="shared" si="20"/>
        <v>0</v>
      </c>
      <c r="AJ53" s="1087">
        <f t="shared" si="21"/>
        <v>7266815.2882989021</v>
      </c>
      <c r="AK53" s="1094"/>
      <c r="AL53" s="1129">
        <f t="shared" si="22"/>
        <v>7266815.2882989021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0</v>
      </c>
      <c r="Q54" s="1094"/>
      <c r="R54" s="1082"/>
      <c r="S54" s="1082"/>
      <c r="T54" s="1082">
        <f t="shared" si="14"/>
        <v>0</v>
      </c>
      <c r="U54" s="1083">
        <f t="shared" ref="U54:U85" si="26">SUM(E54:T54)</f>
        <v>0</v>
      </c>
      <c r="V54" s="1104">
        <f t="shared" si="15"/>
        <v>0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0</v>
      </c>
      <c r="AE54" s="1083">
        <f t="shared" ref="AE54:AE90" si="28">(U54-V54)+AC54</f>
        <v>0</v>
      </c>
      <c r="AF54" s="1082">
        <f t="shared" si="9"/>
        <v>0</v>
      </c>
      <c r="AG54" s="1082">
        <f t="shared" si="16"/>
        <v>0</v>
      </c>
      <c r="AH54" s="1082">
        <f t="shared" si="17"/>
        <v>0</v>
      </c>
      <c r="AI54" s="1116">
        <f t="shared" si="20"/>
        <v>0</v>
      </c>
      <c r="AJ54" s="1087">
        <f t="shared" si="21"/>
        <v>7266815.2882989021</v>
      </c>
      <c r="AK54" s="1094"/>
      <c r="AL54" s="1129">
        <f t="shared" si="22"/>
        <v>7266815.2882989021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0</v>
      </c>
      <c r="Q55" s="1094"/>
      <c r="R55" s="1082"/>
      <c r="S55" s="1082"/>
      <c r="T55" s="1082">
        <f t="shared" si="14"/>
        <v>0</v>
      </c>
      <c r="U55" s="1083">
        <f t="shared" si="26"/>
        <v>0</v>
      </c>
      <c r="V55" s="1104">
        <f t="shared" si="15"/>
        <v>0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0</v>
      </c>
      <c r="AE55" s="1083">
        <f t="shared" si="28"/>
        <v>0</v>
      </c>
      <c r="AF55" s="1082">
        <f t="shared" si="9"/>
        <v>0</v>
      </c>
      <c r="AG55" s="1082">
        <f t="shared" si="16"/>
        <v>0</v>
      </c>
      <c r="AH55" s="1082">
        <f t="shared" si="17"/>
        <v>0</v>
      </c>
      <c r="AI55" s="1116">
        <f t="shared" si="20"/>
        <v>0</v>
      </c>
      <c r="AJ55" s="1087">
        <f t="shared" si="21"/>
        <v>7266815.2882989021</v>
      </c>
      <c r="AK55" s="1094"/>
      <c r="AL55" s="1129">
        <f t="shared" si="22"/>
        <v>7266815.2882989021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0</v>
      </c>
      <c r="Q56" s="1094"/>
      <c r="R56" s="1082"/>
      <c r="S56" s="1082"/>
      <c r="T56" s="1082">
        <f t="shared" si="14"/>
        <v>0</v>
      </c>
      <c r="U56" s="1083">
        <f t="shared" si="26"/>
        <v>0</v>
      </c>
      <c r="V56" s="1104">
        <f t="shared" si="15"/>
        <v>0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0</v>
      </c>
      <c r="AE56" s="1083">
        <f t="shared" si="28"/>
        <v>0</v>
      </c>
      <c r="AF56" s="1082">
        <f t="shared" si="9"/>
        <v>0</v>
      </c>
      <c r="AG56" s="1082">
        <f t="shared" si="16"/>
        <v>0</v>
      </c>
      <c r="AH56" s="1082">
        <f t="shared" si="17"/>
        <v>0</v>
      </c>
      <c r="AI56" s="1116">
        <f t="shared" si="20"/>
        <v>0</v>
      </c>
      <c r="AJ56" s="1087">
        <f t="shared" si="21"/>
        <v>7266815.2882989021</v>
      </c>
      <c r="AK56" s="1094"/>
      <c r="AL56" s="1129">
        <f t="shared" si="22"/>
        <v>7266815.2882989021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0</v>
      </c>
      <c r="Q57" s="1094"/>
      <c r="R57" s="1082"/>
      <c r="S57" s="1082"/>
      <c r="T57" s="1082">
        <f t="shared" si="14"/>
        <v>0</v>
      </c>
      <c r="U57" s="1083">
        <f t="shared" si="26"/>
        <v>0</v>
      </c>
      <c r="V57" s="1104">
        <f t="shared" si="15"/>
        <v>0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0</v>
      </c>
      <c r="AE57" s="1083">
        <f t="shared" si="28"/>
        <v>0</v>
      </c>
      <c r="AF57" s="1082">
        <f t="shared" si="9"/>
        <v>0</v>
      </c>
      <c r="AG57" s="1082">
        <f t="shared" ref="AG57:AG90" si="29">PV($G$13/12,$B57,0,$AE57*-1,0)</f>
        <v>0</v>
      </c>
      <c r="AH57" s="1082">
        <f t="shared" ref="AH57:AH90" si="30">PV($G$14/12,$B57,0,$AF57*-1,0)</f>
        <v>0</v>
      </c>
      <c r="AI57" s="1116">
        <f t="shared" si="20"/>
        <v>0</v>
      </c>
      <c r="AJ57" s="1087">
        <f t="shared" si="21"/>
        <v>7266815.2882989021</v>
      </c>
      <c r="AK57" s="1094"/>
      <c r="AL57" s="1129">
        <f t="shared" si="22"/>
        <v>7266815.2882989021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0</v>
      </c>
      <c r="Q58" s="1094"/>
      <c r="R58" s="1082"/>
      <c r="S58" s="1082"/>
      <c r="T58" s="1082">
        <f t="shared" ref="T58:T90" si="32">IF($AT58&lt;=$J$7,($AA$10/$J$7)*-1,0)</f>
        <v>0</v>
      </c>
      <c r="U58" s="1083">
        <f t="shared" si="26"/>
        <v>0</v>
      </c>
      <c r="V58" s="1104">
        <f t="shared" si="15"/>
        <v>0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0</v>
      </c>
      <c r="AE58" s="1083">
        <f t="shared" si="28"/>
        <v>0</v>
      </c>
      <c r="AF58" s="1082">
        <f t="shared" si="9"/>
        <v>0</v>
      </c>
      <c r="AG58" s="1082">
        <f t="shared" si="29"/>
        <v>0</v>
      </c>
      <c r="AH58" s="1082">
        <f t="shared" si="30"/>
        <v>0</v>
      </c>
      <c r="AI58" s="1116">
        <f t="shared" si="20"/>
        <v>0</v>
      </c>
      <c r="AJ58" s="1087">
        <f t="shared" si="21"/>
        <v>7266815.2882989021</v>
      </c>
      <c r="AK58" s="1094"/>
      <c r="AL58" s="1129">
        <f t="shared" si="22"/>
        <v>7266815.2882989021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0</v>
      </c>
      <c r="Q59" s="1094"/>
      <c r="R59" s="1082"/>
      <c r="S59" s="1082"/>
      <c r="T59" s="1082">
        <f t="shared" si="32"/>
        <v>0</v>
      </c>
      <c r="U59" s="1083">
        <f t="shared" si="26"/>
        <v>0</v>
      </c>
      <c r="V59" s="1104">
        <f t="shared" si="15"/>
        <v>0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0</v>
      </c>
      <c r="AE59" s="1083">
        <f t="shared" si="28"/>
        <v>0</v>
      </c>
      <c r="AF59" s="1082">
        <f t="shared" si="9"/>
        <v>0</v>
      </c>
      <c r="AG59" s="1082">
        <f t="shared" si="29"/>
        <v>0</v>
      </c>
      <c r="AH59" s="1082">
        <f t="shared" si="30"/>
        <v>0</v>
      </c>
      <c r="AI59" s="1116">
        <f t="shared" si="20"/>
        <v>0</v>
      </c>
      <c r="AJ59" s="1087">
        <f t="shared" ref="AJ59:AJ90" si="33">IF(AT59&lt;=$J$7,AJ58,0)</f>
        <v>7266815.2882989021</v>
      </c>
      <c r="AK59" s="1094"/>
      <c r="AL59" s="1129">
        <f t="shared" si="22"/>
        <v>7266815.2882989021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-833333.33333333337</v>
      </c>
      <c r="N60" s="1217"/>
      <c r="O60" s="1082"/>
      <c r="P60" s="1082">
        <f t="shared" si="31"/>
        <v>0</v>
      </c>
      <c r="Q60" s="1094"/>
      <c r="R60" s="1082"/>
      <c r="S60" s="1082"/>
      <c r="T60" s="1082">
        <f t="shared" si="32"/>
        <v>0</v>
      </c>
      <c r="U60" s="1083">
        <f t="shared" si="26"/>
        <v>-833333.33333333337</v>
      </c>
      <c r="V60" s="1104">
        <f t="shared" si="15"/>
        <v>-833333.33333333337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-833333.33333333337</v>
      </c>
      <c r="AE60" s="1083">
        <f t="shared" si="28"/>
        <v>0</v>
      </c>
      <c r="AF60" s="1082">
        <f t="shared" si="9"/>
        <v>-833333.33333333337</v>
      </c>
      <c r="AG60" s="1082">
        <f t="shared" si="29"/>
        <v>0</v>
      </c>
      <c r="AH60" s="1082">
        <f t="shared" si="30"/>
        <v>-679841.87606953201</v>
      </c>
      <c r="AI60" s="1116">
        <f t="shared" si="20"/>
        <v>-679841.87606953201</v>
      </c>
      <c r="AJ60" s="1087">
        <f t="shared" si="33"/>
        <v>7266815.2882989021</v>
      </c>
      <c r="AK60" s="1094"/>
      <c r="AL60" s="1129">
        <f t="shared" si="22"/>
        <v>7266815.2882989021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0</v>
      </c>
      <c r="Q61" s="1094"/>
      <c r="R61" s="1082"/>
      <c r="S61" s="1082"/>
      <c r="T61" s="1082">
        <f t="shared" si="32"/>
        <v>0</v>
      </c>
      <c r="U61" s="1083">
        <f t="shared" si="26"/>
        <v>0</v>
      </c>
      <c r="V61" s="1104">
        <f t="shared" si="15"/>
        <v>0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0</v>
      </c>
      <c r="AE61" s="1083">
        <f t="shared" si="28"/>
        <v>0</v>
      </c>
      <c r="AF61" s="1082">
        <f t="shared" si="9"/>
        <v>0</v>
      </c>
      <c r="AG61" s="1082">
        <f t="shared" si="29"/>
        <v>0</v>
      </c>
      <c r="AH61" s="1082">
        <f t="shared" si="30"/>
        <v>0</v>
      </c>
      <c r="AI61" s="1116">
        <f t="shared" si="20"/>
        <v>0</v>
      </c>
      <c r="AJ61" s="1087">
        <f t="shared" si="33"/>
        <v>7266815.2882989021</v>
      </c>
      <c r="AK61" s="1094"/>
      <c r="AL61" s="1129">
        <f t="shared" si="22"/>
        <v>7266815.2882989021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0</v>
      </c>
      <c r="U62" s="1083">
        <f t="shared" si="26"/>
        <v>0</v>
      </c>
      <c r="V62" s="1104">
        <f t="shared" si="15"/>
        <v>0</v>
      </c>
      <c r="W62" s="1087">
        <f t="shared" si="10"/>
        <v>90909089.999999985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90909089.999999985</v>
      </c>
      <c r="AD62" s="1112">
        <f t="shared" si="27"/>
        <v>90909089.999999985</v>
      </c>
      <c r="AE62" s="1083">
        <f t="shared" si="28"/>
        <v>90909089.999999985</v>
      </c>
      <c r="AF62" s="1082">
        <f t="shared" si="9"/>
        <v>0</v>
      </c>
      <c r="AG62" s="1082">
        <f t="shared" si="29"/>
        <v>60095441.419115312</v>
      </c>
      <c r="AH62" s="1082">
        <f t="shared" si="30"/>
        <v>0</v>
      </c>
      <c r="AI62" s="1116">
        <f t="shared" si="20"/>
        <v>60095441.419115312</v>
      </c>
      <c r="AJ62" s="1087">
        <f t="shared" si="33"/>
        <v>0</v>
      </c>
      <c r="AK62" s="1094"/>
      <c r="AL62" s="1129">
        <f t="shared" si="22"/>
        <v>0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0</v>
      </c>
      <c r="U63" s="1083">
        <f t="shared" si="26"/>
        <v>0</v>
      </c>
      <c r="V63" s="1104">
        <f t="shared" si="15"/>
        <v>0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0</v>
      </c>
      <c r="AE63" s="1083">
        <f t="shared" si="28"/>
        <v>0</v>
      </c>
      <c r="AF63" s="1082">
        <f t="shared" si="9"/>
        <v>0</v>
      </c>
      <c r="AG63" s="1082">
        <f t="shared" si="29"/>
        <v>0</v>
      </c>
      <c r="AH63" s="1082">
        <f t="shared" si="30"/>
        <v>0</v>
      </c>
      <c r="AI63" s="1116">
        <f t="shared" si="20"/>
        <v>0</v>
      </c>
      <c r="AJ63" s="1087">
        <f t="shared" si="33"/>
        <v>0</v>
      </c>
      <c r="AK63" s="1094"/>
      <c r="AL63" s="1129">
        <f t="shared" si="22"/>
        <v>0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0</v>
      </c>
      <c r="U64" s="1083">
        <f t="shared" si="26"/>
        <v>0</v>
      </c>
      <c r="V64" s="1104">
        <f t="shared" si="15"/>
        <v>0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0</v>
      </c>
      <c r="AE64" s="1083">
        <f t="shared" si="28"/>
        <v>0</v>
      </c>
      <c r="AF64" s="1082">
        <f t="shared" si="9"/>
        <v>0</v>
      </c>
      <c r="AG64" s="1082">
        <f t="shared" si="29"/>
        <v>0</v>
      </c>
      <c r="AH64" s="1082">
        <f t="shared" si="30"/>
        <v>0</v>
      </c>
      <c r="AI64" s="1116">
        <f t="shared" si="20"/>
        <v>0</v>
      </c>
      <c r="AJ64" s="1087">
        <f t="shared" si="33"/>
        <v>0</v>
      </c>
      <c r="AK64" s="1094"/>
      <c r="AL64" s="1129">
        <f t="shared" si="22"/>
        <v>0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0</v>
      </c>
      <c r="U65" s="1083">
        <f t="shared" si="26"/>
        <v>0</v>
      </c>
      <c r="V65" s="1104">
        <f t="shared" si="15"/>
        <v>0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0</v>
      </c>
      <c r="AE65" s="1083">
        <f t="shared" si="28"/>
        <v>0</v>
      </c>
      <c r="AF65" s="1082">
        <f t="shared" si="9"/>
        <v>0</v>
      </c>
      <c r="AG65" s="1082">
        <f t="shared" si="29"/>
        <v>0</v>
      </c>
      <c r="AH65" s="1082">
        <f t="shared" si="30"/>
        <v>0</v>
      </c>
      <c r="AI65" s="1116">
        <f t="shared" si="20"/>
        <v>0</v>
      </c>
      <c r="AJ65" s="1087">
        <f t="shared" si="33"/>
        <v>0</v>
      </c>
      <c r="AK65" s="1094"/>
      <c r="AL65" s="1129">
        <f t="shared" si="22"/>
        <v>0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0</v>
      </c>
      <c r="U66" s="1083">
        <f t="shared" si="26"/>
        <v>0</v>
      </c>
      <c r="V66" s="1104">
        <f t="shared" si="15"/>
        <v>0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0</v>
      </c>
      <c r="AE66" s="1083">
        <f t="shared" si="28"/>
        <v>0</v>
      </c>
      <c r="AF66" s="1082">
        <f t="shared" si="9"/>
        <v>0</v>
      </c>
      <c r="AG66" s="1082">
        <f t="shared" si="29"/>
        <v>0</v>
      </c>
      <c r="AH66" s="1082">
        <f t="shared" si="30"/>
        <v>0</v>
      </c>
      <c r="AI66" s="1116">
        <f t="shared" si="20"/>
        <v>0</v>
      </c>
      <c r="AJ66" s="1087">
        <f t="shared" si="33"/>
        <v>0</v>
      </c>
      <c r="AK66" s="1094"/>
      <c r="AL66" s="1129">
        <f t="shared" si="22"/>
        <v>0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0</v>
      </c>
      <c r="U67" s="1083">
        <f t="shared" si="26"/>
        <v>0</v>
      </c>
      <c r="V67" s="1104">
        <f t="shared" si="15"/>
        <v>0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0</v>
      </c>
      <c r="AE67" s="1083">
        <f t="shared" si="28"/>
        <v>0</v>
      </c>
      <c r="AF67" s="1082">
        <f t="shared" si="9"/>
        <v>0</v>
      </c>
      <c r="AG67" s="1082">
        <f t="shared" si="29"/>
        <v>0</v>
      </c>
      <c r="AH67" s="1082">
        <f t="shared" si="30"/>
        <v>0</v>
      </c>
      <c r="AI67" s="1116">
        <f t="shared" si="20"/>
        <v>0</v>
      </c>
      <c r="AJ67" s="1087">
        <f t="shared" si="33"/>
        <v>0</v>
      </c>
      <c r="AK67" s="1094"/>
      <c r="AL67" s="1129">
        <f t="shared" si="22"/>
        <v>0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0</v>
      </c>
      <c r="U68" s="1083">
        <f t="shared" si="26"/>
        <v>0</v>
      </c>
      <c r="V68" s="1104">
        <f t="shared" si="15"/>
        <v>0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0</v>
      </c>
      <c r="AE68" s="1083">
        <f t="shared" si="28"/>
        <v>0</v>
      </c>
      <c r="AF68" s="1082">
        <f t="shared" si="9"/>
        <v>0</v>
      </c>
      <c r="AG68" s="1082">
        <f t="shared" si="29"/>
        <v>0</v>
      </c>
      <c r="AH68" s="1082">
        <f t="shared" si="30"/>
        <v>0</v>
      </c>
      <c r="AI68" s="1116">
        <f t="shared" si="20"/>
        <v>0</v>
      </c>
      <c r="AJ68" s="1087">
        <f t="shared" si="33"/>
        <v>0</v>
      </c>
      <c r="AK68" s="1094"/>
      <c r="AL68" s="1129">
        <f t="shared" si="22"/>
        <v>0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0</v>
      </c>
      <c r="U69" s="1083">
        <f t="shared" si="26"/>
        <v>0</v>
      </c>
      <c r="V69" s="1104">
        <f t="shared" si="15"/>
        <v>0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0</v>
      </c>
      <c r="AE69" s="1083">
        <f t="shared" si="28"/>
        <v>0</v>
      </c>
      <c r="AF69" s="1082">
        <f t="shared" si="9"/>
        <v>0</v>
      </c>
      <c r="AG69" s="1082">
        <f t="shared" si="29"/>
        <v>0</v>
      </c>
      <c r="AH69" s="1082">
        <f t="shared" si="30"/>
        <v>0</v>
      </c>
      <c r="AI69" s="1116">
        <f t="shared" si="20"/>
        <v>0</v>
      </c>
      <c r="AJ69" s="1087">
        <f t="shared" si="33"/>
        <v>0</v>
      </c>
      <c r="AK69" s="1094"/>
      <c r="AL69" s="1129">
        <f t="shared" si="22"/>
        <v>0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0</v>
      </c>
      <c r="U70" s="1083">
        <f t="shared" si="26"/>
        <v>0</v>
      </c>
      <c r="V70" s="1104">
        <f t="shared" si="15"/>
        <v>0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0</v>
      </c>
      <c r="AE70" s="1083">
        <f t="shared" si="28"/>
        <v>0</v>
      </c>
      <c r="AF70" s="1082">
        <f t="shared" si="9"/>
        <v>0</v>
      </c>
      <c r="AG70" s="1082">
        <f t="shared" si="29"/>
        <v>0</v>
      </c>
      <c r="AH70" s="1082">
        <f t="shared" si="30"/>
        <v>0</v>
      </c>
      <c r="AI70" s="1116">
        <f t="shared" si="20"/>
        <v>0</v>
      </c>
      <c r="AJ70" s="1087">
        <f t="shared" si="33"/>
        <v>0</v>
      </c>
      <c r="AK70" s="1094"/>
      <c r="AL70" s="1129">
        <f t="shared" si="22"/>
        <v>0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0</v>
      </c>
      <c r="U71" s="1083">
        <f t="shared" si="26"/>
        <v>0</v>
      </c>
      <c r="V71" s="1104">
        <f t="shared" si="15"/>
        <v>0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0</v>
      </c>
      <c r="AE71" s="1083">
        <f t="shared" si="28"/>
        <v>0</v>
      </c>
      <c r="AF71" s="1082">
        <f t="shared" si="9"/>
        <v>0</v>
      </c>
      <c r="AG71" s="1082">
        <f t="shared" si="29"/>
        <v>0</v>
      </c>
      <c r="AH71" s="1082">
        <f t="shared" si="30"/>
        <v>0</v>
      </c>
      <c r="AI71" s="1116">
        <f t="shared" si="20"/>
        <v>0</v>
      </c>
      <c r="AJ71" s="1087">
        <f t="shared" si="33"/>
        <v>0</v>
      </c>
      <c r="AK71" s="1094"/>
      <c r="AL71" s="1129">
        <f t="shared" si="22"/>
        <v>0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0</v>
      </c>
      <c r="U72" s="1083">
        <f t="shared" si="26"/>
        <v>0</v>
      </c>
      <c r="V72" s="1104">
        <f t="shared" si="15"/>
        <v>0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0</v>
      </c>
      <c r="AE72" s="1083">
        <f t="shared" si="28"/>
        <v>0</v>
      </c>
      <c r="AF72" s="1082">
        <f t="shared" si="9"/>
        <v>0</v>
      </c>
      <c r="AG72" s="1082">
        <f t="shared" si="29"/>
        <v>0</v>
      </c>
      <c r="AH72" s="1082">
        <f t="shared" si="30"/>
        <v>0</v>
      </c>
      <c r="AI72" s="1116">
        <f t="shared" si="20"/>
        <v>0</v>
      </c>
      <c r="AJ72" s="1087">
        <f t="shared" si="33"/>
        <v>0</v>
      </c>
      <c r="AK72" s="1094"/>
      <c r="AL72" s="1129">
        <f t="shared" si="22"/>
        <v>0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0</v>
      </c>
      <c r="U73" s="1083">
        <f t="shared" si="26"/>
        <v>0</v>
      </c>
      <c r="V73" s="1104">
        <f t="shared" si="15"/>
        <v>0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0</v>
      </c>
      <c r="AE73" s="1083">
        <f t="shared" si="28"/>
        <v>0</v>
      </c>
      <c r="AF73" s="1082">
        <f t="shared" si="9"/>
        <v>0</v>
      </c>
      <c r="AG73" s="1082">
        <f t="shared" si="29"/>
        <v>0</v>
      </c>
      <c r="AH73" s="1082">
        <f t="shared" si="30"/>
        <v>0</v>
      </c>
      <c r="AI73" s="1116">
        <f t="shared" si="20"/>
        <v>0</v>
      </c>
      <c r="AJ73" s="1087">
        <f t="shared" si="33"/>
        <v>0</v>
      </c>
      <c r="AK73" s="1094"/>
      <c r="AL73" s="1129">
        <f t="shared" si="22"/>
        <v>0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0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0</v>
      </c>
      <c r="AD74" s="1112">
        <f t="shared" si="27"/>
        <v>0</v>
      </c>
      <c r="AE74" s="1083">
        <f t="shared" si="28"/>
        <v>0</v>
      </c>
      <c r="AF74" s="1082">
        <f t="shared" si="9"/>
        <v>0</v>
      </c>
      <c r="AG74" s="1082">
        <f t="shared" si="29"/>
        <v>0</v>
      </c>
      <c r="AH74" s="1082">
        <f t="shared" si="30"/>
        <v>0</v>
      </c>
      <c r="AI74" s="1116">
        <f t="shared" si="20"/>
        <v>0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-293000000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-2500000</v>
      </c>
      <c r="N91" s="1219">
        <f t="shared" si="44"/>
        <v>0</v>
      </c>
      <c r="O91" s="820">
        <f t="shared" si="44"/>
        <v>0</v>
      </c>
      <c r="P91" s="820">
        <f>SUM(P22:P90)</f>
        <v>0</v>
      </c>
      <c r="Q91" s="1096">
        <f t="shared" si="44"/>
        <v>0</v>
      </c>
      <c r="R91" s="820">
        <f t="shared" si="44"/>
        <v>-797611.11111111124</v>
      </c>
      <c r="S91" s="820">
        <f t="shared" si="44"/>
        <v>0</v>
      </c>
      <c r="T91" s="820">
        <f t="shared" si="44"/>
        <v>0</v>
      </c>
      <c r="U91" s="1228">
        <f t="shared" si="44"/>
        <v>-296297611.11111104</v>
      </c>
      <c r="V91" s="1227">
        <f>SUM(V22:V90)</f>
        <v>-2500000</v>
      </c>
      <c r="W91" s="1110">
        <f t="shared" si="44"/>
        <v>90909089.999999985</v>
      </c>
      <c r="X91" s="1161">
        <f t="shared" si="44"/>
        <v>0</v>
      </c>
      <c r="Y91" s="1111">
        <f t="shared" si="44"/>
        <v>22000000</v>
      </c>
      <c r="Z91" s="1111">
        <f t="shared" si="44"/>
        <v>0</v>
      </c>
      <c r="AA91" s="1111">
        <f t="shared" si="44"/>
        <v>0</v>
      </c>
      <c r="AB91" s="1205">
        <f>SUM(AB22:AB75)</f>
        <v>0</v>
      </c>
      <c r="AC91" s="1209">
        <f t="shared" ref="AC91:AJ91" si="45">SUM(AC22:AC90)</f>
        <v>112909089.99999999</v>
      </c>
      <c r="AD91" s="1192">
        <f>SUM(AD22:AD90)</f>
        <v>-183388521.11111104</v>
      </c>
      <c r="AE91" s="1193">
        <f>SUM(AE22:AE90)</f>
        <v>-180888521.1111111</v>
      </c>
      <c r="AF91" s="1193">
        <f>SUM(AF22:AF90)</f>
        <v>-2500000</v>
      </c>
      <c r="AG91" s="1229">
        <f>SUM(AG22:AG90)</f>
        <v>-211946916.29273748</v>
      </c>
      <c r="AH91" s="1229">
        <f>SUM(AH22:AH90)</f>
        <v>-2190515.8563846396</v>
      </c>
      <c r="AI91" s="1230">
        <f t="shared" si="45"/>
        <v>-214137432.14912212</v>
      </c>
      <c r="AJ91" s="1194">
        <f t="shared" si="45"/>
        <v>261605350.37876055</v>
      </c>
      <c r="AK91" s="1195"/>
      <c r="AL91" s="1196">
        <f>SUM(AL25:AL90)</f>
        <v>261605350.37876055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7.2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529" t="s">
        <v>175</v>
      </c>
      <c r="C94" s="1532" t="s">
        <v>176</v>
      </c>
      <c r="D94" s="1533"/>
      <c r="E94" s="1533"/>
      <c r="F94" s="1533"/>
      <c r="G94" s="1533"/>
      <c r="H94" s="1533"/>
      <c r="I94" s="1534"/>
      <c r="J94" s="1535" t="s">
        <v>177</v>
      </c>
      <c r="K94" s="1536"/>
      <c r="L94" s="1537"/>
      <c r="M94" s="1551" t="s">
        <v>178</v>
      </c>
      <c r="N94" s="1552"/>
      <c r="O94" s="1553"/>
      <c r="P94" s="1542" t="s">
        <v>179</v>
      </c>
      <c r="Q94" s="1539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530"/>
      <c r="C95" s="1554" t="s">
        <v>275</v>
      </c>
      <c r="D95" s="1555"/>
      <c r="E95" s="1555" t="s">
        <v>274</v>
      </c>
      <c r="F95" s="1555"/>
      <c r="G95" s="1555" t="s">
        <v>165</v>
      </c>
      <c r="H95" s="1555"/>
      <c r="I95" s="1527" t="s">
        <v>58</v>
      </c>
      <c r="J95" s="1556" t="s">
        <v>189</v>
      </c>
      <c r="K95" s="1547" t="s">
        <v>191</v>
      </c>
      <c r="L95" s="1529" t="s">
        <v>58</v>
      </c>
      <c r="M95" s="1549" t="s">
        <v>192</v>
      </c>
      <c r="N95" s="1547" t="s">
        <v>193</v>
      </c>
      <c r="O95" s="1545" t="s">
        <v>194</v>
      </c>
      <c r="P95" s="1543"/>
      <c r="Q95" s="1540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531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528"/>
      <c r="J96" s="1557"/>
      <c r="K96" s="1548"/>
      <c r="L96" s="1538"/>
      <c r="M96" s="1550"/>
      <c r="N96" s="1548"/>
      <c r="O96" s="1546"/>
      <c r="P96" s="1544"/>
      <c r="Q96" s="1541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3.5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-293797611.1111111</v>
      </c>
      <c r="K101" s="1083">
        <f t="shared" ref="K101:K164" si="54">Q100*-1</f>
        <v>0</v>
      </c>
      <c r="L101" s="1109">
        <f t="shared" si="50"/>
        <v>-293797611.1111111</v>
      </c>
      <c r="M101" s="1149">
        <f t="shared" si="53"/>
        <v>-293797611.1111111</v>
      </c>
      <c r="N101" s="1150">
        <f>O100</f>
        <v>0</v>
      </c>
      <c r="O101" s="1151">
        <f>M101+N101</f>
        <v>-293797611.1111111</v>
      </c>
      <c r="P101" s="1157">
        <f t="shared" si="52"/>
        <v>293797611.1111111</v>
      </c>
      <c r="Q101" s="1158">
        <f t="shared" si="51"/>
        <v>1713819.3981481483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7266815.2882989021</v>
      </c>
      <c r="D102" s="1135"/>
      <c r="E102" s="1213">
        <f t="shared" ref="E102:E165" si="56">AB26+W26</f>
        <v>0</v>
      </c>
      <c r="F102" s="1135"/>
      <c r="G102" s="1083">
        <f t="shared" si="47"/>
        <v>22000000</v>
      </c>
      <c r="H102" s="1135"/>
      <c r="I102" s="1109">
        <f t="shared" si="48"/>
        <v>29266815.288298901</v>
      </c>
      <c r="J102" s="1117">
        <f t="shared" si="49"/>
        <v>0</v>
      </c>
      <c r="K102" s="1083">
        <f>Q101*-1</f>
        <v>-1713819.3981481483</v>
      </c>
      <c r="L102" s="1109">
        <f t="shared" si="50"/>
        <v>-1713819.3981481483</v>
      </c>
      <c r="M102" s="1149">
        <f t="shared" si="53"/>
        <v>27552995.890150752</v>
      </c>
      <c r="N102" s="1150">
        <f>O101</f>
        <v>-293797611.1111111</v>
      </c>
      <c r="O102" s="1151">
        <f t="shared" ref="O102:O163" si="57">M102+N102</f>
        <v>-266244615.22096035</v>
      </c>
      <c r="P102" s="1157">
        <f t="shared" si="52"/>
        <v>266244615.22096035</v>
      </c>
      <c r="Q102" s="1158">
        <f t="shared" si="51"/>
        <v>1553093.5887889357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7266815.2882989021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7266815.2882989021</v>
      </c>
      <c r="J103" s="1117">
        <f t="shared" si="49"/>
        <v>0</v>
      </c>
      <c r="K103" s="1083">
        <f>Q102*-1</f>
        <v>-1553093.5887889357</v>
      </c>
      <c r="L103" s="1109">
        <f t="shared" si="50"/>
        <v>-1553093.5887889357</v>
      </c>
      <c r="M103" s="1149">
        <f t="shared" si="53"/>
        <v>5713721.6995099662</v>
      </c>
      <c r="N103" s="1150">
        <f>O102</f>
        <v>-266244615.22096035</v>
      </c>
      <c r="O103" s="1151">
        <f>M103+N103</f>
        <v>-260530893.52145037</v>
      </c>
      <c r="P103" s="1157">
        <f t="shared" si="52"/>
        <v>260530893.52145037</v>
      </c>
      <c r="Q103" s="1158">
        <f t="shared" si="51"/>
        <v>1519763.545541794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7266815.2882989021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7266815.2882989021</v>
      </c>
      <c r="J104" s="1117">
        <f t="shared" si="49"/>
        <v>0</v>
      </c>
      <c r="K104" s="1083">
        <f t="shared" si="54"/>
        <v>-1519763.545541794</v>
      </c>
      <c r="L104" s="1109">
        <f t="shared" si="50"/>
        <v>-1519763.545541794</v>
      </c>
      <c r="M104" s="1149">
        <f t="shared" si="53"/>
        <v>5747051.7427571081</v>
      </c>
      <c r="N104" s="1150">
        <f t="shared" ref="N104:N163" si="58">O103</f>
        <v>-260530893.52145037</v>
      </c>
      <c r="O104" s="1151">
        <f t="shared" si="57"/>
        <v>-254783841.77869326</v>
      </c>
      <c r="P104" s="1157">
        <f t="shared" si="52"/>
        <v>254783841.77869326</v>
      </c>
      <c r="Q104" s="1158">
        <f t="shared" si="51"/>
        <v>1486239.0770423776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7266815.2882989021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7266815.2882989021</v>
      </c>
      <c r="J105" s="1117">
        <f t="shared" si="49"/>
        <v>0</v>
      </c>
      <c r="K105" s="1083">
        <f t="shared" si="54"/>
        <v>-1486239.0770423776</v>
      </c>
      <c r="L105" s="1109">
        <f t="shared" si="50"/>
        <v>-1486239.0770423776</v>
      </c>
      <c r="M105" s="1149">
        <f t="shared" si="53"/>
        <v>5780576.2112565245</v>
      </c>
      <c r="N105" s="1150">
        <f>O104</f>
        <v>-254783841.77869326</v>
      </c>
      <c r="O105" s="1151">
        <f t="shared" si="57"/>
        <v>-249003265.56743672</v>
      </c>
      <c r="P105" s="1157">
        <f t="shared" si="52"/>
        <v>249003265.56743672</v>
      </c>
      <c r="Q105" s="1158">
        <f t="shared" si="51"/>
        <v>1452519.0491433812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7266815.2882989021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7266815.2882989021</v>
      </c>
      <c r="J106" s="1117">
        <f t="shared" si="49"/>
        <v>0</v>
      </c>
      <c r="K106" s="1083">
        <f t="shared" si="54"/>
        <v>-1452519.0491433812</v>
      </c>
      <c r="L106" s="1109">
        <f t="shared" si="50"/>
        <v>-1452519.0491433812</v>
      </c>
      <c r="M106" s="1149">
        <f t="shared" si="53"/>
        <v>5814296.2391555207</v>
      </c>
      <c r="N106" s="1150">
        <f t="shared" si="58"/>
        <v>-249003265.56743672</v>
      </c>
      <c r="O106" s="1151">
        <f>M106+N106</f>
        <v>-243188969.32828119</v>
      </c>
      <c r="P106" s="1157">
        <f t="shared" si="52"/>
        <v>243188969.32828119</v>
      </c>
      <c r="Q106" s="1158">
        <f t="shared" si="51"/>
        <v>1418602.3210816404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7266815.2882989021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7266815.2882989021</v>
      </c>
      <c r="J107" s="1117">
        <f t="shared" si="49"/>
        <v>0</v>
      </c>
      <c r="K107" s="1083">
        <f t="shared" si="54"/>
        <v>-1418602.3210816404</v>
      </c>
      <c r="L107" s="1109">
        <f t="shared" si="50"/>
        <v>-1418602.3210816404</v>
      </c>
      <c r="M107" s="1149">
        <f t="shared" si="53"/>
        <v>5848212.9672172619</v>
      </c>
      <c r="N107" s="1150">
        <f t="shared" si="58"/>
        <v>-243188969.32828119</v>
      </c>
      <c r="O107" s="1151">
        <f t="shared" si="57"/>
        <v>-237340756.36106393</v>
      </c>
      <c r="P107" s="1157">
        <f t="shared" si="52"/>
        <v>237340756.36106393</v>
      </c>
      <c r="Q107" s="1158">
        <f t="shared" si="51"/>
        <v>1384487.7454395397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7266815.2882989021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7266815.2882989021</v>
      </c>
      <c r="J108" s="1117">
        <f t="shared" si="49"/>
        <v>0</v>
      </c>
      <c r="K108" s="1083">
        <f t="shared" si="54"/>
        <v>-1384487.7454395397</v>
      </c>
      <c r="L108" s="1109">
        <f t="shared" si="50"/>
        <v>-1384487.7454395397</v>
      </c>
      <c r="M108" s="1149">
        <f t="shared" si="53"/>
        <v>5882327.5428593624</v>
      </c>
      <c r="N108" s="1150">
        <f t="shared" si="58"/>
        <v>-237340756.36106393</v>
      </c>
      <c r="O108" s="1151">
        <f t="shared" si="57"/>
        <v>-231458428.81820455</v>
      </c>
      <c r="P108" s="1157">
        <f t="shared" si="52"/>
        <v>231458428.81820455</v>
      </c>
      <c r="Q108" s="1158">
        <f t="shared" si="51"/>
        <v>1350174.1681061934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7266815.2882989021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7266815.2882989021</v>
      </c>
      <c r="J109" s="1117">
        <f t="shared" si="49"/>
        <v>0</v>
      </c>
      <c r="K109" s="1083">
        <f t="shared" si="54"/>
        <v>-1350174.1681061934</v>
      </c>
      <c r="L109" s="1109">
        <f t="shared" si="50"/>
        <v>-1350174.1681061934</v>
      </c>
      <c r="M109" s="1149">
        <f t="shared" si="53"/>
        <v>5916641.1201927084</v>
      </c>
      <c r="N109" s="1150">
        <f t="shared" si="58"/>
        <v>-231458428.81820455</v>
      </c>
      <c r="O109" s="1151">
        <f t="shared" si="57"/>
        <v>-225541787.69801185</v>
      </c>
      <c r="P109" s="1157">
        <f t="shared" si="52"/>
        <v>225541787.69801185</v>
      </c>
      <c r="Q109" s="1158">
        <f t="shared" si="51"/>
        <v>1315660.4282384026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7266815.2882989021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7266815.2882989021</v>
      </c>
      <c r="J110" s="1117">
        <f t="shared" si="49"/>
        <v>0</v>
      </c>
      <c r="K110" s="1083">
        <f t="shared" si="54"/>
        <v>-1315660.4282384026</v>
      </c>
      <c r="L110" s="1109">
        <f t="shared" si="50"/>
        <v>-1315660.4282384026</v>
      </c>
      <c r="M110" s="1149">
        <f t="shared" si="53"/>
        <v>5951154.8600605</v>
      </c>
      <c r="N110" s="1150">
        <f t="shared" si="58"/>
        <v>-225541787.69801185</v>
      </c>
      <c r="O110" s="1151">
        <f t="shared" si="57"/>
        <v>-219590632.83795133</v>
      </c>
      <c r="P110" s="1157">
        <f t="shared" si="52"/>
        <v>219590632.83795133</v>
      </c>
      <c r="Q110" s="1158">
        <f t="shared" si="51"/>
        <v>1280945.3582213828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7266815.2882989021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7266815.2882989021</v>
      </c>
      <c r="J111" s="1117">
        <f t="shared" si="49"/>
        <v>0</v>
      </c>
      <c r="K111" s="1083">
        <f t="shared" si="54"/>
        <v>-1280945.3582213828</v>
      </c>
      <c r="L111" s="1109">
        <f t="shared" si="50"/>
        <v>-1280945.3582213828</v>
      </c>
      <c r="M111" s="1149">
        <f t="shared" si="53"/>
        <v>5985869.9300775193</v>
      </c>
      <c r="N111" s="1150">
        <f t="shared" si="58"/>
        <v>-219590632.83795133</v>
      </c>
      <c r="O111" s="1151">
        <f t="shared" si="57"/>
        <v>-213604762.90787381</v>
      </c>
      <c r="P111" s="1157">
        <f t="shared" si="52"/>
        <v>213604762.90787381</v>
      </c>
      <c r="Q111" s="1158">
        <f t="shared" si="51"/>
        <v>1246027.783629264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7266815.2882989021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7266815.2882989021</v>
      </c>
      <c r="J112" s="1117">
        <f t="shared" si="49"/>
        <v>-833333.33333333337</v>
      </c>
      <c r="K112" s="1083">
        <f t="shared" si="54"/>
        <v>-1246027.783629264</v>
      </c>
      <c r="L112" s="1109">
        <f t="shared" si="50"/>
        <v>-2079361.1169625972</v>
      </c>
      <c r="M112" s="1149">
        <f t="shared" si="53"/>
        <v>5187454.1713363044</v>
      </c>
      <c r="N112" s="1150">
        <f t="shared" si="58"/>
        <v>-213604762.90787381</v>
      </c>
      <c r="O112" s="1151">
        <f t="shared" si="57"/>
        <v>-208417308.73653752</v>
      </c>
      <c r="P112" s="1157">
        <f t="shared" si="52"/>
        <v>208417308.73653752</v>
      </c>
      <c r="Q112" s="1158">
        <f t="shared" si="51"/>
        <v>1215767.6342964689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7266815.2882989021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7266815.2882989021</v>
      </c>
      <c r="J113" s="1117">
        <f t="shared" si="49"/>
        <v>0</v>
      </c>
      <c r="K113" s="1083">
        <f t="shared" si="54"/>
        <v>-1215767.6342964689</v>
      </c>
      <c r="L113" s="1109">
        <f t="shared" si="50"/>
        <v>-1215767.6342964689</v>
      </c>
      <c r="M113" s="1149">
        <f t="shared" si="53"/>
        <v>6051047.6540024336</v>
      </c>
      <c r="N113" s="1150">
        <f t="shared" si="58"/>
        <v>-208417308.73653752</v>
      </c>
      <c r="O113" s="1151">
        <f t="shared" si="57"/>
        <v>-202366261.08253509</v>
      </c>
      <c r="P113" s="1157">
        <f t="shared" si="52"/>
        <v>202366261.08253509</v>
      </c>
      <c r="Q113" s="1158">
        <f t="shared" si="51"/>
        <v>1180469.8563147881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7266815.2882989021</v>
      </c>
      <c r="D114" s="1135"/>
      <c r="E114" s="1213">
        <f t="shared" si="56"/>
        <v>0</v>
      </c>
      <c r="F114" s="1135"/>
      <c r="G114" s="1083">
        <f t="shared" si="47"/>
        <v>0</v>
      </c>
      <c r="H114" s="1135"/>
      <c r="I114" s="1109">
        <f t="shared" si="48"/>
        <v>7266815.2882989021</v>
      </c>
      <c r="J114" s="1117">
        <f t="shared" si="49"/>
        <v>0</v>
      </c>
      <c r="K114" s="1083">
        <f t="shared" si="54"/>
        <v>-1180469.8563147881</v>
      </c>
      <c r="L114" s="1109">
        <f t="shared" si="50"/>
        <v>-1180469.8563147881</v>
      </c>
      <c r="M114" s="1149">
        <f t="shared" si="53"/>
        <v>6086345.4319841135</v>
      </c>
      <c r="N114" s="1150">
        <f t="shared" si="58"/>
        <v>-202366261.08253509</v>
      </c>
      <c r="O114" s="1151">
        <f t="shared" si="57"/>
        <v>-196279915.65055096</v>
      </c>
      <c r="P114" s="1157">
        <f t="shared" si="52"/>
        <v>196279915.65055096</v>
      </c>
      <c r="Q114" s="1158">
        <f t="shared" si="51"/>
        <v>1144966.174628214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7266815.2882989021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7266815.2882989021</v>
      </c>
      <c r="J115" s="1117">
        <f t="shared" si="49"/>
        <v>0</v>
      </c>
      <c r="K115" s="1083">
        <f t="shared" si="54"/>
        <v>-1144966.174628214</v>
      </c>
      <c r="L115" s="1109">
        <f t="shared" si="50"/>
        <v>-1144966.174628214</v>
      </c>
      <c r="M115" s="1149">
        <f t="shared" si="53"/>
        <v>6121849.1136706881</v>
      </c>
      <c r="N115" s="1150">
        <f t="shared" si="58"/>
        <v>-196279915.65055096</v>
      </c>
      <c r="O115" s="1151">
        <f t="shared" si="57"/>
        <v>-190158066.53688028</v>
      </c>
      <c r="P115" s="1157">
        <f t="shared" si="52"/>
        <v>190158066.53688028</v>
      </c>
      <c r="Q115" s="1158">
        <f t="shared" si="51"/>
        <v>1109255.3881318017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7266815.2882989021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7266815.2882989021</v>
      </c>
      <c r="J116" s="1117">
        <f t="shared" si="49"/>
        <v>0</v>
      </c>
      <c r="K116" s="1083">
        <f t="shared" si="54"/>
        <v>-1109255.3881318017</v>
      </c>
      <c r="L116" s="1109">
        <f t="shared" si="50"/>
        <v>-1109255.3881318017</v>
      </c>
      <c r="M116" s="1149">
        <f t="shared" si="53"/>
        <v>6157559.9001671001</v>
      </c>
      <c r="N116" s="1150">
        <f t="shared" si="58"/>
        <v>-190158066.53688028</v>
      </c>
      <c r="O116" s="1151">
        <f t="shared" si="57"/>
        <v>-184000506.63671318</v>
      </c>
      <c r="P116" s="1157">
        <f t="shared" si="52"/>
        <v>184000506.63671318</v>
      </c>
      <c r="Q116" s="1158">
        <f t="shared" si="51"/>
        <v>1073336.2887141604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7266815.2882989021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7266815.2882989021</v>
      </c>
      <c r="J117" s="1117">
        <f t="shared" si="49"/>
        <v>0</v>
      </c>
      <c r="K117" s="1083">
        <f t="shared" si="54"/>
        <v>-1073336.2887141604</v>
      </c>
      <c r="L117" s="1109">
        <f t="shared" si="50"/>
        <v>-1073336.2887141604</v>
      </c>
      <c r="M117" s="1149">
        <f t="shared" si="53"/>
        <v>6193478.9995847419</v>
      </c>
      <c r="N117" s="1150">
        <f t="shared" si="58"/>
        <v>-184000506.63671318</v>
      </c>
      <c r="O117" s="1151">
        <f t="shared" si="57"/>
        <v>-177807027.63712844</v>
      </c>
      <c r="P117" s="1157">
        <f t="shared" si="52"/>
        <v>177807027.63712844</v>
      </c>
      <c r="Q117" s="1158">
        <f t="shared" si="51"/>
        <v>1037207.6612165826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7266815.2882989021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7266815.2882989021</v>
      </c>
      <c r="J118" s="1117">
        <f t="shared" si="49"/>
        <v>0</v>
      </c>
      <c r="K118" s="1083">
        <f t="shared" si="54"/>
        <v>-1037207.6612165826</v>
      </c>
      <c r="L118" s="1109">
        <f t="shared" si="50"/>
        <v>-1037207.6612165826</v>
      </c>
      <c r="M118" s="1149">
        <f t="shared" si="53"/>
        <v>6229607.6270823199</v>
      </c>
      <c r="N118" s="1150">
        <f t="shared" si="58"/>
        <v>-177807027.63712844</v>
      </c>
      <c r="O118" s="1151">
        <f t="shared" si="57"/>
        <v>-171577420.01004612</v>
      </c>
      <c r="P118" s="1157">
        <f t="shared" si="52"/>
        <v>171577420.01004612</v>
      </c>
      <c r="Q118" s="1158">
        <f t="shared" si="51"/>
        <v>1000868.2833919358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7266815.2882989021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7266815.2882989021</v>
      </c>
      <c r="J119" s="1117">
        <f t="shared" si="49"/>
        <v>0</v>
      </c>
      <c r="K119" s="1083">
        <f t="shared" si="54"/>
        <v>-1000868.2833919358</v>
      </c>
      <c r="L119" s="1109">
        <f t="shared" si="50"/>
        <v>-1000868.2833919358</v>
      </c>
      <c r="M119" s="1149">
        <f t="shared" si="53"/>
        <v>6265947.0049069664</v>
      </c>
      <c r="N119" s="1150">
        <f t="shared" si="58"/>
        <v>-171577420.01004612</v>
      </c>
      <c r="O119" s="1151">
        <f t="shared" si="57"/>
        <v>-165311473.00513917</v>
      </c>
      <c r="P119" s="1157">
        <f t="shared" si="52"/>
        <v>165311473.00513917</v>
      </c>
      <c r="Q119" s="1158">
        <f t="shared" si="51"/>
        <v>964316.92586331198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7266815.2882989021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7266815.2882989021</v>
      </c>
      <c r="J120" s="1117">
        <f t="shared" si="49"/>
        <v>0</v>
      </c>
      <c r="K120" s="1083">
        <f t="shared" si="54"/>
        <v>-964316.92586331198</v>
      </c>
      <c r="L120" s="1109">
        <f t="shared" si="50"/>
        <v>-964316.92586331198</v>
      </c>
      <c r="M120" s="1149">
        <f t="shared" si="53"/>
        <v>6302498.3624355905</v>
      </c>
      <c r="N120" s="1150">
        <f t="shared" si="58"/>
        <v>-165311473.00513917</v>
      </c>
      <c r="O120" s="1151">
        <f t="shared" si="57"/>
        <v>-159008974.64270359</v>
      </c>
      <c r="P120" s="1157">
        <f t="shared" si="52"/>
        <v>159008974.64270359</v>
      </c>
      <c r="Q120" s="1158">
        <f t="shared" si="51"/>
        <v>927552.35208243772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7266815.2882989021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7266815.2882989021</v>
      </c>
      <c r="J121" s="1117">
        <f t="shared" si="49"/>
        <v>0</v>
      </c>
      <c r="K121" s="1083">
        <f t="shared" si="54"/>
        <v>-927552.35208243772</v>
      </c>
      <c r="L121" s="1109">
        <f t="shared" si="50"/>
        <v>-927552.35208243772</v>
      </c>
      <c r="M121" s="1149">
        <f t="shared" si="53"/>
        <v>6339262.9362164643</v>
      </c>
      <c r="N121" s="1150">
        <f t="shared" si="58"/>
        <v>-159008974.64270359</v>
      </c>
      <c r="O121" s="1151">
        <f t="shared" si="57"/>
        <v>-152669711.70648712</v>
      </c>
      <c r="P121" s="1157">
        <f t="shared" si="52"/>
        <v>152669711.70648712</v>
      </c>
      <c r="Q121" s="1158">
        <f t="shared" si="51"/>
        <v>890573.31828784163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7266815.2882989021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7266815.2882989021</v>
      </c>
      <c r="J122" s="1117">
        <f t="shared" si="49"/>
        <v>0</v>
      </c>
      <c r="K122" s="1083">
        <f t="shared" si="54"/>
        <v>-890573.31828784163</v>
      </c>
      <c r="L122" s="1109">
        <f t="shared" si="50"/>
        <v>-890573.31828784163</v>
      </c>
      <c r="M122" s="1149">
        <f t="shared" si="53"/>
        <v>6376241.9700110601</v>
      </c>
      <c r="N122" s="1150">
        <f t="shared" si="58"/>
        <v>-152669711.70648712</v>
      </c>
      <c r="O122" s="1151">
        <f t="shared" si="57"/>
        <v>-146293469.73647606</v>
      </c>
      <c r="P122" s="1157">
        <f t="shared" si="52"/>
        <v>146293469.73647606</v>
      </c>
      <c r="Q122" s="1158">
        <f t="shared" si="51"/>
        <v>853378.57346277719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7266815.2882989021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7266815.2882989021</v>
      </c>
      <c r="J123" s="1117">
        <f t="shared" si="49"/>
        <v>0</v>
      </c>
      <c r="K123" s="1083">
        <f t="shared" si="54"/>
        <v>-853378.57346277719</v>
      </c>
      <c r="L123" s="1109">
        <f t="shared" si="50"/>
        <v>-853378.57346277719</v>
      </c>
      <c r="M123" s="1149">
        <f t="shared" si="53"/>
        <v>6413436.7148361253</v>
      </c>
      <c r="N123" s="1150">
        <f t="shared" si="58"/>
        <v>-146293469.73647606</v>
      </c>
      <c r="O123" s="1151">
        <f t="shared" si="57"/>
        <v>-139880033.02163994</v>
      </c>
      <c r="P123" s="1157">
        <f t="shared" si="52"/>
        <v>139880033.02163994</v>
      </c>
      <c r="Q123" s="1158">
        <f t="shared" si="51"/>
        <v>815966.85929289972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7266815.2882989021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7266815.2882989021</v>
      </c>
      <c r="J124" s="1117">
        <f t="shared" si="49"/>
        <v>-833333.33333333337</v>
      </c>
      <c r="K124" s="1083">
        <f t="shared" si="54"/>
        <v>-815966.85929289972</v>
      </c>
      <c r="L124" s="1109">
        <f t="shared" si="50"/>
        <v>-1649300.1926262332</v>
      </c>
      <c r="M124" s="1149">
        <f t="shared" si="53"/>
        <v>5617515.0956726689</v>
      </c>
      <c r="N124" s="1150">
        <f t="shared" si="58"/>
        <v>-139880033.02163994</v>
      </c>
      <c r="O124" s="1151">
        <f t="shared" si="57"/>
        <v>-134262517.92596728</v>
      </c>
      <c r="P124" s="1157">
        <f t="shared" si="52"/>
        <v>134262517.92596728</v>
      </c>
      <c r="Q124" s="1158">
        <f t="shared" si="51"/>
        <v>783198.02123480907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7266815.2882989021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7266815.2882989021</v>
      </c>
      <c r="J125" s="1117">
        <f t="shared" si="49"/>
        <v>0</v>
      </c>
      <c r="K125" s="1083">
        <f t="shared" si="54"/>
        <v>-783198.02123480907</v>
      </c>
      <c r="L125" s="1109">
        <f t="shared" si="50"/>
        <v>-783198.02123480907</v>
      </c>
      <c r="M125" s="1149">
        <f t="shared" si="53"/>
        <v>6483617.2670640927</v>
      </c>
      <c r="N125" s="1150">
        <f t="shared" si="58"/>
        <v>-134262517.92596728</v>
      </c>
      <c r="O125" s="1151">
        <f t="shared" si="57"/>
        <v>-127778900.65890318</v>
      </c>
      <c r="P125" s="1157">
        <f t="shared" si="52"/>
        <v>127778900.65890318</v>
      </c>
      <c r="Q125" s="1158">
        <f t="shared" si="51"/>
        <v>745376.92051026865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7266815.2882989021</v>
      </c>
      <c r="D126" s="1135"/>
      <c r="E126" s="1213">
        <f t="shared" si="56"/>
        <v>0</v>
      </c>
      <c r="F126" s="1135"/>
      <c r="G126" s="1083">
        <f t="shared" si="47"/>
        <v>0</v>
      </c>
      <c r="H126" s="1135"/>
      <c r="I126" s="1109">
        <f t="shared" si="48"/>
        <v>7266815.2882989021</v>
      </c>
      <c r="J126" s="1117">
        <f t="shared" si="49"/>
        <v>0</v>
      </c>
      <c r="K126" s="1083">
        <f t="shared" si="54"/>
        <v>-745376.92051026865</v>
      </c>
      <c r="L126" s="1109">
        <f t="shared" si="50"/>
        <v>-745376.92051026865</v>
      </c>
      <c r="M126" s="1149">
        <f t="shared" si="53"/>
        <v>6521438.3677886333</v>
      </c>
      <c r="N126" s="1150">
        <f t="shared" si="58"/>
        <v>-127778900.65890318</v>
      </c>
      <c r="O126" s="1151">
        <f t="shared" si="57"/>
        <v>-121257462.29111455</v>
      </c>
      <c r="P126" s="1157">
        <f t="shared" si="52"/>
        <v>121257462.29111455</v>
      </c>
      <c r="Q126" s="1158">
        <f t="shared" si="51"/>
        <v>707335.19669816829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7266815.2882989021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7266815.2882989021</v>
      </c>
      <c r="J127" s="1117">
        <f t="shared" si="49"/>
        <v>0</v>
      </c>
      <c r="K127" s="1083">
        <f t="shared" si="54"/>
        <v>-707335.19669816829</v>
      </c>
      <c r="L127" s="1109">
        <f t="shared" si="50"/>
        <v>-707335.19669816829</v>
      </c>
      <c r="M127" s="1149">
        <f t="shared" si="53"/>
        <v>6559480.0916007338</v>
      </c>
      <c r="N127" s="1150">
        <f t="shared" si="58"/>
        <v>-121257462.29111455</v>
      </c>
      <c r="O127" s="1151">
        <f t="shared" si="57"/>
        <v>-114697982.19951382</v>
      </c>
      <c r="P127" s="1157">
        <f t="shared" si="52"/>
        <v>114697982.19951382</v>
      </c>
      <c r="Q127" s="1158">
        <f t="shared" si="51"/>
        <v>669071.56283049739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7266815.2882989021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7266815.2882989021</v>
      </c>
      <c r="J128" s="1117">
        <f t="shared" si="49"/>
        <v>0</v>
      </c>
      <c r="K128" s="1083">
        <f t="shared" si="54"/>
        <v>-669071.56283049739</v>
      </c>
      <c r="L128" s="1109">
        <f t="shared" si="50"/>
        <v>-669071.56283049739</v>
      </c>
      <c r="M128" s="1149">
        <f t="shared" si="53"/>
        <v>6597743.7254684046</v>
      </c>
      <c r="N128" s="1150">
        <f t="shared" si="58"/>
        <v>-114697982.19951382</v>
      </c>
      <c r="O128" s="1151">
        <f t="shared" si="57"/>
        <v>-108100238.47404543</v>
      </c>
      <c r="P128" s="1157">
        <f t="shared" si="52"/>
        <v>108100238.47404543</v>
      </c>
      <c r="Q128" s="1158">
        <f t="shared" si="51"/>
        <v>630584.72443193174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7266815.2882989021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7266815.2882989021</v>
      </c>
      <c r="J129" s="1117">
        <f t="shared" si="49"/>
        <v>0</v>
      </c>
      <c r="K129" s="1083">
        <f t="shared" si="54"/>
        <v>-630584.72443193174</v>
      </c>
      <c r="L129" s="1109">
        <f t="shared" si="50"/>
        <v>-630584.72443193174</v>
      </c>
      <c r="M129" s="1149">
        <f t="shared" si="53"/>
        <v>6636230.5638669701</v>
      </c>
      <c r="N129" s="1150">
        <f t="shared" si="58"/>
        <v>-108100238.47404543</v>
      </c>
      <c r="O129" s="1151">
        <f t="shared" si="57"/>
        <v>-101464007.91017845</v>
      </c>
      <c r="P129" s="1157">
        <f t="shared" si="52"/>
        <v>101464007.91017845</v>
      </c>
      <c r="Q129" s="1158">
        <f t="shared" si="51"/>
        <v>591873.37947604107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7266815.2882989021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7266815.2882989021</v>
      </c>
      <c r="J130" s="1117">
        <f t="shared" ref="J130:J161" si="62">U54</f>
        <v>0</v>
      </c>
      <c r="K130" s="1083">
        <f t="shared" si="54"/>
        <v>-591873.37947604107</v>
      </c>
      <c r="L130" s="1109">
        <f t="shared" ref="L130:L161" si="63">J130+K130</f>
        <v>-591873.37947604107</v>
      </c>
      <c r="M130" s="1149">
        <f t="shared" ref="M130:M161" si="64">I130+L130</f>
        <v>6674941.9088228606</v>
      </c>
      <c r="N130" s="1150">
        <f t="shared" si="58"/>
        <v>-101464007.91017845</v>
      </c>
      <c r="O130" s="1151">
        <f t="shared" si="57"/>
        <v>-94789066.001355588</v>
      </c>
      <c r="P130" s="1157">
        <f t="shared" ref="P130:P166" si="65">IF($O130&lt;0,$O130*-1,0)</f>
        <v>94789066.001355588</v>
      </c>
      <c r="Q130" s="1158">
        <f t="shared" ref="Q130:Q161" si="66">$P130*$G$14*1/12</f>
        <v>552936.21834124101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7266815.2882989021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7266815.2882989021</v>
      </c>
      <c r="J131" s="1117">
        <f t="shared" si="62"/>
        <v>0</v>
      </c>
      <c r="K131" s="1083">
        <f t="shared" si="54"/>
        <v>-552936.21834124101</v>
      </c>
      <c r="L131" s="1109">
        <f t="shared" si="63"/>
        <v>-552936.21834124101</v>
      </c>
      <c r="M131" s="1149">
        <f t="shared" si="64"/>
        <v>6713879.0699576614</v>
      </c>
      <c r="N131" s="1150">
        <f t="shared" si="58"/>
        <v>-94789066.001355588</v>
      </c>
      <c r="O131" s="1151">
        <f t="shared" si="57"/>
        <v>-88075186.93139793</v>
      </c>
      <c r="P131" s="1157">
        <f t="shared" si="65"/>
        <v>88075186.93139793</v>
      </c>
      <c r="Q131" s="1158">
        <f t="shared" si="66"/>
        <v>513771.92376648798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7266815.2882989021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7266815.2882989021</v>
      </c>
      <c r="J132" s="1117">
        <f t="shared" si="62"/>
        <v>0</v>
      </c>
      <c r="K132" s="1083">
        <f t="shared" si="54"/>
        <v>-513771.92376648798</v>
      </c>
      <c r="L132" s="1109">
        <f t="shared" si="63"/>
        <v>-513771.92376648798</v>
      </c>
      <c r="M132" s="1149">
        <f t="shared" si="64"/>
        <v>6753043.3645324139</v>
      </c>
      <c r="N132" s="1150">
        <f t="shared" si="58"/>
        <v>-88075186.93139793</v>
      </c>
      <c r="O132" s="1151">
        <f t="shared" si="57"/>
        <v>-81322143.566865519</v>
      </c>
      <c r="P132" s="1157">
        <f t="shared" si="65"/>
        <v>81322143.566865519</v>
      </c>
      <c r="Q132" s="1158">
        <f t="shared" si="66"/>
        <v>474379.17080671556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7266815.2882989021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7266815.2882989021</v>
      </c>
      <c r="J133" s="1117">
        <f t="shared" si="62"/>
        <v>0</v>
      </c>
      <c r="K133" s="1083">
        <f t="shared" si="54"/>
        <v>-474379.17080671556</v>
      </c>
      <c r="L133" s="1109">
        <f t="shared" si="63"/>
        <v>-474379.17080671556</v>
      </c>
      <c r="M133" s="1149">
        <f t="shared" si="64"/>
        <v>6792436.1174921868</v>
      </c>
      <c r="N133" s="1150">
        <f t="shared" si="58"/>
        <v>-81322143.566865519</v>
      </c>
      <c r="O133" s="1151">
        <f t="shared" si="57"/>
        <v>-74529707.449373335</v>
      </c>
      <c r="P133" s="1157">
        <f t="shared" si="65"/>
        <v>74529707.449373335</v>
      </c>
      <c r="Q133" s="1158">
        <f t="shared" si="66"/>
        <v>434756.62678801111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7266815.2882989021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7266815.2882989021</v>
      </c>
      <c r="J134" s="1117">
        <f t="shared" si="62"/>
        <v>0</v>
      </c>
      <c r="K134" s="1083">
        <f t="shared" si="54"/>
        <v>-434756.62678801111</v>
      </c>
      <c r="L134" s="1109">
        <f t="shared" si="63"/>
        <v>-434756.62678801111</v>
      </c>
      <c r="M134" s="1149">
        <f t="shared" si="64"/>
        <v>6832058.6615108913</v>
      </c>
      <c r="N134" s="1150">
        <f t="shared" si="58"/>
        <v>-74529707.449373335</v>
      </c>
      <c r="O134" s="1151">
        <f t="shared" si="57"/>
        <v>-67697648.78786245</v>
      </c>
      <c r="P134" s="1157">
        <f t="shared" si="65"/>
        <v>67697648.78786245</v>
      </c>
      <c r="Q134" s="1158">
        <f t="shared" si="66"/>
        <v>394902.95126253105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7266815.2882989021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7266815.2882989021</v>
      </c>
      <c r="J135" s="1117">
        <f t="shared" si="62"/>
        <v>0</v>
      </c>
      <c r="K135" s="1083">
        <f t="shared" si="54"/>
        <v>-394902.95126253105</v>
      </c>
      <c r="L135" s="1109">
        <f t="shared" si="63"/>
        <v>-394902.95126253105</v>
      </c>
      <c r="M135" s="1149">
        <f t="shared" si="64"/>
        <v>6871912.3370363712</v>
      </c>
      <c r="N135" s="1150">
        <f t="shared" si="58"/>
        <v>-67697648.78786245</v>
      </c>
      <c r="O135" s="1151">
        <f t="shared" si="57"/>
        <v>-60825736.450826079</v>
      </c>
      <c r="P135" s="1157">
        <f t="shared" si="65"/>
        <v>60825736.450826079</v>
      </c>
      <c r="Q135" s="1158">
        <f t="shared" si="66"/>
        <v>354816.79596315214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7266815.2882989021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7266815.2882989021</v>
      </c>
      <c r="J136" s="1117">
        <f t="shared" si="62"/>
        <v>-833333.33333333337</v>
      </c>
      <c r="K136" s="1083">
        <f t="shared" si="54"/>
        <v>-354816.79596315214</v>
      </c>
      <c r="L136" s="1109">
        <f t="shared" si="63"/>
        <v>-1188150.1292964856</v>
      </c>
      <c r="M136" s="1149">
        <f t="shared" si="64"/>
        <v>6078665.1590024168</v>
      </c>
      <c r="N136" s="1150">
        <f t="shared" si="58"/>
        <v>-60825736.450826079</v>
      </c>
      <c r="O136" s="1151">
        <f t="shared" si="57"/>
        <v>-54747071.291823663</v>
      </c>
      <c r="P136" s="1157">
        <f t="shared" si="65"/>
        <v>54747071.291823663</v>
      </c>
      <c r="Q136" s="1158">
        <f t="shared" si="66"/>
        <v>319357.91586897138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7266815.2882989021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7266815.2882989021</v>
      </c>
      <c r="J137" s="1117">
        <f t="shared" si="62"/>
        <v>0</v>
      </c>
      <c r="K137" s="1083">
        <f>Q136*-1</f>
        <v>-319357.91586897138</v>
      </c>
      <c r="L137" s="1109">
        <f t="shared" si="63"/>
        <v>-319357.91586897138</v>
      </c>
      <c r="M137" s="1149">
        <f t="shared" si="64"/>
        <v>6947457.3724299306</v>
      </c>
      <c r="N137" s="1150">
        <f t="shared" si="58"/>
        <v>-54747071.291823663</v>
      </c>
      <c r="O137" s="1151">
        <f t="shared" si="57"/>
        <v>-47799613.919393733</v>
      </c>
      <c r="P137" s="1157">
        <f t="shared" si="65"/>
        <v>47799613.919393733</v>
      </c>
      <c r="Q137" s="1158">
        <f t="shared" si="66"/>
        <v>278831.08119646349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0</v>
      </c>
      <c r="D138" s="1135"/>
      <c r="E138" s="1213">
        <f t="shared" si="56"/>
        <v>90909089.999999985</v>
      </c>
      <c r="F138" s="1135"/>
      <c r="G138" s="1083">
        <f t="shared" si="60"/>
        <v>0</v>
      </c>
      <c r="H138" s="1135"/>
      <c r="I138" s="1109">
        <f t="shared" si="61"/>
        <v>90909089.999999985</v>
      </c>
      <c r="J138" s="1117">
        <f t="shared" si="62"/>
        <v>0</v>
      </c>
      <c r="K138" s="1083">
        <f t="shared" si="54"/>
        <v>-278831.08119646349</v>
      </c>
      <c r="L138" s="1109">
        <f t="shared" si="63"/>
        <v>-278831.08119646349</v>
      </c>
      <c r="M138" s="1149">
        <f t="shared" si="64"/>
        <v>90630258.918803528</v>
      </c>
      <c r="N138" s="1150">
        <f t="shared" si="58"/>
        <v>-47799613.919393733</v>
      </c>
      <c r="O138" s="1151">
        <f t="shared" si="57"/>
        <v>42830644.999409795</v>
      </c>
      <c r="P138" s="1157">
        <f t="shared" si="65"/>
        <v>0</v>
      </c>
      <c r="Q138" s="1158">
        <f t="shared" si="66"/>
        <v>0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0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0</v>
      </c>
      <c r="J139" s="1117">
        <f t="shared" si="62"/>
        <v>0</v>
      </c>
      <c r="K139" s="1083">
        <f t="shared" si="54"/>
        <v>0</v>
      </c>
      <c r="L139" s="1109">
        <f t="shared" si="63"/>
        <v>0</v>
      </c>
      <c r="M139" s="1149">
        <f t="shared" si="64"/>
        <v>0</v>
      </c>
      <c r="N139" s="1150">
        <f>O138</f>
        <v>42830644.999409795</v>
      </c>
      <c r="O139" s="1151">
        <f t="shared" si="57"/>
        <v>42830644.999409795</v>
      </c>
      <c r="P139" s="1157">
        <f t="shared" si="65"/>
        <v>0</v>
      </c>
      <c r="Q139" s="1158">
        <f t="shared" si="66"/>
        <v>0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0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0</v>
      </c>
      <c r="J140" s="1117">
        <f t="shared" si="62"/>
        <v>0</v>
      </c>
      <c r="K140" s="1083">
        <f t="shared" si="54"/>
        <v>0</v>
      </c>
      <c r="L140" s="1109">
        <f t="shared" si="63"/>
        <v>0</v>
      </c>
      <c r="M140" s="1149">
        <f t="shared" si="64"/>
        <v>0</v>
      </c>
      <c r="N140" s="1150">
        <f t="shared" si="58"/>
        <v>42830644.999409795</v>
      </c>
      <c r="O140" s="1151">
        <f t="shared" si="57"/>
        <v>42830644.999409795</v>
      </c>
      <c r="P140" s="1157">
        <f t="shared" si="65"/>
        <v>0</v>
      </c>
      <c r="Q140" s="1158">
        <f t="shared" si="66"/>
        <v>0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0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0</v>
      </c>
      <c r="J141" s="1117">
        <f t="shared" si="62"/>
        <v>0</v>
      </c>
      <c r="K141" s="1083">
        <f t="shared" si="54"/>
        <v>0</v>
      </c>
      <c r="L141" s="1109">
        <f t="shared" si="63"/>
        <v>0</v>
      </c>
      <c r="M141" s="1149">
        <f t="shared" si="64"/>
        <v>0</v>
      </c>
      <c r="N141" s="1150">
        <f t="shared" si="58"/>
        <v>42830644.999409795</v>
      </c>
      <c r="O141" s="1151">
        <f t="shared" si="57"/>
        <v>42830644.999409795</v>
      </c>
      <c r="P141" s="1157">
        <f t="shared" si="65"/>
        <v>0</v>
      </c>
      <c r="Q141" s="1158">
        <f t="shared" si="66"/>
        <v>0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0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0</v>
      </c>
      <c r="J142" s="1117">
        <f t="shared" si="62"/>
        <v>0</v>
      </c>
      <c r="K142" s="1083">
        <f t="shared" si="54"/>
        <v>0</v>
      </c>
      <c r="L142" s="1109">
        <f t="shared" si="63"/>
        <v>0</v>
      </c>
      <c r="M142" s="1149">
        <f t="shared" si="64"/>
        <v>0</v>
      </c>
      <c r="N142" s="1150">
        <f t="shared" si="58"/>
        <v>42830644.999409795</v>
      </c>
      <c r="O142" s="1151">
        <f>M142+N142</f>
        <v>42830644.999409795</v>
      </c>
      <c r="P142" s="1157">
        <f t="shared" si="65"/>
        <v>0</v>
      </c>
      <c r="Q142" s="1158">
        <f t="shared" si="66"/>
        <v>0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0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0</v>
      </c>
      <c r="J143" s="1117">
        <f t="shared" si="62"/>
        <v>0</v>
      </c>
      <c r="K143" s="1083">
        <f t="shared" si="54"/>
        <v>0</v>
      </c>
      <c r="L143" s="1109">
        <f t="shared" si="63"/>
        <v>0</v>
      </c>
      <c r="M143" s="1149">
        <f t="shared" si="64"/>
        <v>0</v>
      </c>
      <c r="N143" s="1150">
        <f>O142</f>
        <v>42830644.999409795</v>
      </c>
      <c r="O143" s="1151">
        <f t="shared" si="57"/>
        <v>42830644.999409795</v>
      </c>
      <c r="P143" s="1157">
        <f t="shared" si="65"/>
        <v>0</v>
      </c>
      <c r="Q143" s="1158">
        <f t="shared" si="66"/>
        <v>0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0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0</v>
      </c>
      <c r="J144" s="1117">
        <f t="shared" si="62"/>
        <v>0</v>
      </c>
      <c r="K144" s="1083">
        <f t="shared" si="54"/>
        <v>0</v>
      </c>
      <c r="L144" s="1109">
        <f t="shared" si="63"/>
        <v>0</v>
      </c>
      <c r="M144" s="1149">
        <f t="shared" si="64"/>
        <v>0</v>
      </c>
      <c r="N144" s="1150">
        <f t="shared" si="58"/>
        <v>42830644.999409795</v>
      </c>
      <c r="O144" s="1151">
        <f t="shared" si="57"/>
        <v>42830644.999409795</v>
      </c>
      <c r="P144" s="1157">
        <f t="shared" si="65"/>
        <v>0</v>
      </c>
      <c r="Q144" s="1158">
        <f t="shared" si="66"/>
        <v>0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0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0</v>
      </c>
      <c r="J145" s="1117">
        <f t="shared" si="62"/>
        <v>0</v>
      </c>
      <c r="K145" s="1083">
        <f t="shared" si="54"/>
        <v>0</v>
      </c>
      <c r="L145" s="1109">
        <f t="shared" si="63"/>
        <v>0</v>
      </c>
      <c r="M145" s="1149">
        <f t="shared" si="64"/>
        <v>0</v>
      </c>
      <c r="N145" s="1150">
        <f t="shared" si="58"/>
        <v>42830644.999409795</v>
      </c>
      <c r="O145" s="1151">
        <f t="shared" si="57"/>
        <v>42830644.999409795</v>
      </c>
      <c r="P145" s="1157">
        <f t="shared" si="65"/>
        <v>0</v>
      </c>
      <c r="Q145" s="1158">
        <f t="shared" si="66"/>
        <v>0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0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0</v>
      </c>
      <c r="J146" s="1117">
        <f t="shared" si="62"/>
        <v>0</v>
      </c>
      <c r="K146" s="1083">
        <f t="shared" si="54"/>
        <v>0</v>
      </c>
      <c r="L146" s="1109">
        <f t="shared" si="63"/>
        <v>0</v>
      </c>
      <c r="M146" s="1149">
        <f t="shared" si="64"/>
        <v>0</v>
      </c>
      <c r="N146" s="1150">
        <f t="shared" si="58"/>
        <v>42830644.999409795</v>
      </c>
      <c r="O146" s="1151">
        <f t="shared" si="57"/>
        <v>42830644.999409795</v>
      </c>
      <c r="P146" s="1157">
        <f t="shared" si="65"/>
        <v>0</v>
      </c>
      <c r="Q146" s="1158">
        <f t="shared" si="66"/>
        <v>0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0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0</v>
      </c>
      <c r="J147" s="1117">
        <f t="shared" si="62"/>
        <v>0</v>
      </c>
      <c r="K147" s="1083">
        <f t="shared" si="54"/>
        <v>0</v>
      </c>
      <c r="L147" s="1109">
        <f t="shared" si="63"/>
        <v>0</v>
      </c>
      <c r="M147" s="1149">
        <f t="shared" si="64"/>
        <v>0</v>
      </c>
      <c r="N147" s="1150">
        <f t="shared" si="58"/>
        <v>42830644.999409795</v>
      </c>
      <c r="O147" s="1151">
        <f t="shared" si="57"/>
        <v>42830644.999409795</v>
      </c>
      <c r="P147" s="1157">
        <f t="shared" si="65"/>
        <v>0</v>
      </c>
      <c r="Q147" s="1158">
        <f t="shared" si="66"/>
        <v>0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0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0</v>
      </c>
      <c r="J148" s="1117">
        <f t="shared" si="62"/>
        <v>0</v>
      </c>
      <c r="K148" s="1083">
        <f t="shared" si="54"/>
        <v>0</v>
      </c>
      <c r="L148" s="1109">
        <f t="shared" si="63"/>
        <v>0</v>
      </c>
      <c r="M148" s="1149">
        <f t="shared" si="64"/>
        <v>0</v>
      </c>
      <c r="N148" s="1150">
        <f>O147</f>
        <v>42830644.999409795</v>
      </c>
      <c r="O148" s="1151">
        <f t="shared" si="57"/>
        <v>42830644.999409795</v>
      </c>
      <c r="P148" s="1157">
        <f t="shared" si="65"/>
        <v>0</v>
      </c>
      <c r="Q148" s="1158">
        <f t="shared" si="66"/>
        <v>0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0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0</v>
      </c>
      <c r="J149" s="1117">
        <f t="shared" si="62"/>
        <v>0</v>
      </c>
      <c r="K149" s="1083">
        <f t="shared" si="54"/>
        <v>0</v>
      </c>
      <c r="L149" s="1109">
        <f t="shared" si="63"/>
        <v>0</v>
      </c>
      <c r="M149" s="1149">
        <f t="shared" si="64"/>
        <v>0</v>
      </c>
      <c r="N149" s="1150">
        <f t="shared" si="58"/>
        <v>42830644.999409795</v>
      </c>
      <c r="O149" s="1151">
        <f t="shared" si="57"/>
        <v>42830644.999409795</v>
      </c>
      <c r="P149" s="1157">
        <f t="shared" si="65"/>
        <v>0</v>
      </c>
      <c r="Q149" s="1158">
        <f t="shared" si="66"/>
        <v>0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0</v>
      </c>
      <c r="F150" s="1135"/>
      <c r="G150" s="1083">
        <f t="shared" si="60"/>
        <v>0</v>
      </c>
      <c r="H150" s="1135"/>
      <c r="I150" s="1109">
        <f t="shared" si="61"/>
        <v>0</v>
      </c>
      <c r="J150" s="1117">
        <f t="shared" si="62"/>
        <v>0</v>
      </c>
      <c r="K150" s="1083">
        <f t="shared" si="54"/>
        <v>0</v>
      </c>
      <c r="L150" s="1109">
        <f t="shared" si="63"/>
        <v>0</v>
      </c>
      <c r="M150" s="1149">
        <f t="shared" si="64"/>
        <v>0</v>
      </c>
      <c r="N150" s="1150">
        <f t="shared" si="58"/>
        <v>42830644.999409795</v>
      </c>
      <c r="O150" s="1151">
        <f t="shared" si="57"/>
        <v>42830644.999409795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42830644.999409795</v>
      </c>
      <c r="O151" s="1151">
        <f t="shared" si="57"/>
        <v>42830644.999409795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42830644.999409795</v>
      </c>
      <c r="O152" s="1151">
        <f t="shared" si="57"/>
        <v>42830644.999409795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42830644.999409795</v>
      </c>
      <c r="O153" s="1151">
        <f t="shared" si="57"/>
        <v>42830644.999409795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42830644.999409795</v>
      </c>
      <c r="O154" s="1151">
        <f t="shared" si="57"/>
        <v>42830644.999409795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42830644.999409795</v>
      </c>
      <c r="O155" s="1151">
        <f t="shared" si="57"/>
        <v>42830644.999409795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42830644.999409795</v>
      </c>
      <c r="O156" s="1151">
        <f t="shared" si="57"/>
        <v>42830644.999409795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42830644.999409795</v>
      </c>
      <c r="O157" s="1151">
        <f t="shared" si="57"/>
        <v>42830644.999409795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42830644.999409795</v>
      </c>
      <c r="O158" s="1151">
        <f t="shared" si="57"/>
        <v>42830644.999409795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42830644.999409795</v>
      </c>
      <c r="O159" s="1151">
        <f t="shared" si="57"/>
        <v>42830644.999409795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42830644.999409795</v>
      </c>
      <c r="O160" s="1151">
        <f t="shared" si="57"/>
        <v>42830644.999409795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42830644.999409795</v>
      </c>
      <c r="O161" s="1151">
        <f t="shared" si="57"/>
        <v>42830644.999409795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42830644.999409795</v>
      </c>
      <c r="O162" s="1151">
        <f t="shared" si="57"/>
        <v>42830644.999409795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42830644.999409795</v>
      </c>
      <c r="O163" s="1151">
        <f t="shared" si="57"/>
        <v>42830644.999409795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42830644.999409795</v>
      </c>
      <c r="O164" s="1151">
        <f>M164+N164</f>
        <v>42830644.999409795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42830644.999409795</v>
      </c>
      <c r="O165" s="1151">
        <f>M165+N165</f>
        <v>42830644.999409795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42830644.999409795</v>
      </c>
      <c r="O166" s="1154">
        <f>M166+N166</f>
        <v>42830644.999409795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261605350.37876055</v>
      </c>
      <c r="D167" s="1140">
        <f t="shared" si="75"/>
        <v>0</v>
      </c>
      <c r="E167" s="1214">
        <f t="shared" si="75"/>
        <v>90909089.999999985</v>
      </c>
      <c r="F167" s="1140">
        <f t="shared" si="75"/>
        <v>0</v>
      </c>
      <c r="G167" s="849">
        <f t="shared" si="75"/>
        <v>22000000</v>
      </c>
      <c r="H167" s="1140"/>
      <c r="I167" s="1141">
        <f t="shared" si="75"/>
        <v>374514440.37876052</v>
      </c>
      <c r="J167" s="848">
        <f t="shared" si="75"/>
        <v>-296297611.11111104</v>
      </c>
      <c r="K167" s="849">
        <f t="shared" si="75"/>
        <v>-35386184.268239573</v>
      </c>
      <c r="L167" s="850">
        <f t="shared" si="75"/>
        <v>-331683795.37935084</v>
      </c>
      <c r="M167" s="848">
        <f>SUM(M98:M166)</f>
        <v>42830644.999409795</v>
      </c>
      <c r="N167" s="849"/>
      <c r="O167" s="850"/>
      <c r="P167" s="851">
        <f>SUM(P98:P166)</f>
        <v>6066203017.4124956</v>
      </c>
      <c r="Q167" s="851">
        <f>SUM(Q98:Q166)</f>
        <v>35386184.268239573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2.75" thickTop="1">
      <c r="AQ168" s="1010"/>
      <c r="AZ168" s="1042"/>
      <c r="BA168" s="675"/>
      <c r="BG168" s="1043"/>
      <c r="BI168" s="675"/>
    </row>
  </sheetData>
  <mergeCells count="167"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E94" zoomScale="85" zoomScaleNormal="85" workbookViewId="0">
      <selection activeCell="I103" sqref="I103"/>
    </sheetView>
  </sheetViews>
  <sheetFormatPr defaultColWidth="9.140625" defaultRowHeight="12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653" t="s">
        <v>61</v>
      </c>
      <c r="C4" s="1653"/>
      <c r="D4" s="1653"/>
      <c r="E4" s="1653"/>
      <c r="F4" s="1653"/>
      <c r="G4" s="1653"/>
      <c r="H4" s="1653" t="s">
        <v>62</v>
      </c>
      <c r="I4" s="1653"/>
      <c r="J4" s="1653"/>
      <c r="K4" s="1653"/>
      <c r="L4" s="1653"/>
      <c r="M4" s="1653"/>
      <c r="N4" s="1653"/>
      <c r="O4" s="1653"/>
      <c r="P4" s="1653"/>
      <c r="Q4" s="1653"/>
      <c r="R4" s="1653"/>
      <c r="S4" s="1653"/>
      <c r="T4" s="1653"/>
      <c r="U4" s="1653"/>
      <c r="V4" s="1653"/>
      <c r="W4" s="1653"/>
      <c r="X4" s="1653"/>
      <c r="Y4" s="1653"/>
      <c r="Z4" s="1653"/>
      <c r="AA4" s="1653"/>
      <c r="AB4" s="1653"/>
      <c r="AC4" s="1653"/>
      <c r="AD4" s="1653"/>
      <c r="AE4" s="1653"/>
      <c r="AF4" s="1653"/>
      <c r="AG4" s="1653"/>
      <c r="AH4" s="1653"/>
      <c r="AI4" s="1653"/>
      <c r="AJ4" s="1653"/>
      <c r="AK4" s="1653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77" t="s">
        <v>63</v>
      </c>
      <c r="C5" s="1577"/>
      <c r="D5" s="1577"/>
      <c r="E5" s="1577"/>
      <c r="F5" s="1577"/>
      <c r="G5" s="1577"/>
      <c r="H5" s="1652" t="s">
        <v>65</v>
      </c>
      <c r="I5" s="1652"/>
      <c r="J5" s="1652"/>
      <c r="K5" s="1652" t="s">
        <v>66</v>
      </c>
      <c r="L5" s="1652"/>
      <c r="M5" s="1652"/>
      <c r="N5" s="1652" t="s">
        <v>67</v>
      </c>
      <c r="O5" s="1652"/>
      <c r="P5" s="1652"/>
      <c r="Q5" s="1652" t="s">
        <v>68</v>
      </c>
      <c r="R5" s="1652"/>
      <c r="S5" s="1652"/>
      <c r="T5" s="1652"/>
      <c r="U5" s="1652"/>
      <c r="V5" s="1652" t="s">
        <v>69</v>
      </c>
      <c r="W5" s="1652"/>
      <c r="X5" s="1652"/>
      <c r="Y5" s="1652"/>
      <c r="Z5" s="1652"/>
      <c r="AA5" s="1652"/>
      <c r="AB5" s="1652" t="s">
        <v>70</v>
      </c>
      <c r="AC5" s="1652"/>
      <c r="AD5" s="1652"/>
      <c r="AE5" s="1652"/>
      <c r="AF5" s="1652"/>
      <c r="AG5" s="1652"/>
      <c r="AH5" s="1652"/>
      <c r="AI5" s="1652"/>
      <c r="AJ5" s="1652"/>
      <c r="AK5" s="1652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712" t="s">
        <v>71</v>
      </c>
      <c r="C6" s="1712"/>
      <c r="D6" s="1712"/>
      <c r="E6" s="1712"/>
      <c r="F6" s="1712"/>
      <c r="G6" s="1712"/>
      <c r="H6" s="1562" t="s">
        <v>72</v>
      </c>
      <c r="I6" s="1562"/>
      <c r="J6" s="866">
        <f>'①Tidak termasuk VAT TAX'!J6</f>
        <v>7266815.2882989021</v>
      </c>
      <c r="K6" s="1577" t="s">
        <v>73</v>
      </c>
      <c r="L6" s="1577"/>
      <c r="M6" s="867">
        <f>'①Tidak termasuk VAT TAX'!M6</f>
        <v>330000000</v>
      </c>
      <c r="N6" s="1562" t="s">
        <v>74</v>
      </c>
      <c r="O6" s="1562"/>
      <c r="P6" s="868">
        <f>'①Tidak termasuk VAT TAX'!P6</f>
        <v>0</v>
      </c>
      <c r="Q6" s="1576" t="s">
        <v>75</v>
      </c>
      <c r="R6" s="1576"/>
      <c r="S6" s="1576"/>
      <c r="T6" s="875" t="s">
        <v>76</v>
      </c>
      <c r="U6" s="875" t="s">
        <v>77</v>
      </c>
      <c r="V6" s="1584" t="s">
        <v>75</v>
      </c>
      <c r="W6" s="1584"/>
      <c r="X6" s="1584"/>
      <c r="Y6" s="875" t="s">
        <v>76</v>
      </c>
      <c r="Z6" s="1584" t="s">
        <v>77</v>
      </c>
      <c r="AA6" s="1584"/>
      <c r="AB6" s="1584" t="s">
        <v>78</v>
      </c>
      <c r="AC6" s="1584"/>
      <c r="AD6" s="1584"/>
      <c r="AE6" s="875" t="s">
        <v>79</v>
      </c>
      <c r="AF6" s="875" t="s">
        <v>80</v>
      </c>
      <c r="AG6" s="1584" t="s">
        <v>81</v>
      </c>
      <c r="AH6" s="1584"/>
      <c r="AI6" s="1584"/>
      <c r="AJ6" s="1584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709" t="s">
        <v>82</v>
      </c>
      <c r="C7" s="1710"/>
      <c r="D7" s="1711"/>
      <c r="E7" s="863">
        <v>1</v>
      </c>
      <c r="F7" s="864">
        <v>1</v>
      </c>
      <c r="G7" s="865">
        <v>2018</v>
      </c>
      <c r="H7" s="1562" t="s">
        <v>83</v>
      </c>
      <c r="I7" s="1562"/>
      <c r="J7" s="866">
        <f>'①Tidak termasuk VAT TAX'!J7</f>
        <v>36</v>
      </c>
      <c r="K7" s="1577" t="s">
        <v>84</v>
      </c>
      <c r="L7" s="1577"/>
      <c r="M7" s="867">
        <f>'①Tidak termasuk VAT TAX'!M7</f>
        <v>-4000000</v>
      </c>
      <c r="N7" s="1562" t="s">
        <v>85</v>
      </c>
      <c r="O7" s="1562"/>
      <c r="P7" s="868">
        <f>'①Tidak termasuk VAT TAX'!P7</f>
        <v>0</v>
      </c>
      <c r="Q7" s="1573" t="s">
        <v>86</v>
      </c>
      <c r="R7" s="1573"/>
      <c r="S7" s="1573"/>
      <c r="T7" s="862">
        <f>'①Tidak termasuk VAT TAX'!T7</f>
        <v>2500</v>
      </c>
      <c r="U7" s="862">
        <f>'①Tidak termasuk VAT TAX'!U7</f>
        <v>90000</v>
      </c>
      <c r="V7" s="1584" t="s">
        <v>87</v>
      </c>
      <c r="W7" s="1584"/>
      <c r="X7" s="1584"/>
      <c r="Y7" s="862"/>
      <c r="Z7" s="862">
        <f>'①Tidak termasuk VAT TAX'!AF7</f>
        <v>0</v>
      </c>
      <c r="AA7" s="862"/>
      <c r="AB7" s="1562" t="s">
        <v>88</v>
      </c>
      <c r="AC7" s="1562"/>
      <c r="AD7" s="1562"/>
      <c r="AE7" s="869">
        <f>'①Tidak termasuk VAT TAX'!AF7</f>
        <v>0</v>
      </c>
      <c r="AF7" s="862">
        <f>AE7*M8</f>
        <v>0</v>
      </c>
      <c r="AG7" s="1562" t="s">
        <v>89</v>
      </c>
      <c r="AH7" s="1562"/>
      <c r="AI7" s="1562"/>
      <c r="AJ7" s="1562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709" t="s">
        <v>90</v>
      </c>
      <c r="C8" s="1710"/>
      <c r="D8" s="1711"/>
      <c r="E8" s="863">
        <v>1</v>
      </c>
      <c r="F8" s="864">
        <v>1</v>
      </c>
      <c r="G8" s="870">
        <f>G7</f>
        <v>2018</v>
      </c>
      <c r="H8" s="1577" t="s">
        <v>92</v>
      </c>
      <c r="I8" s="1577"/>
      <c r="J8" s="866" t="str">
        <f>'①Tidak termasuk VAT TAX'!J8</f>
        <v>City</v>
      </c>
      <c r="K8" s="1577" t="s">
        <v>94</v>
      </c>
      <c r="L8" s="1577"/>
      <c r="M8" s="867">
        <f>'①Tidak termasuk VAT TAX'!M8</f>
        <v>326000000</v>
      </c>
      <c r="N8" s="1562" t="s">
        <v>95</v>
      </c>
      <c r="O8" s="1562"/>
      <c r="P8" s="868">
        <f>'①Tidak termasuk VAT TAX'!P8</f>
        <v>0</v>
      </c>
      <c r="Q8" s="1573" t="s">
        <v>96</v>
      </c>
      <c r="R8" s="1573"/>
      <c r="S8" s="1573"/>
      <c r="T8" s="862">
        <f>'①Tidak termasuk VAT TAX'!T8</f>
        <v>0</v>
      </c>
      <c r="U8" s="862">
        <f>'①Tidak termasuk VAT TAX'!U8</f>
        <v>0</v>
      </c>
      <c r="V8" s="1584" t="s">
        <v>97</v>
      </c>
      <c r="W8" s="1584"/>
      <c r="X8" s="1584"/>
      <c r="Y8" s="862"/>
      <c r="Z8" s="862"/>
      <c r="AA8" s="862"/>
      <c r="AB8" s="1562" t="s">
        <v>98</v>
      </c>
      <c r="AC8" s="1562"/>
      <c r="AD8" s="1562"/>
      <c r="AE8" s="869">
        <f>'①Tidak termasuk VAT TAX'!AF8</f>
        <v>0</v>
      </c>
      <c r="AF8" s="862">
        <f>AE8*P6</f>
        <v>0</v>
      </c>
      <c r="AG8" s="1562" t="s">
        <v>99</v>
      </c>
      <c r="AH8" s="1562"/>
      <c r="AI8" s="1562"/>
      <c r="AJ8" s="1562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713"/>
      <c r="C9" s="1714"/>
      <c r="D9" s="1715"/>
      <c r="E9" s="1713"/>
      <c r="F9" s="1714"/>
      <c r="G9" s="1715"/>
      <c r="H9" s="1577" t="s">
        <v>100</v>
      </c>
      <c r="I9" s="1577"/>
      <c r="J9" s="866" t="str">
        <f>'①Tidak termasuk VAT TAX'!J9</f>
        <v>Jabotabek</v>
      </c>
      <c r="K9" s="1577" t="s">
        <v>102</v>
      </c>
      <c r="L9" s="1577"/>
      <c r="M9" s="867">
        <f>'①Tidak termasuk VAT TAX'!M9</f>
        <v>33000000</v>
      </c>
      <c r="N9" s="1562"/>
      <c r="O9" s="1562"/>
      <c r="P9" s="868">
        <f>'①Tidak termasuk VAT TAX'!P9</f>
        <v>0</v>
      </c>
      <c r="Q9" s="1574" t="s">
        <v>103</v>
      </c>
      <c r="R9" s="1574"/>
      <c r="S9" s="1574"/>
      <c r="T9" s="862">
        <f>'①Tidak termasuk VAT TAX'!T9</f>
        <v>0</v>
      </c>
      <c r="U9" s="862">
        <f>'①Tidak termasuk VAT TAX'!U9</f>
        <v>0</v>
      </c>
      <c r="V9" s="1584" t="s">
        <v>104</v>
      </c>
      <c r="W9" s="1584"/>
      <c r="X9" s="1584"/>
      <c r="Y9" s="862"/>
      <c r="Z9" s="862"/>
      <c r="AA9" s="862"/>
      <c r="AB9" s="1562" t="s">
        <v>105</v>
      </c>
      <c r="AC9" s="1562"/>
      <c r="AD9" s="1562"/>
      <c r="AE9" s="869">
        <f>'①Tidak termasuk VAT TAX'!AF9</f>
        <v>0</v>
      </c>
      <c r="AF9" s="862">
        <f>AE9*P7</f>
        <v>0</v>
      </c>
      <c r="AG9" s="1562" t="s">
        <v>106</v>
      </c>
      <c r="AH9" s="1562"/>
      <c r="AI9" s="1562"/>
      <c r="AJ9" s="1562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62" t="s">
        <v>107</v>
      </c>
      <c r="C10" s="1562"/>
      <c r="D10" s="1562"/>
      <c r="E10" s="1562"/>
      <c r="F10" s="1562"/>
      <c r="G10" s="857">
        <f>G14+5%</f>
        <v>0.12000000000000001</v>
      </c>
      <c r="H10" s="1577" t="s">
        <v>108</v>
      </c>
      <c r="I10" s="1577"/>
      <c r="J10" s="866">
        <f>'①Tidak termasuk VAT TAX'!J10</f>
        <v>14</v>
      </c>
      <c r="K10" s="1577" t="s">
        <v>109</v>
      </c>
      <c r="L10" s="1577"/>
      <c r="M10" s="867">
        <f>'①Tidak termasuk VAT TAX'!M10</f>
        <v>0</v>
      </c>
      <c r="N10" s="1562"/>
      <c r="O10" s="1562"/>
      <c r="P10" s="868"/>
      <c r="Q10" s="1574" t="s">
        <v>111</v>
      </c>
      <c r="R10" s="1574"/>
      <c r="S10" s="1574"/>
      <c r="T10" s="862">
        <f>'①Tidak termasuk VAT TAX'!T10</f>
        <v>0</v>
      </c>
      <c r="U10" s="862">
        <f>'①Tidak termasuk VAT TAX'!U10</f>
        <v>0</v>
      </c>
      <c r="V10" s="1584" t="s">
        <v>112</v>
      </c>
      <c r="W10" s="1584"/>
      <c r="X10" s="876">
        <v>4.8611111111111112E-2</v>
      </c>
      <c r="Y10" s="862"/>
      <c r="Z10" s="862"/>
      <c r="AA10" s="862"/>
      <c r="AB10" s="1562" t="s">
        <v>113</v>
      </c>
      <c r="AC10" s="1562"/>
      <c r="AD10" s="1562"/>
      <c r="AE10" s="862"/>
      <c r="AF10" s="862">
        <v>3</v>
      </c>
      <c r="AG10" s="1562" t="s">
        <v>114</v>
      </c>
      <c r="AH10" s="1562"/>
      <c r="AI10" s="1562"/>
      <c r="AJ10" s="1562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62" t="s">
        <v>115</v>
      </c>
      <c r="C11" s="1562"/>
      <c r="D11" s="1562"/>
      <c r="E11" s="1562"/>
      <c r="F11" s="1562"/>
      <c r="G11" s="871"/>
      <c r="H11" s="1577"/>
      <c r="I11" s="1577"/>
      <c r="J11" s="852"/>
      <c r="K11" s="1578" t="s">
        <v>116</v>
      </c>
      <c r="L11" s="1578"/>
      <c r="M11" s="867">
        <f>'①Tidak termasuk VAT TAX'!M11</f>
        <v>22000000</v>
      </c>
      <c r="N11" s="1562" t="s">
        <v>117</v>
      </c>
      <c r="O11" s="1562"/>
      <c r="P11" s="868">
        <f>'①Tidak termasuk VAT TAX'!P11</f>
        <v>0</v>
      </c>
      <c r="Q11" s="1574" t="s">
        <v>118</v>
      </c>
      <c r="R11" s="1574"/>
      <c r="S11" s="1574"/>
      <c r="T11" s="862">
        <f>'①Tidak termasuk VAT TAX'!T11</f>
        <v>0</v>
      </c>
      <c r="U11" s="862">
        <f>'①Tidak termasuk VAT TAX'!U11</f>
        <v>0</v>
      </c>
      <c r="V11" s="1584" t="s">
        <v>278</v>
      </c>
      <c r="W11" s="1584"/>
      <c r="X11" s="1584"/>
      <c r="Y11" s="862"/>
      <c r="Z11" s="1716"/>
      <c r="AA11" s="1716"/>
      <c r="AB11" s="1562" t="s">
        <v>120</v>
      </c>
      <c r="AC11" s="1562"/>
      <c r="AD11" s="1562"/>
      <c r="AE11" s="862"/>
      <c r="AF11" s="862">
        <v>3</v>
      </c>
      <c r="AG11" s="1562" t="s">
        <v>121</v>
      </c>
      <c r="AH11" s="1562"/>
      <c r="AI11" s="1562"/>
      <c r="AJ11" s="1562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62" t="s">
        <v>122</v>
      </c>
      <c r="C12" s="1562"/>
      <c r="D12" s="1562"/>
      <c r="E12" s="1562"/>
      <c r="F12" s="1562"/>
      <c r="G12" s="871"/>
      <c r="H12" s="1580" t="s">
        <v>123</v>
      </c>
      <c r="I12" s="1580"/>
      <c r="J12" s="853"/>
      <c r="K12" s="1577" t="s">
        <v>124</v>
      </c>
      <c r="L12" s="1577"/>
      <c r="M12" s="867">
        <f>'①Tidak termasuk VAT TAX'!M12</f>
        <v>2200000</v>
      </c>
      <c r="N12" s="1562" t="s">
        <v>125</v>
      </c>
      <c r="O12" s="1562"/>
      <c r="P12" s="868">
        <f>'①Tidak termasuk VAT TAX'!P12</f>
        <v>0</v>
      </c>
      <c r="Q12" s="1575"/>
      <c r="R12" s="1575"/>
      <c r="S12" s="1575"/>
      <c r="T12" s="1555"/>
      <c r="U12" s="1555"/>
      <c r="V12" s="1584"/>
      <c r="W12" s="1584"/>
      <c r="X12" s="1584"/>
      <c r="Y12" s="862"/>
      <c r="Z12" s="1716"/>
      <c r="AA12" s="1716"/>
      <c r="AB12" s="1562" t="s">
        <v>126</v>
      </c>
      <c r="AC12" s="1562"/>
      <c r="AD12" s="1562"/>
      <c r="AE12" s="862"/>
      <c r="AF12" s="862">
        <v>3</v>
      </c>
      <c r="AG12" s="1562" t="s">
        <v>127</v>
      </c>
      <c r="AH12" s="1562"/>
      <c r="AI12" s="1562"/>
      <c r="AJ12" s="1562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62" t="s">
        <v>128</v>
      </c>
      <c r="C13" s="1562"/>
      <c r="D13" s="1562"/>
      <c r="E13" s="1562"/>
      <c r="F13" s="1562"/>
      <c r="G13" s="877">
        <f>'①Tidak termasuk VAT TAX'!G13</f>
        <v>0.13500000000000001</v>
      </c>
      <c r="H13" s="1577"/>
      <c r="I13" s="1577"/>
      <c r="J13" s="854"/>
      <c r="K13" s="1579" t="s">
        <v>129</v>
      </c>
      <c r="L13" s="1579"/>
      <c r="M13" s="867">
        <f>'①Tidak termasuk VAT TAX'!M13</f>
        <v>3300000</v>
      </c>
      <c r="N13" s="1562"/>
      <c r="O13" s="1562"/>
      <c r="P13" s="868"/>
      <c r="Q13" s="1598" t="s">
        <v>131</v>
      </c>
      <c r="R13" s="1598"/>
      <c r="S13" s="1598"/>
      <c r="T13" s="872"/>
      <c r="U13" s="873"/>
      <c r="V13" s="1584"/>
      <c r="W13" s="1584"/>
      <c r="X13" s="1584"/>
      <c r="Y13" s="862"/>
      <c r="Z13" s="1716"/>
      <c r="AA13" s="1716"/>
      <c r="AB13" s="1562"/>
      <c r="AC13" s="1562"/>
      <c r="AD13" s="1562"/>
      <c r="AE13" s="862"/>
      <c r="AF13" s="862"/>
      <c r="AG13" s="1562"/>
      <c r="AH13" s="1562"/>
      <c r="AI13" s="1562"/>
      <c r="AJ13" s="156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62" t="s">
        <v>132</v>
      </c>
      <c r="C14" s="1562"/>
      <c r="D14" s="1562"/>
      <c r="E14" s="1562"/>
      <c r="F14" s="1562"/>
      <c r="G14" s="877">
        <f>'①Tidak termasuk VAT TAX'!G14</f>
        <v>7.0000000000000007E-2</v>
      </c>
      <c r="H14" s="1577"/>
      <c r="I14" s="1577"/>
      <c r="J14" s="855"/>
      <c r="K14" s="1578" t="s">
        <v>133</v>
      </c>
      <c r="L14" s="1578"/>
      <c r="M14" s="867">
        <f>'①Tidak termasuk VAT TAX'!M14</f>
        <v>99999998.999999985</v>
      </c>
      <c r="N14" s="1562"/>
      <c r="O14" s="1562"/>
      <c r="P14" s="868"/>
      <c r="Q14" s="1598"/>
      <c r="R14" s="1598"/>
      <c r="S14" s="1598"/>
      <c r="T14" s="874"/>
      <c r="U14" s="873">
        <v>1</v>
      </c>
      <c r="V14" s="1584"/>
      <c r="W14" s="1584"/>
      <c r="X14" s="1584"/>
      <c r="Y14" s="862"/>
      <c r="Z14" s="1716"/>
      <c r="AA14" s="1716"/>
      <c r="AB14" s="1562"/>
      <c r="AC14" s="1562"/>
      <c r="AD14" s="1562"/>
      <c r="AE14" s="862"/>
      <c r="AF14" s="862"/>
      <c r="AG14" s="1562"/>
      <c r="AH14" s="1562"/>
      <c r="AI14" s="1562"/>
      <c r="AJ14" s="156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62" t="s">
        <v>135</v>
      </c>
      <c r="C15" s="1562"/>
      <c r="D15" s="1562"/>
      <c r="E15" s="1562"/>
      <c r="F15" s="1562"/>
      <c r="G15" s="857">
        <f>G13-G14</f>
        <v>6.5000000000000002E-2</v>
      </c>
      <c r="H15" s="1577"/>
      <c r="I15" s="1577"/>
      <c r="J15" s="855"/>
      <c r="K15" s="1577" t="s">
        <v>136</v>
      </c>
      <c r="L15" s="1577"/>
      <c r="M15" s="867">
        <f>'①Tidak termasuk VAT TAX'!M15</f>
        <v>9090909</v>
      </c>
      <c r="N15" s="1562"/>
      <c r="O15" s="1562"/>
      <c r="P15" s="858"/>
      <c r="Q15" s="1576"/>
      <c r="R15" s="1576"/>
      <c r="S15" s="1576"/>
      <c r="T15" s="1584"/>
      <c r="U15" s="1584"/>
      <c r="V15" s="1584"/>
      <c r="W15" s="1584"/>
      <c r="X15" s="1584"/>
      <c r="Y15" s="862"/>
      <c r="Z15" s="1716"/>
      <c r="AA15" s="1716"/>
      <c r="AB15" s="1562"/>
      <c r="AC15" s="1562"/>
      <c r="AD15" s="1562"/>
      <c r="AE15" s="862"/>
      <c r="AF15" s="862"/>
      <c r="AG15" s="1562"/>
      <c r="AH15" s="1562"/>
      <c r="AI15" s="1562"/>
      <c r="AJ15" s="156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92" t="s">
        <v>140</v>
      </c>
      <c r="F17" s="1693"/>
      <c r="G17" s="1693"/>
      <c r="H17" s="1693"/>
      <c r="I17" s="1693"/>
      <c r="J17" s="1693"/>
      <c r="K17" s="1693"/>
      <c r="L17" s="1693"/>
      <c r="M17" s="1693"/>
      <c r="N17" s="1693"/>
      <c r="O17" s="1693"/>
      <c r="P17" s="1693"/>
      <c r="Q17" s="1693"/>
      <c r="R17" s="1693"/>
      <c r="S17" s="1693"/>
      <c r="T17" s="1703"/>
      <c r="U17" s="1668" t="s">
        <v>286</v>
      </c>
      <c r="V17" s="1671" t="s">
        <v>142</v>
      </c>
      <c r="W17" s="1672"/>
      <c r="X17" s="1672"/>
      <c r="Y17" s="1672"/>
      <c r="Z17" s="1672"/>
      <c r="AA17" s="1663" t="s">
        <v>288</v>
      </c>
      <c r="AB17" s="1654" t="s">
        <v>287</v>
      </c>
      <c r="AC17" s="1607" t="s">
        <v>289</v>
      </c>
      <c r="AD17" s="1665" t="s">
        <v>290</v>
      </c>
      <c r="AE17" s="859"/>
      <c r="AF17" s="859"/>
      <c r="AG17" s="1689" t="s">
        <v>293</v>
      </c>
      <c r="AH17" s="1721" t="s">
        <v>293</v>
      </c>
      <c r="AI17" s="1692" t="s">
        <v>146</v>
      </c>
      <c r="AJ17" s="1693"/>
      <c r="AK17" s="1693"/>
      <c r="AL17" s="1693"/>
      <c r="AM17" s="1694"/>
      <c r="AN17" s="1692" t="s">
        <v>147</v>
      </c>
      <c r="AO17" s="1693"/>
      <c r="AP17" s="1693"/>
      <c r="AQ17" s="1694"/>
      <c r="AR17" s="1695" t="s">
        <v>148</v>
      </c>
      <c r="AS17" s="1695" t="s">
        <v>149</v>
      </c>
      <c r="AT17" s="1695" t="s">
        <v>150</v>
      </c>
      <c r="AU17" s="1649" t="s">
        <v>151</v>
      </c>
    </row>
    <row r="18" spans="1:91" s="680" customFormat="1" ht="18" customHeight="1">
      <c r="B18" s="684"/>
      <c r="C18" s="685"/>
      <c r="D18" s="686"/>
      <c r="E18" s="1588" t="s">
        <v>279</v>
      </c>
      <c r="F18" s="1592"/>
      <c r="G18" s="1592" t="s">
        <v>154</v>
      </c>
      <c r="H18" s="1592"/>
      <c r="I18" s="1592" t="s">
        <v>280</v>
      </c>
      <c r="J18" s="1592"/>
      <c r="K18" s="1592" t="s">
        <v>281</v>
      </c>
      <c r="L18" s="1592"/>
      <c r="M18" s="1685" t="s">
        <v>157</v>
      </c>
      <c r="N18" s="1685" t="s">
        <v>158</v>
      </c>
      <c r="O18" s="1685" t="s">
        <v>159</v>
      </c>
      <c r="P18" s="1592" t="s">
        <v>160</v>
      </c>
      <c r="Q18" s="1688"/>
      <c r="R18" s="1657" t="s">
        <v>161</v>
      </c>
      <c r="S18" s="1657" t="s">
        <v>162</v>
      </c>
      <c r="T18" s="1660" t="s">
        <v>163</v>
      </c>
      <c r="U18" s="1669"/>
      <c r="V18" s="1558" t="s">
        <v>164</v>
      </c>
      <c r="W18" s="1594"/>
      <c r="X18" s="1594" t="s">
        <v>165</v>
      </c>
      <c r="Y18" s="1594"/>
      <c r="Z18" s="1594"/>
      <c r="AA18" s="1516"/>
      <c r="AB18" s="1655"/>
      <c r="AC18" s="1608"/>
      <c r="AD18" s="1666"/>
      <c r="AE18" s="860"/>
      <c r="AF18" s="860"/>
      <c r="AG18" s="1690"/>
      <c r="AH18" s="1722"/>
      <c r="AI18" s="1673" t="s">
        <v>306</v>
      </c>
      <c r="AJ18" s="1676" t="s">
        <v>167</v>
      </c>
      <c r="AK18" s="1676" t="s">
        <v>168</v>
      </c>
      <c r="AL18" s="1679" t="s">
        <v>169</v>
      </c>
      <c r="AM18" s="1682" t="s">
        <v>170</v>
      </c>
      <c r="AN18" s="1698" t="s">
        <v>171</v>
      </c>
      <c r="AO18" s="1701" t="s">
        <v>172</v>
      </c>
      <c r="AP18" s="1676" t="s">
        <v>173</v>
      </c>
      <c r="AQ18" s="687" t="s">
        <v>174</v>
      </c>
      <c r="AR18" s="1696"/>
      <c r="AS18" s="1696"/>
      <c r="AT18" s="1696"/>
      <c r="AU18" s="1650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705" t="s">
        <v>282</v>
      </c>
      <c r="F19" s="1515" t="s">
        <v>182</v>
      </c>
      <c r="G19" s="1707" t="s">
        <v>181</v>
      </c>
      <c r="H19" s="1515" t="s">
        <v>182</v>
      </c>
      <c r="I19" s="1707" t="s">
        <v>283</v>
      </c>
      <c r="J19" s="1515" t="s">
        <v>182</v>
      </c>
      <c r="K19" s="1707" t="s">
        <v>183</v>
      </c>
      <c r="L19" s="1515" t="s">
        <v>182</v>
      </c>
      <c r="M19" s="1686"/>
      <c r="N19" s="1686"/>
      <c r="O19" s="1686"/>
      <c r="P19" s="1707" t="s">
        <v>183</v>
      </c>
      <c r="Q19" s="1515" t="s">
        <v>182</v>
      </c>
      <c r="R19" s="1658"/>
      <c r="S19" s="1658"/>
      <c r="T19" s="1661"/>
      <c r="U19" s="1669"/>
      <c r="V19" s="1558" t="s">
        <v>184</v>
      </c>
      <c r="W19" s="1594" t="s">
        <v>169</v>
      </c>
      <c r="X19" s="1594" t="s">
        <v>185</v>
      </c>
      <c r="Y19" s="1592" t="s">
        <v>169</v>
      </c>
      <c r="Z19" s="1594" t="s">
        <v>285</v>
      </c>
      <c r="AA19" s="1516"/>
      <c r="AB19" s="1655"/>
      <c r="AC19" s="1608"/>
      <c r="AD19" s="1666"/>
      <c r="AE19" s="860" t="s">
        <v>291</v>
      </c>
      <c r="AF19" s="860" t="s">
        <v>292</v>
      </c>
      <c r="AG19" s="1690"/>
      <c r="AH19" s="1722"/>
      <c r="AI19" s="1674"/>
      <c r="AJ19" s="1677"/>
      <c r="AK19" s="1677"/>
      <c r="AL19" s="1680"/>
      <c r="AM19" s="1683"/>
      <c r="AN19" s="1699"/>
      <c r="AO19" s="1701"/>
      <c r="AP19" s="1677"/>
      <c r="AQ19" s="690"/>
      <c r="AR19" s="1696"/>
      <c r="AS19" s="1696"/>
      <c r="AT19" s="1696"/>
      <c r="AU19" s="1650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706"/>
      <c r="F20" s="1704"/>
      <c r="G20" s="1708"/>
      <c r="H20" s="1704"/>
      <c r="I20" s="1708"/>
      <c r="J20" s="1704"/>
      <c r="K20" s="1708"/>
      <c r="L20" s="1704"/>
      <c r="M20" s="1687"/>
      <c r="N20" s="1687"/>
      <c r="O20" s="1687"/>
      <c r="P20" s="1708"/>
      <c r="Q20" s="1704"/>
      <c r="R20" s="1659"/>
      <c r="S20" s="1659"/>
      <c r="T20" s="1662"/>
      <c r="U20" s="1670"/>
      <c r="V20" s="1559"/>
      <c r="W20" s="1616"/>
      <c r="X20" s="1616"/>
      <c r="Y20" s="1614"/>
      <c r="Z20" s="1614"/>
      <c r="AA20" s="1664"/>
      <c r="AB20" s="1656"/>
      <c r="AC20" s="1609"/>
      <c r="AD20" s="1667"/>
      <c r="AE20" s="861"/>
      <c r="AF20" s="861"/>
      <c r="AG20" s="1691"/>
      <c r="AH20" s="1723"/>
      <c r="AI20" s="1675"/>
      <c r="AJ20" s="1678"/>
      <c r="AK20" s="1678"/>
      <c r="AL20" s="1681"/>
      <c r="AM20" s="1684"/>
      <c r="AN20" s="1700"/>
      <c r="AO20" s="1702"/>
      <c r="AP20" s="1678"/>
      <c r="AQ20" s="694"/>
      <c r="AR20" s="1697"/>
      <c r="AS20" s="1697"/>
      <c r="AT20" s="1697"/>
      <c r="AU20" s="1651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4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5">
        <f>IF($AK$10=$A22*-1,$AK$7*-1,0)</f>
        <v>0</v>
      </c>
      <c r="G22" s="1226"/>
      <c r="H22" s="1225">
        <f>IF($AK$11=$A22*-1,$AK$8*-1,0)</f>
        <v>0</v>
      </c>
      <c r="I22" s="1226"/>
      <c r="J22" s="1225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4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4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-33000000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-33000000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-33000000</v>
      </c>
      <c r="AD25" s="739">
        <f t="shared" si="9"/>
        <v>-33000000</v>
      </c>
      <c r="AE25" s="739">
        <f>IF(AD25&lt;=0,AC25,-AD24)</f>
        <v>-33000000</v>
      </c>
      <c r="AF25" s="739"/>
      <c r="AG25" s="739">
        <f>PV($G$14/12,$B25,0,$AC25*-1,1)</f>
        <v>-33000000</v>
      </c>
      <c r="AH25" s="740">
        <f>AG25</f>
        <v>-33000000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0</v>
      </c>
      <c r="R26" s="753"/>
      <c r="S26" s="753"/>
      <c r="T26" s="753"/>
      <c r="U26" s="754">
        <f t="shared" si="1"/>
        <v>0</v>
      </c>
      <c r="V26" s="751"/>
      <c r="W26" s="752">
        <f t="shared" si="11"/>
        <v>0</v>
      </c>
      <c r="X26" s="753"/>
      <c r="Y26" s="752">
        <f>M12</f>
        <v>2200000</v>
      </c>
      <c r="Z26" s="736">
        <f>'①Tidak termasuk VAT TAX'!AJ26*10%</f>
        <v>726681.5288298903</v>
      </c>
      <c r="AA26" s="761"/>
      <c r="AB26" s="754">
        <f>SUM(V26:AA26)</f>
        <v>2926681.5288298903</v>
      </c>
      <c r="AC26" s="738">
        <f>U26+AB26</f>
        <v>2926681.5288298903</v>
      </c>
      <c r="AD26" s="739">
        <f t="shared" si="9"/>
        <v>-30073318.471170109</v>
      </c>
      <c r="AE26" s="739">
        <f>IF(AD26&lt;=0,AC26,-AD25)</f>
        <v>2926681.5288298903</v>
      </c>
      <c r="AF26" s="739">
        <f>IF(AD26&lt;=0,AE26,)</f>
        <v>2926681.5288298903</v>
      </c>
      <c r="AG26" s="739">
        <f>PV($G$14/12,$B26,0,$AE26*-1,0)</f>
        <v>2909708.2308167922</v>
      </c>
      <c r="AH26" s="740">
        <f>IF(AG26&gt;=0,AG26,)</f>
        <v>2909708.2308167922</v>
      </c>
      <c r="AI26" s="738">
        <f>PMT($G$14/12,$J$7,$AH$91,,0)</f>
        <v>109211.19147509469</v>
      </c>
      <c r="AJ26" s="762"/>
      <c r="AK26" s="763"/>
      <c r="AL26" s="752">
        <f>AI26</f>
        <v>109211.19147509469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0</v>
      </c>
      <c r="R27" s="753"/>
      <c r="S27" s="753"/>
      <c r="T27" s="753"/>
      <c r="U27" s="754">
        <f t="shared" si="1"/>
        <v>0</v>
      </c>
      <c r="V27" s="751"/>
      <c r="W27" s="752">
        <f t="shared" si="11"/>
        <v>0</v>
      </c>
      <c r="X27" s="753"/>
      <c r="Y27" s="752"/>
      <c r="Z27" s="736">
        <f>'①Tidak termasuk VAT TAX'!AJ27*10%</f>
        <v>726681.5288298903</v>
      </c>
      <c r="AA27" s="753"/>
      <c r="AB27" s="754">
        <f t="shared" ref="AB27:AB89" si="16">SUM(V27:AA27)</f>
        <v>726681.5288298903</v>
      </c>
      <c r="AC27" s="738">
        <f>U27+AB27</f>
        <v>726681.5288298903</v>
      </c>
      <c r="AD27" s="739">
        <f t="shared" si="9"/>
        <v>-29346636.942340218</v>
      </c>
      <c r="AE27" s="739">
        <f>IF(AD27&lt;=0,AC27,-AD26)</f>
        <v>726681.5288298903</v>
      </c>
      <c r="AF27" s="739">
        <f t="shared" ref="AF27:AF60" si="17">IF(AD27&lt;=0,AE27,)</f>
        <v>726681.5288298903</v>
      </c>
      <c r="AG27" s="739">
        <f>PV($G$14/12,$B27,0,$AE27*-1,0)</f>
        <v>718277.18693910073</v>
      </c>
      <c r="AH27" s="740">
        <f>IF(AG27&gt;=0,AG27,)</f>
        <v>718277.18693910073</v>
      </c>
      <c r="AI27" s="738">
        <f>IF(AU27&lt;=$J$7,AI26,0)</f>
        <v>109211.19147509469</v>
      </c>
      <c r="AJ27" s="762"/>
      <c r="AK27" s="763"/>
      <c r="AL27" s="752">
        <f t="shared" ref="AL27:AL85" si="18">AI27</f>
        <v>109211.19147509469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0</v>
      </c>
      <c r="R28" s="753"/>
      <c r="S28" s="753"/>
      <c r="T28" s="753"/>
      <c r="U28" s="754">
        <f t="shared" si="1"/>
        <v>0</v>
      </c>
      <c r="V28" s="751"/>
      <c r="W28" s="752">
        <f t="shared" si="11"/>
        <v>0</v>
      </c>
      <c r="X28" s="753"/>
      <c r="Y28" s="752"/>
      <c r="Z28" s="736">
        <f>'①Tidak termasuk VAT TAX'!AJ28*10%</f>
        <v>726681.5288298903</v>
      </c>
      <c r="AA28" s="753"/>
      <c r="AB28" s="754">
        <f t="shared" si="16"/>
        <v>726681.5288298903</v>
      </c>
      <c r="AC28" s="738">
        <f t="shared" si="8"/>
        <v>726681.5288298903</v>
      </c>
      <c r="AD28" s="739">
        <f t="shared" si="9"/>
        <v>-28619955.413510326</v>
      </c>
      <c r="AE28" s="739">
        <f t="shared" si="10"/>
        <v>726681.5288298903</v>
      </c>
      <c r="AF28" s="739">
        <f t="shared" si="17"/>
        <v>726681.5288298903</v>
      </c>
      <c r="AG28" s="739">
        <f t="shared" ref="AG28:AG57" si="19">PV($G$14/12,$B28,0,$AE28*-1,0)</f>
        <v>714111.53631062212</v>
      </c>
      <c r="AH28" s="740">
        <f t="shared" ref="AH28:AH90" si="20">IF(AG28&gt;=0,AG28,)</f>
        <v>714111.53631062212</v>
      </c>
      <c r="AI28" s="738">
        <f>IF(AU28&lt;=$J$7,AI27,0)</f>
        <v>109211.19147509469</v>
      </c>
      <c r="AJ28" s="762"/>
      <c r="AK28" s="763"/>
      <c r="AL28" s="752">
        <f t="shared" si="18"/>
        <v>109211.19147509469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0</v>
      </c>
      <c r="R29" s="753"/>
      <c r="S29" s="753"/>
      <c r="T29" s="753"/>
      <c r="U29" s="754">
        <f t="shared" si="1"/>
        <v>0</v>
      </c>
      <c r="V29" s="751"/>
      <c r="W29" s="752">
        <f t="shared" si="11"/>
        <v>0</v>
      </c>
      <c r="X29" s="753"/>
      <c r="Y29" s="752"/>
      <c r="Z29" s="736">
        <f>'①Tidak termasuk VAT TAX'!AJ29*10%</f>
        <v>726681.5288298903</v>
      </c>
      <c r="AA29" s="753"/>
      <c r="AB29" s="754">
        <f t="shared" si="16"/>
        <v>726681.5288298903</v>
      </c>
      <c r="AC29" s="738">
        <f t="shared" si="8"/>
        <v>726681.5288298903</v>
      </c>
      <c r="AD29" s="739">
        <f t="shared" ref="AC29:AD91" si="21">AD28+AC29</f>
        <v>-27893273.884680435</v>
      </c>
      <c r="AE29" s="739">
        <f t="shared" si="10"/>
        <v>726681.5288298903</v>
      </c>
      <c r="AF29" s="739">
        <f t="shared" si="17"/>
        <v>726681.5288298903</v>
      </c>
      <c r="AG29" s="739">
        <f t="shared" si="19"/>
        <v>709970.04438504262</v>
      </c>
      <c r="AH29" s="740">
        <f t="shared" si="20"/>
        <v>709970.04438504262</v>
      </c>
      <c r="AI29" s="738">
        <f>IF(AU29&lt;=$J$7,AI28,0)</f>
        <v>109211.19147509469</v>
      </c>
      <c r="AJ29" s="762"/>
      <c r="AK29" s="763"/>
      <c r="AL29" s="752">
        <f t="shared" si="18"/>
        <v>109211.19147509469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0</v>
      </c>
      <c r="R30" s="753"/>
      <c r="S30" s="753"/>
      <c r="T30" s="753"/>
      <c r="U30" s="754">
        <f t="shared" si="1"/>
        <v>0</v>
      </c>
      <c r="V30" s="751"/>
      <c r="W30" s="752">
        <f t="shared" si="11"/>
        <v>0</v>
      </c>
      <c r="X30" s="753"/>
      <c r="Y30" s="752"/>
      <c r="Z30" s="736">
        <f>'①Tidak termasuk VAT TAX'!AJ30*10%</f>
        <v>726681.5288298903</v>
      </c>
      <c r="AA30" s="753"/>
      <c r="AB30" s="754">
        <f t="shared" si="16"/>
        <v>726681.5288298903</v>
      </c>
      <c r="AC30" s="738">
        <f t="shared" si="8"/>
        <v>726681.5288298903</v>
      </c>
      <c r="AD30" s="739">
        <f t="shared" si="21"/>
        <v>-27166592.355850544</v>
      </c>
      <c r="AE30" s="739">
        <f t="shared" si="10"/>
        <v>726681.5288298903</v>
      </c>
      <c r="AF30" s="739">
        <f t="shared" si="17"/>
        <v>726681.5288298903</v>
      </c>
      <c r="AG30" s="739">
        <f t="shared" si="19"/>
        <v>705852.57105389494</v>
      </c>
      <c r="AH30" s="740">
        <f>IF(AG30&gt;=0,AG30,)</f>
        <v>705852.57105389494</v>
      </c>
      <c r="AI30" s="738">
        <f t="shared" ref="AI30:AI90" si="23">IF(AU30&lt;=$J$7,AI29,0)</f>
        <v>109211.19147509469</v>
      </c>
      <c r="AJ30" s="762"/>
      <c r="AK30" s="763"/>
      <c r="AL30" s="752">
        <f t="shared" si="18"/>
        <v>109211.19147509469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0</v>
      </c>
      <c r="R31" s="753"/>
      <c r="S31" s="753"/>
      <c r="T31" s="753"/>
      <c r="U31" s="754">
        <f t="shared" si="1"/>
        <v>0</v>
      </c>
      <c r="V31" s="751"/>
      <c r="W31" s="752">
        <f t="shared" si="11"/>
        <v>0</v>
      </c>
      <c r="X31" s="753"/>
      <c r="Y31" s="752"/>
      <c r="Z31" s="736">
        <f>'①Tidak termasuk VAT TAX'!AJ31*10%</f>
        <v>726681.5288298903</v>
      </c>
      <c r="AA31" s="753"/>
      <c r="AB31" s="754">
        <f t="shared" si="16"/>
        <v>726681.5288298903</v>
      </c>
      <c r="AC31" s="738">
        <f t="shared" si="8"/>
        <v>726681.5288298903</v>
      </c>
      <c r="AD31" s="739">
        <f t="shared" si="21"/>
        <v>-26439910.827020653</v>
      </c>
      <c r="AE31" s="739">
        <f t="shared" ref="AE31:AE57" si="24">IF(AD31&lt;=0,AC31,-AD30)</f>
        <v>726681.5288298903</v>
      </c>
      <c r="AF31" s="739">
        <f t="shared" si="17"/>
        <v>726681.5288298903</v>
      </c>
      <c r="AG31" s="739">
        <f t="shared" si="19"/>
        <v>701758.97702127078</v>
      </c>
      <c r="AH31" s="740">
        <f t="shared" si="20"/>
        <v>701758.97702127078</v>
      </c>
      <c r="AI31" s="738">
        <f t="shared" si="23"/>
        <v>109211.19147509469</v>
      </c>
      <c r="AJ31" s="762"/>
      <c r="AK31" s="763"/>
      <c r="AL31" s="752">
        <f t="shared" si="18"/>
        <v>109211.19147509469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0</v>
      </c>
      <c r="R32" s="753"/>
      <c r="S32" s="753"/>
      <c r="T32" s="753"/>
      <c r="U32" s="754">
        <f t="shared" si="1"/>
        <v>0</v>
      </c>
      <c r="V32" s="751"/>
      <c r="W32" s="752">
        <f t="shared" si="11"/>
        <v>0</v>
      </c>
      <c r="X32" s="753"/>
      <c r="Y32" s="752"/>
      <c r="Z32" s="736">
        <f>'①Tidak termasuk VAT TAX'!AJ32*10%</f>
        <v>726681.5288298903</v>
      </c>
      <c r="AA32" s="753"/>
      <c r="AB32" s="754">
        <f t="shared" si="16"/>
        <v>726681.5288298903</v>
      </c>
      <c r="AC32" s="738">
        <f t="shared" si="8"/>
        <v>726681.5288298903</v>
      </c>
      <c r="AD32" s="739">
        <f t="shared" si="21"/>
        <v>-25713229.298190761</v>
      </c>
      <c r="AE32" s="739">
        <f t="shared" si="24"/>
        <v>726681.5288298903</v>
      </c>
      <c r="AF32" s="739">
        <f t="shared" si="17"/>
        <v>726681.5288298903</v>
      </c>
      <c r="AG32" s="739">
        <f t="shared" si="19"/>
        <v>697689.12379910937</v>
      </c>
      <c r="AH32" s="740">
        <f t="shared" si="20"/>
        <v>697689.12379910937</v>
      </c>
      <c r="AI32" s="738">
        <f t="shared" si="23"/>
        <v>109211.19147509469</v>
      </c>
      <c r="AJ32" s="762"/>
      <c r="AK32" s="763"/>
      <c r="AL32" s="752">
        <f t="shared" si="18"/>
        <v>109211.19147509469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0</v>
      </c>
      <c r="R33" s="753"/>
      <c r="S33" s="753"/>
      <c r="T33" s="753"/>
      <c r="U33" s="754">
        <f t="shared" si="1"/>
        <v>0</v>
      </c>
      <c r="V33" s="751"/>
      <c r="W33" s="752">
        <f t="shared" si="11"/>
        <v>0</v>
      </c>
      <c r="X33" s="753"/>
      <c r="Y33" s="752"/>
      <c r="Z33" s="736">
        <f>'①Tidak termasuk VAT TAX'!AJ33*10%</f>
        <v>726681.5288298903</v>
      </c>
      <c r="AA33" s="753"/>
      <c r="AB33" s="754">
        <f t="shared" si="16"/>
        <v>726681.5288298903</v>
      </c>
      <c r="AC33" s="738">
        <f t="shared" si="8"/>
        <v>726681.5288298903</v>
      </c>
      <c r="AD33" s="739">
        <f t="shared" si="21"/>
        <v>-24986547.76936087</v>
      </c>
      <c r="AE33" s="739">
        <f t="shared" si="24"/>
        <v>726681.5288298903</v>
      </c>
      <c r="AF33" s="739">
        <f t="shared" si="17"/>
        <v>726681.5288298903</v>
      </c>
      <c r="AG33" s="739">
        <f t="shared" si="19"/>
        <v>693642.87370251131</v>
      </c>
      <c r="AH33" s="740">
        <f t="shared" si="20"/>
        <v>693642.87370251131</v>
      </c>
      <c r="AI33" s="738">
        <f t="shared" si="23"/>
        <v>109211.19147509469</v>
      </c>
      <c r="AJ33" s="762"/>
      <c r="AK33" s="763"/>
      <c r="AL33" s="752">
        <f t="shared" si="18"/>
        <v>109211.19147509469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0</v>
      </c>
      <c r="R34" s="753"/>
      <c r="S34" s="753"/>
      <c r="T34" s="753"/>
      <c r="U34" s="754">
        <f t="shared" si="1"/>
        <v>0</v>
      </c>
      <c r="V34" s="751"/>
      <c r="W34" s="752">
        <f t="shared" si="11"/>
        <v>0</v>
      </c>
      <c r="X34" s="753"/>
      <c r="Y34" s="752"/>
      <c r="Z34" s="736">
        <f>'①Tidak termasuk VAT TAX'!AJ34*10%</f>
        <v>726681.5288298903</v>
      </c>
      <c r="AA34" s="753"/>
      <c r="AB34" s="754">
        <f t="shared" si="16"/>
        <v>726681.5288298903</v>
      </c>
      <c r="AC34" s="738">
        <f t="shared" si="8"/>
        <v>726681.5288298903</v>
      </c>
      <c r="AD34" s="739">
        <f t="shared" si="21"/>
        <v>-24259866.240530979</v>
      </c>
      <c r="AE34" s="739">
        <f t="shared" si="24"/>
        <v>726681.5288298903</v>
      </c>
      <c r="AF34" s="739">
        <f t="shared" si="17"/>
        <v>726681.5288298903</v>
      </c>
      <c r="AG34" s="739">
        <f t="shared" si="19"/>
        <v>689620.08984508167</v>
      </c>
      <c r="AH34" s="740">
        <f t="shared" si="20"/>
        <v>689620.08984508167</v>
      </c>
      <c r="AI34" s="738">
        <f t="shared" si="23"/>
        <v>109211.19147509469</v>
      </c>
      <c r="AJ34" s="762"/>
      <c r="AK34" s="763"/>
      <c r="AL34" s="752">
        <f t="shared" si="18"/>
        <v>109211.19147509469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0</v>
      </c>
      <c r="R35" s="753"/>
      <c r="S35" s="753"/>
      <c r="T35" s="753"/>
      <c r="U35" s="754">
        <f t="shared" si="1"/>
        <v>0</v>
      </c>
      <c r="V35" s="751"/>
      <c r="W35" s="752">
        <f t="shared" si="11"/>
        <v>0</v>
      </c>
      <c r="X35" s="753"/>
      <c r="Y35" s="752"/>
      <c r="Z35" s="736">
        <f>'①Tidak termasuk VAT TAX'!AJ35*10%</f>
        <v>726681.5288298903</v>
      </c>
      <c r="AA35" s="753"/>
      <c r="AB35" s="754">
        <f t="shared" si="16"/>
        <v>726681.5288298903</v>
      </c>
      <c r="AC35" s="738">
        <f t="shared" si="8"/>
        <v>726681.5288298903</v>
      </c>
      <c r="AD35" s="739">
        <f t="shared" si="21"/>
        <v>-23533184.711701088</v>
      </c>
      <c r="AE35" s="739">
        <f t="shared" si="24"/>
        <v>726681.5288298903</v>
      </c>
      <c r="AF35" s="739">
        <f t="shared" si="17"/>
        <v>726681.5288298903</v>
      </c>
      <c r="AG35" s="739">
        <f t="shared" si="19"/>
        <v>685620.63613429829</v>
      </c>
      <c r="AH35" s="740">
        <f t="shared" si="20"/>
        <v>685620.63613429829</v>
      </c>
      <c r="AI35" s="738">
        <f t="shared" si="23"/>
        <v>109211.19147509469</v>
      </c>
      <c r="AJ35" s="762"/>
      <c r="AK35" s="763"/>
      <c r="AL35" s="752">
        <f t="shared" si="18"/>
        <v>109211.19147509469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0</v>
      </c>
      <c r="R36" s="753"/>
      <c r="S36" s="753"/>
      <c r="T36" s="753"/>
      <c r="U36" s="754">
        <f t="shared" si="1"/>
        <v>0</v>
      </c>
      <c r="V36" s="751"/>
      <c r="W36" s="752">
        <f t="shared" si="11"/>
        <v>0</v>
      </c>
      <c r="X36" s="753"/>
      <c r="Y36" s="752"/>
      <c r="Z36" s="736">
        <f>'①Tidak termasuk VAT TAX'!AJ36*10%</f>
        <v>726681.5288298903</v>
      </c>
      <c r="AA36" s="753"/>
      <c r="AB36" s="754">
        <f t="shared" si="16"/>
        <v>726681.5288298903</v>
      </c>
      <c r="AC36" s="738">
        <f>U36+AB36</f>
        <v>726681.5288298903</v>
      </c>
      <c r="AD36" s="739">
        <f t="shared" si="21"/>
        <v>-22806503.182871196</v>
      </c>
      <c r="AE36" s="739">
        <f t="shared" si="24"/>
        <v>726681.5288298903</v>
      </c>
      <c r="AF36" s="739">
        <f t="shared" si="17"/>
        <v>726681.5288298903</v>
      </c>
      <c r="AG36" s="739">
        <f t="shared" si="19"/>
        <v>681644.37726690795</v>
      </c>
      <c r="AH36" s="740">
        <f t="shared" si="20"/>
        <v>681644.37726690795</v>
      </c>
      <c r="AI36" s="738">
        <f t="shared" si="23"/>
        <v>109211.19147509469</v>
      </c>
      <c r="AJ36" s="762"/>
      <c r="AK36" s="763"/>
      <c r="AL36" s="752">
        <f t="shared" si="18"/>
        <v>109211.19147509469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0</v>
      </c>
      <c r="R37" s="753"/>
      <c r="S37" s="753"/>
      <c r="T37" s="753"/>
      <c r="U37" s="754">
        <f t="shared" si="1"/>
        <v>0</v>
      </c>
      <c r="V37" s="751"/>
      <c r="W37" s="752">
        <f t="shared" si="11"/>
        <v>0</v>
      </c>
      <c r="X37" s="753"/>
      <c r="Y37" s="752"/>
      <c r="Z37" s="736">
        <f>'①Tidak termasuk VAT TAX'!AJ37*10%</f>
        <v>726681.5288298903</v>
      </c>
      <c r="AA37" s="753"/>
      <c r="AB37" s="754">
        <f t="shared" si="16"/>
        <v>726681.5288298903</v>
      </c>
      <c r="AC37" s="738">
        <f t="shared" si="8"/>
        <v>726681.5288298903</v>
      </c>
      <c r="AD37" s="739">
        <f t="shared" si="21"/>
        <v>-22079821.654041305</v>
      </c>
      <c r="AE37" s="739">
        <f t="shared" si="24"/>
        <v>726681.5288298903</v>
      </c>
      <c r="AF37" s="739">
        <f t="shared" si="17"/>
        <v>726681.5288298903</v>
      </c>
      <c r="AG37" s="739">
        <f t="shared" si="19"/>
        <v>677691.17872434924</v>
      </c>
      <c r="AH37" s="740">
        <f t="shared" si="20"/>
        <v>677691.17872434924</v>
      </c>
      <c r="AI37" s="738">
        <f t="shared" si="23"/>
        <v>109211.19147509469</v>
      </c>
      <c r="AJ37" s="762"/>
      <c r="AK37" s="763"/>
      <c r="AL37" s="752">
        <f t="shared" si="18"/>
        <v>109211.19147509469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0</v>
      </c>
      <c r="R38" s="753"/>
      <c r="S38" s="753"/>
      <c r="T38" s="753"/>
      <c r="U38" s="754">
        <f t="shared" si="1"/>
        <v>0</v>
      </c>
      <c r="V38" s="751"/>
      <c r="W38" s="752">
        <f t="shared" si="11"/>
        <v>0</v>
      </c>
      <c r="X38" s="753"/>
      <c r="Y38" s="752"/>
      <c r="Z38" s="736">
        <f>'①Tidak termasuk VAT TAX'!AJ38*10%</f>
        <v>726681.5288298903</v>
      </c>
      <c r="AA38" s="753"/>
      <c r="AB38" s="754">
        <f t="shared" si="16"/>
        <v>726681.5288298903</v>
      </c>
      <c r="AC38" s="738">
        <f t="shared" si="8"/>
        <v>726681.5288298903</v>
      </c>
      <c r="AD38" s="739">
        <f t="shared" si="21"/>
        <v>-21353140.125211414</v>
      </c>
      <c r="AE38" s="739">
        <f t="shared" si="24"/>
        <v>726681.5288298903</v>
      </c>
      <c r="AF38" s="739">
        <f t="shared" si="17"/>
        <v>726681.5288298903</v>
      </c>
      <c r="AG38" s="739">
        <f t="shared" si="19"/>
        <v>673760.90676820127</v>
      </c>
      <c r="AH38" s="740">
        <f t="shared" si="20"/>
        <v>673760.90676820127</v>
      </c>
      <c r="AI38" s="738">
        <f t="shared" si="23"/>
        <v>109211.19147509469</v>
      </c>
      <c r="AJ38" s="762"/>
      <c r="AK38" s="763"/>
      <c r="AL38" s="752">
        <f t="shared" si="18"/>
        <v>109211.19147509469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0</v>
      </c>
      <c r="R39" s="753"/>
      <c r="S39" s="753"/>
      <c r="T39" s="753"/>
      <c r="U39" s="754">
        <f t="shared" si="1"/>
        <v>0</v>
      </c>
      <c r="V39" s="751"/>
      <c r="W39" s="752">
        <f t="shared" si="11"/>
        <v>0</v>
      </c>
      <c r="X39" s="753"/>
      <c r="Y39" s="752"/>
      <c r="Z39" s="736">
        <f>'①Tidak termasuk VAT TAX'!AJ39*10%</f>
        <v>726681.5288298903</v>
      </c>
      <c r="AA39" s="753"/>
      <c r="AB39" s="754">
        <f t="shared" si="16"/>
        <v>726681.5288298903</v>
      </c>
      <c r="AC39" s="738">
        <f t="shared" si="8"/>
        <v>726681.5288298903</v>
      </c>
      <c r="AD39" s="739">
        <f t="shared" si="21"/>
        <v>-20626458.596381523</v>
      </c>
      <c r="AE39" s="739">
        <f t="shared" si="24"/>
        <v>726681.5288298903</v>
      </c>
      <c r="AF39" s="739">
        <f t="shared" si="17"/>
        <v>726681.5288298903</v>
      </c>
      <c r="AG39" s="739">
        <f t="shared" si="19"/>
        <v>669853.42843565997</v>
      </c>
      <c r="AH39" s="740">
        <f t="shared" si="20"/>
        <v>669853.42843565997</v>
      </c>
      <c r="AI39" s="738">
        <f t="shared" si="23"/>
        <v>109211.19147509469</v>
      </c>
      <c r="AJ39" s="762"/>
      <c r="AK39" s="763"/>
      <c r="AL39" s="752">
        <f t="shared" si="18"/>
        <v>109211.19147509469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0</v>
      </c>
      <c r="R40" s="753"/>
      <c r="S40" s="753"/>
      <c r="T40" s="753"/>
      <c r="U40" s="754">
        <f t="shared" si="1"/>
        <v>0</v>
      </c>
      <c r="V40" s="751"/>
      <c r="W40" s="752">
        <f t="shared" si="11"/>
        <v>0</v>
      </c>
      <c r="X40" s="753"/>
      <c r="Y40" s="752"/>
      <c r="Z40" s="736">
        <f>'①Tidak termasuk VAT TAX'!AJ40*10%</f>
        <v>726681.5288298903</v>
      </c>
      <c r="AA40" s="753"/>
      <c r="AB40" s="754">
        <f t="shared" si="16"/>
        <v>726681.5288298903</v>
      </c>
      <c r="AC40" s="738">
        <f t="shared" si="8"/>
        <v>726681.5288298903</v>
      </c>
      <c r="AD40" s="739">
        <f t="shared" si="21"/>
        <v>-19899777.067551631</v>
      </c>
      <c r="AE40" s="739">
        <f t="shared" si="24"/>
        <v>726681.5288298903</v>
      </c>
      <c r="AF40" s="739">
        <f t="shared" si="17"/>
        <v>726681.5288298903</v>
      </c>
      <c r="AG40" s="739">
        <f t="shared" si="19"/>
        <v>665968.61153503903</v>
      </c>
      <c r="AH40" s="740">
        <f t="shared" si="20"/>
        <v>665968.61153503903</v>
      </c>
      <c r="AI40" s="738">
        <f t="shared" si="23"/>
        <v>109211.19147509469</v>
      </c>
      <c r="AJ40" s="762"/>
      <c r="AK40" s="763"/>
      <c r="AL40" s="752">
        <f t="shared" si="18"/>
        <v>109211.19147509469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0</v>
      </c>
      <c r="R41" s="753"/>
      <c r="S41" s="753"/>
      <c r="T41" s="753"/>
      <c r="U41" s="754">
        <f t="shared" si="1"/>
        <v>0</v>
      </c>
      <c r="V41" s="751"/>
      <c r="W41" s="752">
        <f t="shared" si="11"/>
        <v>0</v>
      </c>
      <c r="X41" s="753"/>
      <c r="Y41" s="752"/>
      <c r="Z41" s="736">
        <f>'①Tidak termasuk VAT TAX'!AJ41*10%</f>
        <v>726681.5288298903</v>
      </c>
      <c r="AA41" s="753"/>
      <c r="AB41" s="754">
        <f t="shared" si="16"/>
        <v>726681.5288298903</v>
      </c>
      <c r="AC41" s="738">
        <f t="shared" si="8"/>
        <v>726681.5288298903</v>
      </c>
      <c r="AD41" s="739">
        <f t="shared" si="21"/>
        <v>-19173095.53872174</v>
      </c>
      <c r="AE41" s="739">
        <f t="shared" si="24"/>
        <v>726681.5288298903</v>
      </c>
      <c r="AF41" s="739">
        <f t="shared" si="17"/>
        <v>726681.5288298903</v>
      </c>
      <c r="AG41" s="739">
        <f t="shared" si="19"/>
        <v>662106.32464129804</v>
      </c>
      <c r="AH41" s="740">
        <f t="shared" si="20"/>
        <v>662106.32464129804</v>
      </c>
      <c r="AI41" s="738">
        <f t="shared" si="23"/>
        <v>109211.19147509469</v>
      </c>
      <c r="AJ41" s="762"/>
      <c r="AK41" s="763"/>
      <c r="AL41" s="752">
        <f t="shared" si="18"/>
        <v>109211.19147509469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0</v>
      </c>
      <c r="R42" s="753"/>
      <c r="S42" s="753"/>
      <c r="T42" s="753"/>
      <c r="U42" s="754">
        <f t="shared" si="1"/>
        <v>0</v>
      </c>
      <c r="V42" s="751"/>
      <c r="W42" s="752">
        <f t="shared" si="11"/>
        <v>0</v>
      </c>
      <c r="X42" s="753"/>
      <c r="Y42" s="752"/>
      <c r="Z42" s="736">
        <f>'①Tidak termasuk VAT TAX'!AJ42*10%</f>
        <v>726681.5288298903</v>
      </c>
      <c r="AA42" s="753"/>
      <c r="AB42" s="754">
        <f t="shared" si="16"/>
        <v>726681.5288298903</v>
      </c>
      <c r="AC42" s="738">
        <f t="shared" si="8"/>
        <v>726681.5288298903</v>
      </c>
      <c r="AD42" s="739">
        <f t="shared" si="21"/>
        <v>-18446414.009891849</v>
      </c>
      <c r="AE42" s="739">
        <f t="shared" si="24"/>
        <v>726681.5288298903</v>
      </c>
      <c r="AF42" s="739">
        <f t="shared" si="17"/>
        <v>726681.5288298903</v>
      </c>
      <c r="AG42" s="739">
        <f t="shared" si="19"/>
        <v>658266.43709159701</v>
      </c>
      <c r="AH42" s="740">
        <f t="shared" si="20"/>
        <v>658266.43709159701</v>
      </c>
      <c r="AI42" s="738">
        <f t="shared" si="23"/>
        <v>109211.19147509469</v>
      </c>
      <c r="AJ42" s="762"/>
      <c r="AK42" s="763"/>
      <c r="AL42" s="752">
        <f t="shared" si="18"/>
        <v>109211.19147509469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0</v>
      </c>
      <c r="R43" s="753"/>
      <c r="S43" s="753"/>
      <c r="T43" s="753"/>
      <c r="U43" s="754">
        <f t="shared" si="1"/>
        <v>0</v>
      </c>
      <c r="V43" s="751"/>
      <c r="W43" s="752">
        <f t="shared" si="11"/>
        <v>0</v>
      </c>
      <c r="X43" s="753"/>
      <c r="Y43" s="752"/>
      <c r="Z43" s="736">
        <f>'①Tidak termasuk VAT TAX'!AJ43*10%</f>
        <v>726681.5288298903</v>
      </c>
      <c r="AA43" s="753"/>
      <c r="AB43" s="754">
        <f t="shared" si="16"/>
        <v>726681.5288298903</v>
      </c>
      <c r="AC43" s="738">
        <f t="shared" si="8"/>
        <v>726681.5288298903</v>
      </c>
      <c r="AD43" s="739">
        <f t="shared" si="21"/>
        <v>-17719732.481061958</v>
      </c>
      <c r="AE43" s="739">
        <f t="shared" si="24"/>
        <v>726681.5288298903</v>
      </c>
      <c r="AF43" s="739">
        <f t="shared" si="17"/>
        <v>726681.5288298903</v>
      </c>
      <c r="AG43" s="739">
        <f t="shared" si="19"/>
        <v>654448.81898087531</v>
      </c>
      <c r="AH43" s="740">
        <f t="shared" si="20"/>
        <v>654448.81898087531</v>
      </c>
      <c r="AI43" s="738">
        <f t="shared" si="23"/>
        <v>109211.19147509469</v>
      </c>
      <c r="AJ43" s="762"/>
      <c r="AK43" s="763"/>
      <c r="AL43" s="752">
        <f t="shared" si="18"/>
        <v>109211.19147509469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0</v>
      </c>
      <c r="R44" s="753"/>
      <c r="S44" s="753"/>
      <c r="T44" s="753"/>
      <c r="U44" s="754">
        <f t="shared" si="1"/>
        <v>0</v>
      </c>
      <c r="V44" s="751"/>
      <c r="W44" s="752">
        <f t="shared" si="11"/>
        <v>0</v>
      </c>
      <c r="X44" s="753"/>
      <c r="Y44" s="752"/>
      <c r="Z44" s="736">
        <f>'①Tidak termasuk VAT TAX'!AJ44*10%</f>
        <v>726681.5288298903</v>
      </c>
      <c r="AA44" s="753"/>
      <c r="AB44" s="754">
        <f t="shared" si="16"/>
        <v>726681.5288298903</v>
      </c>
      <c r="AC44" s="738">
        <f t="shared" si="8"/>
        <v>726681.5288298903</v>
      </c>
      <c r="AD44" s="739">
        <f t="shared" si="21"/>
        <v>-16993050.952232067</v>
      </c>
      <c r="AE44" s="739">
        <f t="shared" si="24"/>
        <v>726681.5288298903</v>
      </c>
      <c r="AF44" s="739">
        <f t="shared" si="17"/>
        <v>726681.5288298903</v>
      </c>
      <c r="AG44" s="739">
        <f t="shared" si="19"/>
        <v>650653.34115745674</v>
      </c>
      <c r="AH44" s="740">
        <f t="shared" si="20"/>
        <v>650653.34115745674</v>
      </c>
      <c r="AI44" s="738">
        <f t="shared" si="23"/>
        <v>109211.19147509469</v>
      </c>
      <c r="AJ44" s="762"/>
      <c r="AK44" s="763"/>
      <c r="AL44" s="752">
        <f t="shared" si="18"/>
        <v>109211.19147509469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0</v>
      </c>
      <c r="R45" s="753"/>
      <c r="S45" s="753"/>
      <c r="T45" s="753"/>
      <c r="U45" s="754">
        <f t="shared" si="1"/>
        <v>0</v>
      </c>
      <c r="V45" s="751"/>
      <c r="W45" s="752">
        <f t="shared" si="11"/>
        <v>0</v>
      </c>
      <c r="X45" s="753"/>
      <c r="Y45" s="752"/>
      <c r="Z45" s="736">
        <f>'①Tidak termasuk VAT TAX'!AJ45*10%</f>
        <v>726681.5288298903</v>
      </c>
      <c r="AA45" s="753"/>
      <c r="AB45" s="754">
        <f t="shared" si="16"/>
        <v>726681.5288298903</v>
      </c>
      <c r="AC45" s="738">
        <f t="shared" si="8"/>
        <v>726681.5288298903</v>
      </c>
      <c r="AD45" s="739">
        <f t="shared" si="21"/>
        <v>-16266369.423402175</v>
      </c>
      <c r="AE45" s="739">
        <f t="shared" si="24"/>
        <v>726681.5288298903</v>
      </c>
      <c r="AF45" s="739">
        <f t="shared" si="17"/>
        <v>726681.5288298903</v>
      </c>
      <c r="AG45" s="739">
        <f t="shared" si="19"/>
        <v>646879.87521868118</v>
      </c>
      <c r="AH45" s="740">
        <f t="shared" si="20"/>
        <v>646879.87521868118</v>
      </c>
      <c r="AI45" s="738">
        <f t="shared" si="23"/>
        <v>109211.19147509469</v>
      </c>
      <c r="AJ45" s="762"/>
      <c r="AK45" s="763"/>
      <c r="AL45" s="752">
        <f t="shared" si="18"/>
        <v>109211.19147509469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0</v>
      </c>
      <c r="R46" s="753"/>
      <c r="S46" s="753"/>
      <c r="T46" s="753"/>
      <c r="U46" s="754">
        <f t="shared" si="1"/>
        <v>0</v>
      </c>
      <c r="V46" s="751"/>
      <c r="W46" s="752">
        <f t="shared" si="11"/>
        <v>0</v>
      </c>
      <c r="X46" s="753"/>
      <c r="Y46" s="752"/>
      <c r="Z46" s="736">
        <f>'①Tidak termasuk VAT TAX'!AJ46*10%</f>
        <v>726681.5288298903</v>
      </c>
      <c r="AA46" s="753"/>
      <c r="AB46" s="754">
        <f t="shared" si="16"/>
        <v>726681.5288298903</v>
      </c>
      <c r="AC46" s="738">
        <f t="shared" si="8"/>
        <v>726681.5288298903</v>
      </c>
      <c r="AD46" s="739">
        <f t="shared" si="21"/>
        <v>-15539687.894572284</v>
      </c>
      <c r="AE46" s="739">
        <f t="shared" si="24"/>
        <v>726681.5288298903</v>
      </c>
      <c r="AF46" s="739">
        <f t="shared" si="17"/>
        <v>726681.5288298903</v>
      </c>
      <c r="AG46" s="739">
        <f t="shared" si="19"/>
        <v>643128.29350655945</v>
      </c>
      <c r="AH46" s="740">
        <f t="shared" si="20"/>
        <v>643128.29350655945</v>
      </c>
      <c r="AI46" s="738">
        <f t="shared" si="23"/>
        <v>109211.19147509469</v>
      </c>
      <c r="AJ46" s="762"/>
      <c r="AK46" s="763"/>
      <c r="AL46" s="752">
        <f t="shared" si="18"/>
        <v>109211.19147509469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0</v>
      </c>
      <c r="R47" s="753"/>
      <c r="S47" s="753"/>
      <c r="T47" s="753"/>
      <c r="U47" s="754">
        <f t="shared" si="1"/>
        <v>0</v>
      </c>
      <c r="V47" s="751"/>
      <c r="W47" s="752">
        <f t="shared" si="11"/>
        <v>0</v>
      </c>
      <c r="X47" s="753"/>
      <c r="Y47" s="752"/>
      <c r="Z47" s="736">
        <f>'①Tidak termasuk VAT TAX'!AJ47*10%</f>
        <v>726681.5288298903</v>
      </c>
      <c r="AA47" s="753"/>
      <c r="AB47" s="754">
        <f t="shared" si="16"/>
        <v>726681.5288298903</v>
      </c>
      <c r="AC47" s="738">
        <f t="shared" si="8"/>
        <v>726681.5288298903</v>
      </c>
      <c r="AD47" s="739">
        <f t="shared" si="21"/>
        <v>-14813006.365742393</v>
      </c>
      <c r="AE47" s="739">
        <f t="shared" si="24"/>
        <v>726681.5288298903</v>
      </c>
      <c r="AF47" s="739">
        <f t="shared" si="17"/>
        <v>726681.5288298903</v>
      </c>
      <c r="AG47" s="739">
        <f t="shared" si="19"/>
        <v>639398.46910345589</v>
      </c>
      <c r="AH47" s="740">
        <f t="shared" si="20"/>
        <v>639398.46910345589</v>
      </c>
      <c r="AI47" s="738">
        <f t="shared" si="23"/>
        <v>109211.19147509469</v>
      </c>
      <c r="AJ47" s="762"/>
      <c r="AK47" s="763"/>
      <c r="AL47" s="752">
        <f t="shared" si="18"/>
        <v>109211.19147509469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0</v>
      </c>
      <c r="R48" s="753"/>
      <c r="S48" s="753"/>
      <c r="T48" s="753"/>
      <c r="U48" s="754">
        <f t="shared" si="1"/>
        <v>0</v>
      </c>
      <c r="V48" s="751"/>
      <c r="W48" s="752">
        <f t="shared" si="11"/>
        <v>0</v>
      </c>
      <c r="X48" s="753"/>
      <c r="Y48" s="752"/>
      <c r="Z48" s="736">
        <f>'①Tidak termasuk VAT TAX'!AJ48*10%</f>
        <v>726681.5288298903</v>
      </c>
      <c r="AA48" s="753"/>
      <c r="AB48" s="754">
        <f t="shared" si="16"/>
        <v>726681.5288298903</v>
      </c>
      <c r="AC48" s="738">
        <f t="shared" si="8"/>
        <v>726681.5288298903</v>
      </c>
      <c r="AD48" s="739">
        <f t="shared" si="21"/>
        <v>-14086324.836912502</v>
      </c>
      <c r="AE48" s="739">
        <f t="shared" si="24"/>
        <v>726681.5288298903</v>
      </c>
      <c r="AF48" s="739">
        <f t="shared" si="17"/>
        <v>726681.5288298903</v>
      </c>
      <c r="AG48" s="739">
        <f t="shared" si="19"/>
        <v>635690.27582779387</v>
      </c>
      <c r="AH48" s="740">
        <f t="shared" si="20"/>
        <v>635690.27582779387</v>
      </c>
      <c r="AI48" s="738">
        <f t="shared" si="23"/>
        <v>109211.19147509469</v>
      </c>
      <c r="AJ48" s="762"/>
      <c r="AK48" s="763"/>
      <c r="AL48" s="752">
        <f t="shared" si="18"/>
        <v>109211.19147509469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0</v>
      </c>
      <c r="R49" s="753"/>
      <c r="S49" s="753"/>
      <c r="T49" s="753"/>
      <c r="U49" s="754">
        <f t="shared" si="1"/>
        <v>0</v>
      </c>
      <c r="V49" s="751"/>
      <c r="W49" s="752">
        <f t="shared" si="11"/>
        <v>0</v>
      </c>
      <c r="X49" s="753"/>
      <c r="Y49" s="752"/>
      <c r="Z49" s="736">
        <f>'①Tidak termasuk VAT TAX'!AJ49*10%</f>
        <v>726681.5288298903</v>
      </c>
      <c r="AA49" s="753"/>
      <c r="AB49" s="754">
        <f t="shared" si="16"/>
        <v>726681.5288298903</v>
      </c>
      <c r="AC49" s="738">
        <f t="shared" si="8"/>
        <v>726681.5288298903</v>
      </c>
      <c r="AD49" s="739">
        <f t="shared" si="21"/>
        <v>-13359643.30808261</v>
      </c>
      <c r="AE49" s="739">
        <f t="shared" si="24"/>
        <v>726681.5288298903</v>
      </c>
      <c r="AF49" s="739">
        <f t="shared" si="17"/>
        <v>726681.5288298903</v>
      </c>
      <c r="AG49" s="739">
        <f t="shared" si="19"/>
        <v>632003.58822978672</v>
      </c>
      <c r="AH49" s="740">
        <f t="shared" si="20"/>
        <v>632003.58822978672</v>
      </c>
      <c r="AI49" s="738">
        <f t="shared" si="23"/>
        <v>109211.19147509469</v>
      </c>
      <c r="AJ49" s="762"/>
      <c r="AK49" s="763"/>
      <c r="AL49" s="752">
        <f t="shared" si="18"/>
        <v>109211.19147509469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0</v>
      </c>
      <c r="R50" s="753"/>
      <c r="S50" s="753"/>
      <c r="T50" s="753"/>
      <c r="U50" s="754">
        <f t="shared" si="1"/>
        <v>0</v>
      </c>
      <c r="V50" s="751"/>
      <c r="W50" s="752">
        <f t="shared" si="11"/>
        <v>0</v>
      </c>
      <c r="X50" s="753"/>
      <c r="Y50" s="752"/>
      <c r="Z50" s="736">
        <f>'①Tidak termasuk VAT TAX'!AJ50*10%</f>
        <v>726681.5288298903</v>
      </c>
      <c r="AA50" s="753"/>
      <c r="AB50" s="754">
        <f t="shared" si="16"/>
        <v>726681.5288298903</v>
      </c>
      <c r="AC50" s="738">
        <f t="shared" si="8"/>
        <v>726681.5288298903</v>
      </c>
      <c r="AD50" s="739">
        <f t="shared" si="21"/>
        <v>-12632961.779252719</v>
      </c>
      <c r="AE50" s="739">
        <f t="shared" si="24"/>
        <v>726681.5288298903</v>
      </c>
      <c r="AF50" s="739">
        <f t="shared" si="17"/>
        <v>726681.5288298903</v>
      </c>
      <c r="AG50" s="739">
        <f t="shared" si="19"/>
        <v>628338.28158719477</v>
      </c>
      <c r="AH50" s="740">
        <f t="shared" si="20"/>
        <v>628338.28158719477</v>
      </c>
      <c r="AI50" s="738">
        <f t="shared" si="23"/>
        <v>109211.19147509469</v>
      </c>
      <c r="AJ50" s="762"/>
      <c r="AK50" s="763"/>
      <c r="AL50" s="752">
        <f t="shared" si="18"/>
        <v>109211.19147509469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0</v>
      </c>
      <c r="R51" s="753"/>
      <c r="S51" s="753"/>
      <c r="T51" s="753"/>
      <c r="U51" s="754">
        <f t="shared" si="1"/>
        <v>0</v>
      </c>
      <c r="V51" s="751"/>
      <c r="W51" s="752">
        <f t="shared" si="11"/>
        <v>0</v>
      </c>
      <c r="X51" s="753"/>
      <c r="Y51" s="752"/>
      <c r="Z51" s="736">
        <f>'①Tidak termasuk VAT TAX'!AJ51*10%</f>
        <v>726681.5288298903</v>
      </c>
      <c r="AA51" s="753"/>
      <c r="AB51" s="754">
        <f t="shared" si="16"/>
        <v>726681.5288298903</v>
      </c>
      <c r="AC51" s="738">
        <f t="shared" si="8"/>
        <v>726681.5288298903</v>
      </c>
      <c r="AD51" s="739">
        <f t="shared" si="21"/>
        <v>-11906280.250422828</v>
      </c>
      <c r="AE51" s="739">
        <f t="shared" si="24"/>
        <v>726681.5288298903</v>
      </c>
      <c r="AF51" s="739">
        <f t="shared" si="17"/>
        <v>726681.5288298903</v>
      </c>
      <c r="AG51" s="739">
        <f t="shared" si="19"/>
        <v>624694.23190110503</v>
      </c>
      <c r="AH51" s="740">
        <f t="shared" si="20"/>
        <v>624694.23190110503</v>
      </c>
      <c r="AI51" s="738">
        <f t="shared" si="23"/>
        <v>109211.19147509469</v>
      </c>
      <c r="AJ51" s="762"/>
      <c r="AK51" s="763"/>
      <c r="AL51" s="752">
        <f t="shared" si="18"/>
        <v>109211.19147509469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0</v>
      </c>
      <c r="R52" s="753"/>
      <c r="S52" s="753"/>
      <c r="T52" s="753"/>
      <c r="U52" s="754">
        <f t="shared" si="1"/>
        <v>0</v>
      </c>
      <c r="V52" s="751"/>
      <c r="W52" s="752">
        <f t="shared" si="11"/>
        <v>0</v>
      </c>
      <c r="X52" s="753"/>
      <c r="Y52" s="752"/>
      <c r="Z52" s="736">
        <f>'①Tidak termasuk VAT TAX'!AJ52*10%</f>
        <v>726681.5288298903</v>
      </c>
      <c r="AA52" s="753"/>
      <c r="AB52" s="754">
        <f t="shared" si="16"/>
        <v>726681.5288298903</v>
      </c>
      <c r="AC52" s="738">
        <f t="shared" si="8"/>
        <v>726681.5288298903</v>
      </c>
      <c r="AD52" s="739">
        <f t="shared" si="21"/>
        <v>-11179598.721592937</v>
      </c>
      <c r="AE52" s="739">
        <f t="shared" si="24"/>
        <v>726681.5288298903</v>
      </c>
      <c r="AF52" s="739">
        <f t="shared" si="17"/>
        <v>726681.5288298903</v>
      </c>
      <c r="AG52" s="739">
        <f t="shared" si="19"/>
        <v>621071.31589173642</v>
      </c>
      <c r="AH52" s="740">
        <f t="shared" si="20"/>
        <v>621071.31589173642</v>
      </c>
      <c r="AI52" s="738">
        <f t="shared" si="23"/>
        <v>109211.19147509469</v>
      </c>
      <c r="AJ52" s="762"/>
      <c r="AK52" s="763"/>
      <c r="AL52" s="752">
        <f t="shared" si="18"/>
        <v>109211.19147509469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0</v>
      </c>
      <c r="R53" s="753"/>
      <c r="S53" s="753"/>
      <c r="T53" s="753"/>
      <c r="U53" s="754">
        <f t="shared" si="1"/>
        <v>0</v>
      </c>
      <c r="V53" s="751"/>
      <c r="W53" s="752">
        <f t="shared" si="11"/>
        <v>0</v>
      </c>
      <c r="X53" s="753"/>
      <c r="Y53" s="752"/>
      <c r="Z53" s="736">
        <f>'①Tidak termasuk VAT TAX'!AJ53*10%</f>
        <v>726681.5288298903</v>
      </c>
      <c r="AA53" s="753"/>
      <c r="AB53" s="754">
        <f t="shared" si="16"/>
        <v>726681.5288298903</v>
      </c>
      <c r="AC53" s="738">
        <f t="shared" si="8"/>
        <v>726681.5288298903</v>
      </c>
      <c r="AD53" s="739">
        <f t="shared" si="21"/>
        <v>-10452917.192763045</v>
      </c>
      <c r="AE53" s="739">
        <f t="shared" si="24"/>
        <v>726681.5288298903</v>
      </c>
      <c r="AF53" s="739">
        <f t="shared" si="17"/>
        <v>726681.5288298903</v>
      </c>
      <c r="AG53" s="739">
        <f t="shared" si="19"/>
        <v>617469.41099426989</v>
      </c>
      <c r="AH53" s="740">
        <f t="shared" si="20"/>
        <v>617469.41099426989</v>
      </c>
      <c r="AI53" s="738">
        <f t="shared" si="23"/>
        <v>109211.19147509469</v>
      </c>
      <c r="AJ53" s="762"/>
      <c r="AK53" s="763"/>
      <c r="AL53" s="752">
        <f t="shared" si="18"/>
        <v>109211.19147509469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0</v>
      </c>
      <c r="R54" s="753"/>
      <c r="S54" s="753"/>
      <c r="T54" s="753"/>
      <c r="U54" s="754">
        <f t="shared" ref="U54:U85" si="27">SUM(E54:T54)</f>
        <v>0</v>
      </c>
      <c r="V54" s="751"/>
      <c r="W54" s="752">
        <f t="shared" si="11"/>
        <v>0</v>
      </c>
      <c r="X54" s="753"/>
      <c r="Y54" s="752"/>
      <c r="Z54" s="736">
        <f>'①Tidak termasuk VAT TAX'!AJ54*10%</f>
        <v>726681.5288298903</v>
      </c>
      <c r="AA54" s="753"/>
      <c r="AB54" s="754">
        <f t="shared" si="16"/>
        <v>726681.5288298903</v>
      </c>
      <c r="AC54" s="738">
        <f t="shared" si="8"/>
        <v>726681.5288298903</v>
      </c>
      <c r="AD54" s="739">
        <f t="shared" si="21"/>
        <v>-9726235.6639331542</v>
      </c>
      <c r="AE54" s="739">
        <f t="shared" si="24"/>
        <v>726681.5288298903</v>
      </c>
      <c r="AF54" s="739">
        <f t="shared" si="17"/>
        <v>726681.5288298903</v>
      </c>
      <c r="AG54" s="739">
        <f t="shared" si="19"/>
        <v>613888.39535470074</v>
      </c>
      <c r="AH54" s="740">
        <f t="shared" si="20"/>
        <v>613888.39535470074</v>
      </c>
      <c r="AI54" s="738">
        <f t="shared" si="23"/>
        <v>109211.19147509469</v>
      </c>
      <c r="AJ54" s="762"/>
      <c r="AK54" s="763"/>
      <c r="AL54" s="752">
        <f t="shared" si="18"/>
        <v>109211.19147509469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0</v>
      </c>
      <c r="R55" s="753"/>
      <c r="S55" s="753"/>
      <c r="T55" s="753"/>
      <c r="U55" s="754">
        <f t="shared" si="27"/>
        <v>0</v>
      </c>
      <c r="V55" s="751"/>
      <c r="W55" s="752">
        <f t="shared" si="11"/>
        <v>0</v>
      </c>
      <c r="X55" s="753"/>
      <c r="Y55" s="752"/>
      <c r="Z55" s="736">
        <f>'①Tidak termasuk VAT TAX'!AJ55*10%</f>
        <v>726681.5288298903</v>
      </c>
      <c r="AA55" s="753"/>
      <c r="AB55" s="754">
        <f t="shared" si="16"/>
        <v>726681.5288298903</v>
      </c>
      <c r="AC55" s="738">
        <f t="shared" si="8"/>
        <v>726681.5288298903</v>
      </c>
      <c r="AD55" s="739">
        <f t="shared" si="21"/>
        <v>-8999554.135103263</v>
      </c>
      <c r="AE55" s="739">
        <f t="shared" si="24"/>
        <v>726681.5288298903</v>
      </c>
      <c r="AF55" s="739">
        <f t="shared" si="17"/>
        <v>726681.5288298903</v>
      </c>
      <c r="AG55" s="739">
        <f t="shared" si="19"/>
        <v>610328.14782571734</v>
      </c>
      <c r="AH55" s="740">
        <f t="shared" si="20"/>
        <v>610328.14782571734</v>
      </c>
      <c r="AI55" s="738">
        <f t="shared" si="23"/>
        <v>109211.19147509469</v>
      </c>
      <c r="AJ55" s="762"/>
      <c r="AK55" s="763"/>
      <c r="AL55" s="752">
        <f t="shared" si="18"/>
        <v>109211.19147509469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0</v>
      </c>
      <c r="R56" s="753"/>
      <c r="S56" s="753"/>
      <c r="T56" s="753"/>
      <c r="U56" s="754">
        <f t="shared" si="27"/>
        <v>0</v>
      </c>
      <c r="V56" s="751"/>
      <c r="W56" s="752">
        <f t="shared" si="11"/>
        <v>0</v>
      </c>
      <c r="X56" s="753"/>
      <c r="Y56" s="752"/>
      <c r="Z56" s="736">
        <f>'①Tidak termasuk VAT TAX'!AJ56*10%</f>
        <v>726681.5288298903</v>
      </c>
      <c r="AA56" s="753"/>
      <c r="AB56" s="754">
        <f t="shared" si="16"/>
        <v>726681.5288298903</v>
      </c>
      <c r="AC56" s="738">
        <f t="shared" si="8"/>
        <v>726681.5288298903</v>
      </c>
      <c r="AD56" s="739">
        <f t="shared" si="21"/>
        <v>-8272872.6062733727</v>
      </c>
      <c r="AE56" s="739">
        <f t="shared" si="24"/>
        <v>726681.5288298903</v>
      </c>
      <c r="AF56" s="739">
        <f t="shared" si="17"/>
        <v>726681.5288298903</v>
      </c>
      <c r="AG56" s="739">
        <f t="shared" si="19"/>
        <v>606788.54796260234</v>
      </c>
      <c r="AH56" s="740">
        <f t="shared" si="20"/>
        <v>606788.54796260234</v>
      </c>
      <c r="AI56" s="738">
        <f t="shared" si="23"/>
        <v>109211.19147509469</v>
      </c>
      <c r="AJ56" s="762"/>
      <c r="AK56" s="763"/>
      <c r="AL56" s="752">
        <f t="shared" si="18"/>
        <v>109211.19147509469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0</v>
      </c>
      <c r="R57" s="753"/>
      <c r="S57" s="753"/>
      <c r="T57" s="753"/>
      <c r="U57" s="754">
        <f t="shared" si="27"/>
        <v>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726681.5288298903</v>
      </c>
      <c r="AA57" s="753"/>
      <c r="AB57" s="754">
        <f t="shared" si="16"/>
        <v>726681.5288298903</v>
      </c>
      <c r="AC57" s="738">
        <f t="shared" si="8"/>
        <v>726681.5288298903</v>
      </c>
      <c r="AD57" s="739">
        <f t="shared" si="21"/>
        <v>-7546191.0774434824</v>
      </c>
      <c r="AE57" s="739">
        <f t="shared" si="24"/>
        <v>726681.5288298903</v>
      </c>
      <c r="AF57" s="739">
        <f t="shared" si="17"/>
        <v>726681.5288298903</v>
      </c>
      <c r="AG57" s="739">
        <f t="shared" si="19"/>
        <v>603269.47601915721</v>
      </c>
      <c r="AH57" s="740">
        <f t="shared" si="20"/>
        <v>603269.47601915721</v>
      </c>
      <c r="AI57" s="738">
        <f t="shared" si="23"/>
        <v>109211.19147509469</v>
      </c>
      <c r="AJ57" s="762"/>
      <c r="AK57" s="763"/>
      <c r="AL57" s="752">
        <f t="shared" si="18"/>
        <v>109211.19147509469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0</v>
      </c>
      <c r="R58" s="753"/>
      <c r="S58" s="753"/>
      <c r="T58" s="753"/>
      <c r="U58" s="754">
        <f t="shared" si="27"/>
        <v>0</v>
      </c>
      <c r="V58" s="751"/>
      <c r="W58" s="752">
        <f t="shared" si="28"/>
        <v>0</v>
      </c>
      <c r="X58" s="753"/>
      <c r="Y58" s="752"/>
      <c r="Z58" s="736">
        <f>'①Tidak termasuk VAT TAX'!AJ58*10%</f>
        <v>726681.5288298903</v>
      </c>
      <c r="AA58" s="753"/>
      <c r="AB58" s="754">
        <f t="shared" si="16"/>
        <v>726681.5288298903</v>
      </c>
      <c r="AC58" s="738">
        <f t="shared" si="8"/>
        <v>726681.5288298903</v>
      </c>
      <c r="AD58" s="739">
        <f t="shared" si="21"/>
        <v>-6819509.5486135921</v>
      </c>
      <c r="AE58" s="739">
        <f>IF(AD58&lt;=0,AC58,-AD57)</f>
        <v>726681.5288298903</v>
      </c>
      <c r="AF58" s="739">
        <f t="shared" si="17"/>
        <v>726681.5288298903</v>
      </c>
      <c r="AG58" s="739">
        <f t="shared" ref="AG58:AG90" si="29">PV($G$14/12,$B58,0,$AE58*-1,0)</f>
        <v>599770.81294365251</v>
      </c>
      <c r="AH58" s="740">
        <f t="shared" si="20"/>
        <v>599770.81294365251</v>
      </c>
      <c r="AI58" s="738">
        <f t="shared" si="23"/>
        <v>109211.19147509469</v>
      </c>
      <c r="AJ58" s="762"/>
      <c r="AK58" s="763"/>
      <c r="AL58" s="752">
        <f t="shared" si="18"/>
        <v>109211.19147509469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0</v>
      </c>
      <c r="R59" s="753"/>
      <c r="S59" s="753"/>
      <c r="T59" s="753"/>
      <c r="U59" s="754">
        <f t="shared" si="27"/>
        <v>0</v>
      </c>
      <c r="V59" s="751"/>
      <c r="W59" s="752">
        <f t="shared" si="28"/>
        <v>0</v>
      </c>
      <c r="X59" s="753"/>
      <c r="Y59" s="752"/>
      <c r="Z59" s="736">
        <f>'①Tidak termasuk VAT TAX'!AJ59*10%</f>
        <v>726681.5288298903</v>
      </c>
      <c r="AA59" s="753"/>
      <c r="AB59" s="754">
        <f t="shared" si="16"/>
        <v>726681.5288298903</v>
      </c>
      <c r="AC59" s="738">
        <f t="shared" si="8"/>
        <v>726681.5288298903</v>
      </c>
      <c r="AD59" s="739">
        <f t="shared" si="21"/>
        <v>-6092828.0197837017</v>
      </c>
      <c r="AE59" s="739">
        <f t="shared" ref="AE59:AE90" si="30">IF(AD59&lt;=0,AC59,-AD58)</f>
        <v>726681.5288298903</v>
      </c>
      <c r="AF59" s="739">
        <f t="shared" si="17"/>
        <v>726681.5288298903</v>
      </c>
      <c r="AG59" s="739">
        <f t="shared" si="29"/>
        <v>596292.44037479954</v>
      </c>
      <c r="AH59" s="740">
        <f t="shared" si="20"/>
        <v>596292.44037479954</v>
      </c>
      <c r="AI59" s="738">
        <f t="shared" si="23"/>
        <v>109211.19147509469</v>
      </c>
      <c r="AJ59" s="762"/>
      <c r="AK59" s="763"/>
      <c r="AL59" s="752">
        <f t="shared" si="18"/>
        <v>109211.19147509469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0</v>
      </c>
      <c r="R60" s="753"/>
      <c r="S60" s="753"/>
      <c r="T60" s="753"/>
      <c r="U60" s="754">
        <f t="shared" si="27"/>
        <v>0</v>
      </c>
      <c r="V60" s="751"/>
      <c r="W60" s="752">
        <f t="shared" si="28"/>
        <v>0</v>
      </c>
      <c r="X60" s="753"/>
      <c r="Y60" s="752"/>
      <c r="Z60" s="736">
        <f>'①Tidak termasuk VAT TAX'!AJ60*10%</f>
        <v>726681.5288298903</v>
      </c>
      <c r="AA60" s="753"/>
      <c r="AB60" s="754">
        <f t="shared" si="16"/>
        <v>726681.5288298903</v>
      </c>
      <c r="AC60" s="738">
        <f>U60+AB60</f>
        <v>726681.5288298903</v>
      </c>
      <c r="AD60" s="739">
        <f t="shared" si="21"/>
        <v>-5366146.4909538114</v>
      </c>
      <c r="AE60" s="739">
        <f t="shared" si="30"/>
        <v>726681.5288298903</v>
      </c>
      <c r="AF60" s="739">
        <f t="shared" si="17"/>
        <v>726681.5288298903</v>
      </c>
      <c r="AG60" s="739">
        <f t="shared" si="29"/>
        <v>592834.24063774606</v>
      </c>
      <c r="AH60" s="740">
        <f t="shared" si="20"/>
        <v>592834.24063774606</v>
      </c>
      <c r="AI60" s="738">
        <f>IF(AU60&lt;=$J$7,AI59,0)</f>
        <v>109211.19147509469</v>
      </c>
      <c r="AJ60" s="762"/>
      <c r="AK60" s="763"/>
      <c r="AL60" s="752">
        <f t="shared" si="18"/>
        <v>109211.19147509469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0</v>
      </c>
      <c r="R61" s="753"/>
      <c r="S61" s="753"/>
      <c r="T61" s="753"/>
      <c r="U61" s="754">
        <f t="shared" si="27"/>
        <v>0</v>
      </c>
      <c r="V61" s="751"/>
      <c r="W61" s="752">
        <f t="shared" si="28"/>
        <v>0</v>
      </c>
      <c r="X61" s="753"/>
      <c r="Y61" s="752"/>
      <c r="Z61" s="736">
        <f>'①Tidak termasuk VAT TAX'!AJ61*10%</f>
        <v>726681.5288298903</v>
      </c>
      <c r="AA61" s="753"/>
      <c r="AB61" s="754">
        <f t="shared" si="16"/>
        <v>726681.5288298903</v>
      </c>
      <c r="AC61" s="738">
        <f t="shared" si="8"/>
        <v>726681.5288298903</v>
      </c>
      <c r="AD61" s="739">
        <f t="shared" si="21"/>
        <v>-4639464.9621239211</v>
      </c>
      <c r="AE61" s="739">
        <f>IF(AD61&lt;=0,AC61,-AD60)</f>
        <v>726681.5288298903</v>
      </c>
      <c r="AF61" s="739">
        <f>IF(AD61&lt;=0,AE61,)</f>
        <v>726681.5288298903</v>
      </c>
      <c r="AG61" s="739">
        <f t="shared" si="29"/>
        <v>589396.09674009541</v>
      </c>
      <c r="AH61" s="740">
        <f t="shared" si="20"/>
        <v>589396.09674009541</v>
      </c>
      <c r="AI61" s="738">
        <f t="shared" si="23"/>
        <v>109211.19147509469</v>
      </c>
      <c r="AJ61" s="762"/>
      <c r="AK61" s="763"/>
      <c r="AL61" s="752">
        <f t="shared" si="18"/>
        <v>109211.19147509469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9090909</v>
      </c>
      <c r="X62" s="753"/>
      <c r="Y62" s="752"/>
      <c r="Z62" s="736">
        <f>'①Tidak termasuk VAT TAX'!AJ62*10%</f>
        <v>0</v>
      </c>
      <c r="AA62" s="753"/>
      <c r="AB62" s="754">
        <f t="shared" si="16"/>
        <v>9090909</v>
      </c>
      <c r="AC62" s="738">
        <f>U62+AB62</f>
        <v>9090909</v>
      </c>
      <c r="AD62" s="739">
        <f t="shared" si="21"/>
        <v>4451444.0378760789</v>
      </c>
      <c r="AE62" s="739">
        <f t="shared" si="30"/>
        <v>4639464.9621239211</v>
      </c>
      <c r="AF62" s="739">
        <f t="shared" ref="AF62:AF90" si="31">IF(AD62&lt;=0,AE62,)</f>
        <v>0</v>
      </c>
      <c r="AG62" s="739">
        <f t="shared" si="29"/>
        <v>3741149.0348431957</v>
      </c>
      <c r="AH62" s="740">
        <f t="shared" si="20"/>
        <v>3741149.0348431957</v>
      </c>
      <c r="AI62" s="738">
        <f t="shared" si="23"/>
        <v>0</v>
      </c>
      <c r="AJ62" s="762"/>
      <c r="AK62" s="763"/>
      <c r="AL62" s="752">
        <f t="shared" si="18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0</v>
      </c>
      <c r="AA63" s="753"/>
      <c r="AB63" s="754">
        <f t="shared" si="16"/>
        <v>0</v>
      </c>
      <c r="AC63" s="738">
        <f t="shared" si="8"/>
        <v>0</v>
      </c>
      <c r="AD63" s="739">
        <f t="shared" si="21"/>
        <v>4451444.0378760789</v>
      </c>
      <c r="AE63" s="739">
        <f>IF(AD63&lt;=0,AC63,-AD62)</f>
        <v>-4451444.0378760789</v>
      </c>
      <c r="AF63" s="739">
        <f t="shared" si="31"/>
        <v>0</v>
      </c>
      <c r="AG63" s="739">
        <f t="shared" si="29"/>
        <v>-3568716.1319918847</v>
      </c>
      <c r="AH63" s="740">
        <f t="shared" si="20"/>
        <v>0</v>
      </c>
      <c r="AI63" s="738">
        <f t="shared" si="23"/>
        <v>0</v>
      </c>
      <c r="AJ63" s="762"/>
      <c r="AK63" s="763"/>
      <c r="AL63" s="752">
        <f t="shared" si="18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0</v>
      </c>
      <c r="AA64" s="753"/>
      <c r="AB64" s="754">
        <f t="shared" si="16"/>
        <v>0</v>
      </c>
      <c r="AC64" s="738">
        <f t="shared" si="8"/>
        <v>0</v>
      </c>
      <c r="AD64" s="739">
        <f t="shared" si="21"/>
        <v>4451444.0378760789</v>
      </c>
      <c r="AE64" s="739">
        <f>IF(AD64&lt;=0,AC64,-AD63)</f>
        <v>-4451444.0378760789</v>
      </c>
      <c r="AF64" s="739">
        <f t="shared" si="31"/>
        <v>0</v>
      </c>
      <c r="AG64" s="739">
        <f t="shared" si="29"/>
        <v>-3548019.3524360084</v>
      </c>
      <c r="AH64" s="740">
        <f t="shared" si="20"/>
        <v>0</v>
      </c>
      <c r="AI64" s="738">
        <f t="shared" si="23"/>
        <v>0</v>
      </c>
      <c r="AJ64" s="762"/>
      <c r="AK64" s="763"/>
      <c r="AL64" s="752">
        <f t="shared" si="18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0</v>
      </c>
      <c r="AA65" s="753"/>
      <c r="AB65" s="754">
        <f t="shared" si="16"/>
        <v>0</v>
      </c>
      <c r="AC65" s="738">
        <f>U65+AB65</f>
        <v>0</v>
      </c>
      <c r="AD65" s="739">
        <f>AD64+AC65</f>
        <v>4451444.0378760789</v>
      </c>
      <c r="AE65" s="739">
        <f t="shared" si="30"/>
        <v>-4451444.0378760789</v>
      </c>
      <c r="AF65" s="739">
        <f>IF(AD65&lt;=0,AE65,)</f>
        <v>0</v>
      </c>
      <c r="AG65" s="739">
        <f t="shared" si="29"/>
        <v>-3527442.603913181</v>
      </c>
      <c r="AH65" s="740">
        <f t="shared" si="20"/>
        <v>0</v>
      </c>
      <c r="AI65" s="738">
        <f t="shared" si="23"/>
        <v>0</v>
      </c>
      <c r="AJ65" s="762"/>
      <c r="AK65" s="763"/>
      <c r="AL65" s="752">
        <f t="shared" si="18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0</v>
      </c>
      <c r="AA66" s="753"/>
      <c r="AB66" s="754">
        <f t="shared" si="16"/>
        <v>0</v>
      </c>
      <c r="AC66" s="738">
        <f t="shared" si="8"/>
        <v>0</v>
      </c>
      <c r="AD66" s="739">
        <f t="shared" si="21"/>
        <v>4451444.0378760789</v>
      </c>
      <c r="AE66" s="739">
        <f t="shared" si="30"/>
        <v>-4451444.0378760789</v>
      </c>
      <c r="AF66" s="739">
        <f t="shared" si="31"/>
        <v>0</v>
      </c>
      <c r="AG66" s="739">
        <f t="shared" si="29"/>
        <v>-3506985.1903030793</v>
      </c>
      <c r="AH66" s="740">
        <f t="shared" si="20"/>
        <v>0</v>
      </c>
      <c r="AI66" s="738">
        <f t="shared" si="23"/>
        <v>0</v>
      </c>
      <c r="AJ66" s="762"/>
      <c r="AK66" s="763"/>
      <c r="AL66" s="752">
        <f t="shared" si="18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0</v>
      </c>
      <c r="AA67" s="753"/>
      <c r="AB67" s="754">
        <f t="shared" si="16"/>
        <v>0</v>
      </c>
      <c r="AC67" s="738">
        <f>U67+AB67</f>
        <v>0</v>
      </c>
      <c r="AD67" s="739">
        <f t="shared" si="21"/>
        <v>4451444.0378760789</v>
      </c>
      <c r="AE67" s="739">
        <f t="shared" si="30"/>
        <v>-4451444.0378760789</v>
      </c>
      <c r="AF67" s="739">
        <f t="shared" si="31"/>
        <v>0</v>
      </c>
      <c r="AG67" s="739">
        <f>PV($G$14/12,$B67,0,$AE67*-1,0)</f>
        <v>-3486646.4195225318</v>
      </c>
      <c r="AH67" s="740">
        <f t="shared" si="20"/>
        <v>0</v>
      </c>
      <c r="AI67" s="738">
        <f t="shared" si="23"/>
        <v>0</v>
      </c>
      <c r="AJ67" s="762"/>
      <c r="AK67" s="763"/>
      <c r="AL67" s="752">
        <f t="shared" si="18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0</v>
      </c>
      <c r="AA68" s="753"/>
      <c r="AB68" s="754">
        <f t="shared" si="16"/>
        <v>0</v>
      </c>
      <c r="AC68" s="738">
        <f t="shared" si="8"/>
        <v>0</v>
      </c>
      <c r="AD68" s="739">
        <f t="shared" si="21"/>
        <v>4451444.0378760789</v>
      </c>
      <c r="AE68" s="739">
        <f>IF(AD68&lt;=0,AC68,-AD67)</f>
        <v>-4451444.0378760789</v>
      </c>
      <c r="AF68" s="739">
        <f t="shared" si="31"/>
        <v>0</v>
      </c>
      <c r="AG68" s="739">
        <f>PV($G$14/12,$B68,0,$AE68*-1,0)</f>
        <v>-3466425.6035021027</v>
      </c>
      <c r="AH68" s="740">
        <f t="shared" si="20"/>
        <v>0</v>
      </c>
      <c r="AI68" s="738">
        <f t="shared" si="23"/>
        <v>0</v>
      </c>
      <c r="AJ68" s="762"/>
      <c r="AK68" s="763"/>
      <c r="AL68" s="752">
        <f t="shared" si="18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0</v>
      </c>
      <c r="AA69" s="753"/>
      <c r="AB69" s="754">
        <f t="shared" si="16"/>
        <v>0</v>
      </c>
      <c r="AC69" s="738">
        <f t="shared" si="8"/>
        <v>0</v>
      </c>
      <c r="AD69" s="739">
        <f t="shared" si="21"/>
        <v>4451444.0378760789</v>
      </c>
      <c r="AE69" s="739">
        <f t="shared" si="30"/>
        <v>-4451444.0378760789</v>
      </c>
      <c r="AF69" s="739">
        <f t="shared" si="31"/>
        <v>0</v>
      </c>
      <c r="AG69" s="739">
        <f t="shared" si="29"/>
        <v>-3446322.0581628196</v>
      </c>
      <c r="AH69" s="740">
        <f t="shared" si="20"/>
        <v>0</v>
      </c>
      <c r="AI69" s="738">
        <f t="shared" si="23"/>
        <v>0</v>
      </c>
      <c r="AJ69" s="762"/>
      <c r="AK69" s="763"/>
      <c r="AL69" s="752">
        <f t="shared" si="18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0</v>
      </c>
      <c r="AA70" s="753"/>
      <c r="AB70" s="754">
        <f t="shared" si="16"/>
        <v>0</v>
      </c>
      <c r="AC70" s="738">
        <f t="shared" si="8"/>
        <v>0</v>
      </c>
      <c r="AD70" s="739">
        <f t="shared" si="21"/>
        <v>4451444.0378760789</v>
      </c>
      <c r="AE70" s="739">
        <f t="shared" si="30"/>
        <v>-4451444.0378760789</v>
      </c>
      <c r="AF70" s="739">
        <f t="shared" si="31"/>
        <v>0</v>
      </c>
      <c r="AG70" s="739">
        <f t="shared" si="29"/>
        <v>-3426335.1033930262</v>
      </c>
      <c r="AH70" s="740">
        <f t="shared" si="20"/>
        <v>0</v>
      </c>
      <c r="AI70" s="738">
        <f t="shared" si="23"/>
        <v>0</v>
      </c>
      <c r="AJ70" s="762"/>
      <c r="AK70" s="763"/>
      <c r="AL70" s="752">
        <f t="shared" si="18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0</v>
      </c>
      <c r="AA71" s="753"/>
      <c r="AB71" s="754">
        <f t="shared" si="16"/>
        <v>0</v>
      </c>
      <c r="AC71" s="738">
        <f t="shared" si="8"/>
        <v>0</v>
      </c>
      <c r="AD71" s="739">
        <f t="shared" si="21"/>
        <v>4451444.0378760789</v>
      </c>
      <c r="AE71" s="739">
        <f t="shared" si="30"/>
        <v>-4451444.0378760789</v>
      </c>
      <c r="AF71" s="739">
        <f t="shared" si="31"/>
        <v>0</v>
      </c>
      <c r="AG71" s="739">
        <f t="shared" si="29"/>
        <v>-3406464.0630253782</v>
      </c>
      <c r="AH71" s="740">
        <f t="shared" si="20"/>
        <v>0</v>
      </c>
      <c r="AI71" s="738">
        <f t="shared" si="23"/>
        <v>0</v>
      </c>
      <c r="AJ71" s="762"/>
      <c r="AK71" s="763"/>
      <c r="AL71" s="752">
        <f t="shared" si="18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0</v>
      </c>
      <c r="AA72" s="753"/>
      <c r="AB72" s="754">
        <f t="shared" si="16"/>
        <v>0</v>
      </c>
      <c r="AC72" s="738">
        <f t="shared" si="8"/>
        <v>0</v>
      </c>
      <c r="AD72" s="739">
        <f t="shared" si="21"/>
        <v>4451444.0378760789</v>
      </c>
      <c r="AE72" s="739">
        <f t="shared" si="30"/>
        <v>-4451444.0378760789</v>
      </c>
      <c r="AF72" s="739">
        <f t="shared" si="31"/>
        <v>0</v>
      </c>
      <c r="AG72" s="739">
        <f t="shared" si="29"/>
        <v>-3386708.2648139638</v>
      </c>
      <c r="AH72" s="740">
        <f t="shared" si="20"/>
        <v>0</v>
      </c>
      <c r="AI72" s="738">
        <f t="shared" si="23"/>
        <v>0</v>
      </c>
      <c r="AJ72" s="762"/>
      <c r="AK72" s="763"/>
      <c r="AL72" s="752">
        <f t="shared" si="18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0</v>
      </c>
      <c r="AA73" s="753"/>
      <c r="AB73" s="754">
        <f t="shared" si="16"/>
        <v>0</v>
      </c>
      <c r="AC73" s="738">
        <f t="shared" si="8"/>
        <v>0</v>
      </c>
      <c r="AD73" s="739">
        <f t="shared" si="21"/>
        <v>4451444.0378760789</v>
      </c>
      <c r="AE73" s="739">
        <f t="shared" si="30"/>
        <v>-4451444.0378760789</v>
      </c>
      <c r="AF73" s="739">
        <f t="shared" si="31"/>
        <v>0</v>
      </c>
      <c r="AG73" s="739">
        <f t="shared" si="29"/>
        <v>-3367067.0404115631</v>
      </c>
      <c r="AH73" s="740">
        <f t="shared" si="20"/>
        <v>0</v>
      </c>
      <c r="AI73" s="738">
        <f t="shared" si="23"/>
        <v>0</v>
      </c>
      <c r="AJ73" s="762"/>
      <c r="AK73" s="763"/>
      <c r="AL73" s="752">
        <f t="shared" si="18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0</v>
      </c>
      <c r="X74" s="753"/>
      <c r="Y74" s="752"/>
      <c r="Z74" s="736">
        <f>'①Tidak termasuk VAT TAX'!AJ74*10%</f>
        <v>0</v>
      </c>
      <c r="AA74" s="753"/>
      <c r="AB74" s="754">
        <f>SUM(V74:AA74)</f>
        <v>0</v>
      </c>
      <c r="AC74" s="738">
        <f t="shared" si="8"/>
        <v>0</v>
      </c>
      <c r="AD74" s="739">
        <f t="shared" si="21"/>
        <v>4451444.0378760789</v>
      </c>
      <c r="AE74" s="739">
        <f t="shared" si="30"/>
        <v>-4451444.0378760789</v>
      </c>
      <c r="AF74" s="739">
        <f t="shared" si="31"/>
        <v>0</v>
      </c>
      <c r="AG74" s="739">
        <f t="shared" si="29"/>
        <v>-3347539.7253470379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4451444.0378760789</v>
      </c>
      <c r="AE75" s="739">
        <f t="shared" si="30"/>
        <v>-4451444.0378760789</v>
      </c>
      <c r="AF75" s="739">
        <f t="shared" si="31"/>
        <v>0</v>
      </c>
      <c r="AG75" s="739">
        <f t="shared" si="29"/>
        <v>-3328125.659002855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4451444.0378760789</v>
      </c>
      <c r="AE76" s="739">
        <f t="shared" si="30"/>
        <v>-4451444.0378760789</v>
      </c>
      <c r="AF76" s="739">
        <f t="shared" si="31"/>
        <v>0</v>
      </c>
      <c r="AG76" s="739">
        <f t="shared" si="29"/>
        <v>-3308824.1845927304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4451444.0378760789</v>
      </c>
      <c r="AE77" s="739">
        <f t="shared" si="30"/>
        <v>-4451444.0378760789</v>
      </c>
      <c r="AF77" s="739">
        <f t="shared" si="31"/>
        <v>0</v>
      </c>
      <c r="AG77" s="739">
        <f t="shared" si="29"/>
        <v>-3289634.6491394173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4451444.0378760789</v>
      </c>
      <c r="AE78" s="739">
        <f t="shared" si="30"/>
        <v>-4451444.0378760789</v>
      </c>
      <c r="AF78" s="739">
        <f t="shared" si="31"/>
        <v>0</v>
      </c>
      <c r="AG78" s="739">
        <f t="shared" si="29"/>
        <v>-3270556.4034526101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4451444.0378760789</v>
      </c>
      <c r="AE79" s="739">
        <f t="shared" si="30"/>
        <v>-4451444.0378760789</v>
      </c>
      <c r="AF79" s="739">
        <f t="shared" si="31"/>
        <v>0</v>
      </c>
      <c r="AG79" s="739">
        <f t="shared" si="29"/>
        <v>-3251588.8021069854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4451444.0378760789</v>
      </c>
      <c r="AE80" s="739">
        <f t="shared" si="30"/>
        <v>-4451444.0378760789</v>
      </c>
      <c r="AF80" s="739">
        <f t="shared" si="31"/>
        <v>0</v>
      </c>
      <c r="AG80" s="739">
        <f t="shared" si="29"/>
        <v>-3232731.2034203676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4451444.0378760789</v>
      </c>
      <c r="AE81" s="739">
        <f t="shared" si="30"/>
        <v>-4451444.0378760789</v>
      </c>
      <c r="AF81" s="739">
        <f t="shared" si="31"/>
        <v>0</v>
      </c>
      <c r="AG81" s="739">
        <f>PV($G$14/12,$B81,0,$AE81*-1,0)</f>
        <v>-3213982.969432014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4451444.0378760789</v>
      </c>
      <c r="AE82" s="739">
        <f t="shared" si="30"/>
        <v>-4451444.0378760789</v>
      </c>
      <c r="AF82" s="739">
        <f t="shared" si="31"/>
        <v>0</v>
      </c>
      <c r="AG82" s="739">
        <f t="shared" si="29"/>
        <v>-3195343.4658810403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4451444.0378760789</v>
      </c>
      <c r="AE83" s="739">
        <f t="shared" si="30"/>
        <v>-4451444.0378760789</v>
      </c>
      <c r="AF83" s="739">
        <f t="shared" si="31"/>
        <v>0</v>
      </c>
      <c r="AG83" s="739">
        <f t="shared" si="29"/>
        <v>-3176812.062184962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4451444.0378760789</v>
      </c>
      <c r="AE84" s="739">
        <f t="shared" si="30"/>
        <v>-4451444.0378760789</v>
      </c>
      <c r="AF84" s="739">
        <f t="shared" si="31"/>
        <v>0</v>
      </c>
      <c r="AG84" s="739">
        <f t="shared" si="29"/>
        <v>-3158388.1314183548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4451444.0378760789</v>
      </c>
      <c r="AE85" s="739">
        <f t="shared" si="30"/>
        <v>-4451444.0378760789</v>
      </c>
      <c r="AF85" s="739">
        <f t="shared" si="31"/>
        <v>0</v>
      </c>
      <c r="AG85" s="739">
        <f t="shared" si="29"/>
        <v>-3140071.0502916537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-33000000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-33000000</v>
      </c>
      <c r="V91" s="823"/>
      <c r="W91" s="824">
        <f t="shared" si="38"/>
        <v>9090909</v>
      </c>
      <c r="X91" s="825">
        <f t="shared" si="38"/>
        <v>0</v>
      </c>
      <c r="Y91" s="824">
        <f t="shared" si="38"/>
        <v>2200000</v>
      </c>
      <c r="Z91" s="826">
        <f t="shared" si="38"/>
        <v>26160535.037876073</v>
      </c>
      <c r="AA91" s="825">
        <f>SUM(AA22:AA75)</f>
        <v>0</v>
      </c>
      <c r="AB91" s="827">
        <f t="shared" ref="AB91:AI91" si="39">SUM(AB22:AB90)</f>
        <v>37451444.037876077</v>
      </c>
      <c r="AC91" s="785">
        <f t="shared" si="21"/>
        <v>37451444.037876077</v>
      </c>
      <c r="AD91" s="785">
        <f t="shared" si="21"/>
        <v>37451444.037876077</v>
      </c>
      <c r="AE91" s="785">
        <f>SUM(AE26:AE90)</f>
        <v>-69383212.871149793</v>
      </c>
      <c r="AF91" s="785">
        <f>SUM(AF26:AF90)</f>
        <v>28360535.037876077</v>
      </c>
      <c r="AG91" s="829">
        <f>SUM(AG22:AG90)</f>
        <v>-80587694.508174211</v>
      </c>
      <c r="AH91" s="830">
        <f>SUM(AH22:AH90)</f>
        <v>-3536964.3704286492</v>
      </c>
      <c r="AI91" s="831">
        <f t="shared" si="39"/>
        <v>3931602.8931034105</v>
      </c>
      <c r="AJ91" s="832"/>
      <c r="AK91" s="786"/>
      <c r="AL91" s="787">
        <f>SUM(AL22:AL90)</f>
        <v>3931602.8931034105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9090909.0000000112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532" t="s">
        <v>175</v>
      </c>
      <c r="C95" s="1533" t="s">
        <v>176</v>
      </c>
      <c r="D95" s="1533"/>
      <c r="E95" s="1533"/>
      <c r="F95" s="1533"/>
      <c r="G95" s="1533"/>
      <c r="H95" s="1533"/>
      <c r="I95" s="1533"/>
      <c r="J95" s="1533"/>
      <c r="K95" s="1534"/>
      <c r="L95" s="1535" t="s">
        <v>177</v>
      </c>
      <c r="M95" s="1536"/>
      <c r="N95" s="1536"/>
      <c r="O95" s="1537"/>
      <c r="P95" s="1551" t="s">
        <v>178</v>
      </c>
      <c r="Q95" s="1552"/>
      <c r="R95" s="1553"/>
      <c r="S95" s="1542" t="s">
        <v>179</v>
      </c>
      <c r="T95" s="1539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554"/>
      <c r="C96" s="1555" t="s">
        <v>166</v>
      </c>
      <c r="D96" s="1555"/>
      <c r="E96" s="1555"/>
      <c r="F96" s="1555" t="s">
        <v>187</v>
      </c>
      <c r="G96" s="1555"/>
      <c r="H96" s="1555" t="s">
        <v>165</v>
      </c>
      <c r="I96" s="1555"/>
      <c r="J96" s="1719" t="s">
        <v>188</v>
      </c>
      <c r="K96" s="1529" t="s">
        <v>58</v>
      </c>
      <c r="L96" s="1549" t="s">
        <v>189</v>
      </c>
      <c r="M96" s="1719" t="s">
        <v>190</v>
      </c>
      <c r="N96" s="1547" t="s">
        <v>191</v>
      </c>
      <c r="O96" s="1529" t="s">
        <v>58</v>
      </c>
      <c r="P96" s="1549" t="s">
        <v>192</v>
      </c>
      <c r="Q96" s="1547" t="s">
        <v>193</v>
      </c>
      <c r="R96" s="1545" t="s">
        <v>194</v>
      </c>
      <c r="S96" s="1543"/>
      <c r="T96" s="1540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717"/>
      <c r="C97" s="919"/>
      <c r="D97" s="1718" t="s">
        <v>169</v>
      </c>
      <c r="E97" s="1718"/>
      <c r="F97" s="918" t="s">
        <v>196</v>
      </c>
      <c r="G97" s="879" t="s">
        <v>169</v>
      </c>
      <c r="H97" s="918" t="s">
        <v>196</v>
      </c>
      <c r="I97" s="879" t="s">
        <v>169</v>
      </c>
      <c r="J97" s="1720"/>
      <c r="K97" s="1538"/>
      <c r="L97" s="1550"/>
      <c r="M97" s="1720"/>
      <c r="N97" s="1548"/>
      <c r="O97" s="1538"/>
      <c r="P97" s="1550"/>
      <c r="Q97" s="1548"/>
      <c r="R97" s="1546"/>
      <c r="S97" s="1544"/>
      <c r="T97" s="1541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33000000</v>
      </c>
      <c r="E98" s="655">
        <v>17000000</v>
      </c>
      <c r="F98" s="655">
        <f>E98-D98</f>
        <v>-16000000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-33000000</v>
      </c>
      <c r="M102" s="905"/>
      <c r="N102" s="815">
        <f t="shared" ref="N102:N165" si="52">T101*-1</f>
        <v>0</v>
      </c>
      <c r="O102" s="884">
        <f>L102+M102+N102</f>
        <v>-33000000</v>
      </c>
      <c r="P102" s="891">
        <f>K102+O102</f>
        <v>-33000000</v>
      </c>
      <c r="Q102" s="892">
        <f>R101</f>
        <v>0</v>
      </c>
      <c r="R102" s="893">
        <f>P102+Q102</f>
        <v>-33000000</v>
      </c>
      <c r="S102" s="894">
        <f>IF($R102&lt;0,$R102*-1,0)</f>
        <v>33000000</v>
      </c>
      <c r="T102" s="894">
        <f>$S102*$G$14*1/12</f>
        <v>192500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2926681.5288298903</v>
      </c>
      <c r="E103" s="815">
        <f t="shared" si="41"/>
        <v>109211.19147509469</v>
      </c>
      <c r="F103" s="905"/>
      <c r="G103" s="883">
        <f t="shared" si="47"/>
        <v>0</v>
      </c>
      <c r="H103" s="905"/>
      <c r="I103" s="1399">
        <v>0</v>
      </c>
      <c r="J103" s="905"/>
      <c r="K103" s="884">
        <f>C103+E103+F103+G103+H103+I103+J103+D103</f>
        <v>3035892.7203049851</v>
      </c>
      <c r="L103" s="890"/>
      <c r="M103" s="905"/>
      <c r="N103" s="815">
        <f>T102*-1</f>
        <v>-192500</v>
      </c>
      <c r="O103" s="884">
        <f>L103+M103+N103</f>
        <v>-192500</v>
      </c>
      <c r="P103" s="891">
        <f>K103+O103</f>
        <v>2843392.7203049851</v>
      </c>
      <c r="Q103" s="892">
        <f>R102</f>
        <v>-33000000</v>
      </c>
      <c r="R103" s="893">
        <f>P103+Q103</f>
        <v>-30156607.279695015</v>
      </c>
      <c r="S103" s="894">
        <f t="shared" si="44"/>
        <v>30156607.279695015</v>
      </c>
      <c r="T103" s="894">
        <f t="shared" si="45"/>
        <v>175913.54246488761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726681.5288298903</v>
      </c>
      <c r="E104" s="815">
        <f t="shared" si="41"/>
        <v>109211.19147509469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835892.72030498495</v>
      </c>
      <c r="L104" s="890"/>
      <c r="M104" s="905"/>
      <c r="N104" s="815">
        <f t="shared" si="52"/>
        <v>-175913.54246488761</v>
      </c>
      <c r="O104" s="884">
        <f t="shared" si="49"/>
        <v>-175913.54246488761</v>
      </c>
      <c r="P104" s="891">
        <f>K104+O104</f>
        <v>659979.17784009734</v>
      </c>
      <c r="Q104" s="892">
        <f>R103</f>
        <v>-30156607.279695015</v>
      </c>
      <c r="R104" s="893">
        <f>P104+Q104</f>
        <v>-29496628.101854917</v>
      </c>
      <c r="S104" s="894">
        <f t="shared" si="44"/>
        <v>29496628.101854917</v>
      </c>
      <c r="T104" s="894">
        <f t="shared" si="45"/>
        <v>172063.66392748704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726681.5288298903</v>
      </c>
      <c r="E105" s="815">
        <f t="shared" si="41"/>
        <v>109211.19147509469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835892.72030498495</v>
      </c>
      <c r="L105" s="890"/>
      <c r="M105" s="905"/>
      <c r="N105" s="815">
        <f t="shared" si="52"/>
        <v>-172063.66392748704</v>
      </c>
      <c r="O105" s="884">
        <f t="shared" si="49"/>
        <v>-172063.66392748704</v>
      </c>
      <c r="P105" s="891">
        <f t="shared" si="50"/>
        <v>663829.05637749797</v>
      </c>
      <c r="Q105" s="892">
        <f>R104</f>
        <v>-29496628.101854917</v>
      </c>
      <c r="R105" s="893">
        <f t="shared" ref="R105:R164" si="53">P105+Q105</f>
        <v>-28832799.04547742</v>
      </c>
      <c r="S105" s="894">
        <f t="shared" si="44"/>
        <v>28832799.04547742</v>
      </c>
      <c r="T105" s="894">
        <f t="shared" si="45"/>
        <v>168191.32776528495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726681.5288298903</v>
      </c>
      <c r="E106" s="815">
        <f t="shared" si="41"/>
        <v>109211.19147509469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835892.72030498495</v>
      </c>
      <c r="L106" s="890"/>
      <c r="M106" s="905"/>
      <c r="N106" s="815">
        <f t="shared" si="52"/>
        <v>-168191.32776528495</v>
      </c>
      <c r="O106" s="884">
        <f t="shared" si="49"/>
        <v>-168191.32776528495</v>
      </c>
      <c r="P106" s="891">
        <f t="shared" si="50"/>
        <v>667701.39253970003</v>
      </c>
      <c r="Q106" s="892">
        <f>R105</f>
        <v>-28832799.04547742</v>
      </c>
      <c r="R106" s="893">
        <f t="shared" si="53"/>
        <v>-28165097.652937721</v>
      </c>
      <c r="S106" s="894">
        <f t="shared" si="44"/>
        <v>28165097.652937721</v>
      </c>
      <c r="T106" s="894">
        <f t="shared" si="45"/>
        <v>164296.40297547006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726681.5288298903</v>
      </c>
      <c r="E107" s="815">
        <f t="shared" si="41"/>
        <v>109211.19147509469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835892.72030498495</v>
      </c>
      <c r="L107" s="890"/>
      <c r="M107" s="905"/>
      <c r="N107" s="815">
        <f t="shared" si="52"/>
        <v>-164296.40297547006</v>
      </c>
      <c r="O107" s="884">
        <f t="shared" si="49"/>
        <v>-164296.40297547006</v>
      </c>
      <c r="P107" s="891">
        <f t="shared" si="50"/>
        <v>671596.31732951489</v>
      </c>
      <c r="Q107" s="892">
        <f t="shared" si="51"/>
        <v>-28165097.652937721</v>
      </c>
      <c r="R107" s="893">
        <f>P107+Q107</f>
        <v>-27493501.335608207</v>
      </c>
      <c r="S107" s="894">
        <f t="shared" si="44"/>
        <v>27493501.335608207</v>
      </c>
      <c r="T107" s="894">
        <f t="shared" si="45"/>
        <v>160378.75779104789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726681.5288298903</v>
      </c>
      <c r="E108" s="815">
        <f t="shared" si="41"/>
        <v>109211.19147509469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835892.72030498495</v>
      </c>
      <c r="L108" s="890"/>
      <c r="M108" s="905"/>
      <c r="N108" s="815">
        <f t="shared" si="52"/>
        <v>-160378.75779104789</v>
      </c>
      <c r="O108" s="884">
        <f t="shared" si="49"/>
        <v>-160378.75779104789</v>
      </c>
      <c r="P108" s="891">
        <f t="shared" si="50"/>
        <v>675513.96251393703</v>
      </c>
      <c r="Q108" s="892">
        <f t="shared" si="51"/>
        <v>-27493501.335608207</v>
      </c>
      <c r="R108" s="893">
        <f t="shared" si="53"/>
        <v>-26817987.373094268</v>
      </c>
      <c r="S108" s="894">
        <f t="shared" si="44"/>
        <v>26817987.373094268</v>
      </c>
      <c r="T108" s="894">
        <f t="shared" si="45"/>
        <v>156438.25967638326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726681.5288298903</v>
      </c>
      <c r="E109" s="815">
        <f t="shared" si="41"/>
        <v>109211.19147509469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835892.72030498495</v>
      </c>
      <c r="L109" s="890"/>
      <c r="M109" s="905"/>
      <c r="N109" s="815">
        <f t="shared" si="52"/>
        <v>-156438.25967638326</v>
      </c>
      <c r="O109" s="884">
        <f t="shared" si="49"/>
        <v>-156438.25967638326</v>
      </c>
      <c r="P109" s="891">
        <f t="shared" si="50"/>
        <v>679454.46062860172</v>
      </c>
      <c r="Q109" s="892">
        <f t="shared" si="51"/>
        <v>-26817987.373094268</v>
      </c>
      <c r="R109" s="893">
        <f t="shared" si="53"/>
        <v>-26138532.912465665</v>
      </c>
      <c r="S109" s="894">
        <f t="shared" si="44"/>
        <v>26138532.912465665</v>
      </c>
      <c r="T109" s="894">
        <f t="shared" si="45"/>
        <v>152474.77532271639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726681.5288298903</v>
      </c>
      <c r="E110" s="815">
        <f t="shared" si="41"/>
        <v>109211.19147509469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835892.72030498495</v>
      </c>
      <c r="L110" s="890"/>
      <c r="M110" s="905"/>
      <c r="N110" s="815">
        <f t="shared" si="52"/>
        <v>-152474.77532271639</v>
      </c>
      <c r="O110" s="884">
        <f t="shared" si="49"/>
        <v>-152474.77532271639</v>
      </c>
      <c r="P110" s="891">
        <f t="shared" si="50"/>
        <v>683417.94498226861</v>
      </c>
      <c r="Q110" s="892">
        <f t="shared" si="51"/>
        <v>-26138532.912465665</v>
      </c>
      <c r="R110" s="893">
        <f t="shared" si="53"/>
        <v>-25455114.967483398</v>
      </c>
      <c r="S110" s="894">
        <f t="shared" si="44"/>
        <v>25455114.967483398</v>
      </c>
      <c r="T110" s="894">
        <f t="shared" si="45"/>
        <v>148488.17064365317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726681.5288298903</v>
      </c>
      <c r="E111" s="815">
        <f t="shared" si="41"/>
        <v>109211.19147509469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835892.72030498495</v>
      </c>
      <c r="L111" s="890"/>
      <c r="M111" s="905"/>
      <c r="N111" s="815">
        <f t="shared" si="52"/>
        <v>-148488.17064365317</v>
      </c>
      <c r="O111" s="884">
        <f t="shared" si="49"/>
        <v>-148488.17064365317</v>
      </c>
      <c r="P111" s="891">
        <f t="shared" si="50"/>
        <v>687404.54966133181</v>
      </c>
      <c r="Q111" s="892">
        <f t="shared" si="51"/>
        <v>-25455114.967483398</v>
      </c>
      <c r="R111" s="893">
        <f t="shared" si="53"/>
        <v>-24767710.417822067</v>
      </c>
      <c r="S111" s="894">
        <f t="shared" si="44"/>
        <v>24767710.417822067</v>
      </c>
      <c r="T111" s="894">
        <f t="shared" si="45"/>
        <v>144478.31077062874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726681.5288298903</v>
      </c>
      <c r="E112" s="815">
        <f t="shared" si="41"/>
        <v>109211.19147509469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835892.72030498495</v>
      </c>
      <c r="L112" s="890"/>
      <c r="M112" s="905"/>
      <c r="N112" s="815">
        <f t="shared" si="52"/>
        <v>-144478.31077062874</v>
      </c>
      <c r="O112" s="884">
        <f t="shared" si="49"/>
        <v>-144478.31077062874</v>
      </c>
      <c r="P112" s="891">
        <f t="shared" si="50"/>
        <v>691414.40953435621</v>
      </c>
      <c r="Q112" s="892">
        <f t="shared" si="51"/>
        <v>-24767710.417822067</v>
      </c>
      <c r="R112" s="893">
        <f t="shared" si="53"/>
        <v>-24076296.008287709</v>
      </c>
      <c r="S112" s="894">
        <f t="shared" si="44"/>
        <v>24076296.008287709</v>
      </c>
      <c r="T112" s="894">
        <f t="shared" si="45"/>
        <v>140445.06004834498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726681.5288298903</v>
      </c>
      <c r="E113" s="815">
        <f t="shared" si="41"/>
        <v>109211.19147509469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835892.72030498495</v>
      </c>
      <c r="L113" s="890"/>
      <c r="M113" s="905"/>
      <c r="N113" s="815">
        <f t="shared" si="52"/>
        <v>-140445.06004834498</v>
      </c>
      <c r="O113" s="884">
        <f>L113+M113+N113</f>
        <v>-140445.06004834498</v>
      </c>
      <c r="P113" s="891">
        <f>K113+O113</f>
        <v>695447.66025663994</v>
      </c>
      <c r="Q113" s="892">
        <f t="shared" si="51"/>
        <v>-24076296.008287709</v>
      </c>
      <c r="R113" s="893">
        <f t="shared" si="53"/>
        <v>-23380848.34803107</v>
      </c>
      <c r="S113" s="894">
        <f t="shared" si="44"/>
        <v>23380848.34803107</v>
      </c>
      <c r="T113" s="894">
        <f t="shared" si="45"/>
        <v>136388.28203018126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726681.5288298903</v>
      </c>
      <c r="E114" s="815">
        <f t="shared" si="41"/>
        <v>109211.19147509469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835892.72030498495</v>
      </c>
      <c r="L114" s="890"/>
      <c r="M114" s="905"/>
      <c r="N114" s="815">
        <f t="shared" si="52"/>
        <v>-136388.28203018126</v>
      </c>
      <c r="O114" s="884">
        <f t="shared" si="49"/>
        <v>-136388.28203018126</v>
      </c>
      <c r="P114" s="891">
        <f t="shared" si="50"/>
        <v>699504.43827480369</v>
      </c>
      <c r="Q114" s="892">
        <f t="shared" si="51"/>
        <v>-23380848.34803107</v>
      </c>
      <c r="R114" s="893">
        <f t="shared" si="53"/>
        <v>-22681343.909756266</v>
      </c>
      <c r="S114" s="894">
        <f t="shared" si="44"/>
        <v>22681343.909756266</v>
      </c>
      <c r="T114" s="894">
        <f t="shared" si="45"/>
        <v>132307.83947357823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726681.5288298903</v>
      </c>
      <c r="E115" s="815">
        <f t="shared" si="41"/>
        <v>109211.19147509469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835892.72030498495</v>
      </c>
      <c r="L115" s="890"/>
      <c r="M115" s="905"/>
      <c r="N115" s="815">
        <f t="shared" si="52"/>
        <v>-132307.83947357823</v>
      </c>
      <c r="O115" s="884">
        <f t="shared" si="49"/>
        <v>-132307.83947357823</v>
      </c>
      <c r="P115" s="891">
        <f t="shared" si="50"/>
        <v>703584.88083140668</v>
      </c>
      <c r="Q115" s="892">
        <f t="shared" si="51"/>
        <v>-22681343.909756266</v>
      </c>
      <c r="R115" s="893">
        <f t="shared" si="53"/>
        <v>-21977759.02892486</v>
      </c>
      <c r="S115" s="894">
        <f t="shared" si="44"/>
        <v>21977759.02892486</v>
      </c>
      <c r="T115" s="894">
        <f t="shared" si="45"/>
        <v>128203.59433539503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726681.5288298903</v>
      </c>
      <c r="E116" s="815">
        <f t="shared" si="41"/>
        <v>109211.19147509469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835892.72030498495</v>
      </c>
      <c r="L116" s="890"/>
      <c r="M116" s="905"/>
      <c r="N116" s="815">
        <f t="shared" si="52"/>
        <v>-128203.59433539503</v>
      </c>
      <c r="O116" s="884">
        <f t="shared" si="49"/>
        <v>-128203.59433539503</v>
      </c>
      <c r="P116" s="891">
        <f t="shared" si="50"/>
        <v>707689.12596958992</v>
      </c>
      <c r="Q116" s="892">
        <f t="shared" si="51"/>
        <v>-21977759.02892486</v>
      </c>
      <c r="R116" s="893">
        <f t="shared" si="53"/>
        <v>-21270069.902955271</v>
      </c>
      <c r="S116" s="894">
        <f t="shared" si="44"/>
        <v>21270069.902955271</v>
      </c>
      <c r="T116" s="894">
        <f t="shared" si="45"/>
        <v>124075.40776723908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726681.5288298903</v>
      </c>
      <c r="E117" s="815">
        <f t="shared" si="41"/>
        <v>109211.19147509469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835892.72030498495</v>
      </c>
      <c r="L117" s="890"/>
      <c r="M117" s="905"/>
      <c r="N117" s="815">
        <f t="shared" si="52"/>
        <v>-124075.40776723908</v>
      </c>
      <c r="O117" s="884">
        <f t="shared" si="49"/>
        <v>-124075.40776723908</v>
      </c>
      <c r="P117" s="891">
        <f t="shared" si="50"/>
        <v>711817.31253774581</v>
      </c>
      <c r="Q117" s="892">
        <f t="shared" si="51"/>
        <v>-21270069.902955271</v>
      </c>
      <c r="R117" s="893">
        <f t="shared" si="53"/>
        <v>-20558252.590417527</v>
      </c>
      <c r="S117" s="894">
        <f t="shared" si="44"/>
        <v>20558252.590417527</v>
      </c>
      <c r="T117" s="894">
        <f t="shared" si="45"/>
        <v>119923.14011076892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726681.5288298903</v>
      </c>
      <c r="E118" s="815">
        <f t="shared" si="41"/>
        <v>109211.19147509469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835892.72030498495</v>
      </c>
      <c r="L118" s="890"/>
      <c r="M118" s="905"/>
      <c r="N118" s="815">
        <f t="shared" si="52"/>
        <v>-119923.14011076892</v>
      </c>
      <c r="O118" s="884">
        <f t="shared" si="49"/>
        <v>-119923.14011076892</v>
      </c>
      <c r="P118" s="891">
        <f t="shared" si="50"/>
        <v>715969.58019421599</v>
      </c>
      <c r="Q118" s="892">
        <f t="shared" si="51"/>
        <v>-20558252.590417527</v>
      </c>
      <c r="R118" s="893">
        <f t="shared" si="53"/>
        <v>-19842283.01022331</v>
      </c>
      <c r="S118" s="894">
        <f t="shared" si="44"/>
        <v>19842283.01022331</v>
      </c>
      <c r="T118" s="894">
        <f t="shared" si="45"/>
        <v>115746.65089296932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726681.5288298903</v>
      </c>
      <c r="E119" s="815">
        <f t="shared" si="41"/>
        <v>109211.19147509469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835892.72030498495</v>
      </c>
      <c r="L119" s="890"/>
      <c r="M119" s="905"/>
      <c r="N119" s="815">
        <f t="shared" si="52"/>
        <v>-115746.65089296932</v>
      </c>
      <c r="O119" s="884">
        <f t="shared" si="49"/>
        <v>-115746.65089296932</v>
      </c>
      <c r="P119" s="891">
        <f t="shared" si="50"/>
        <v>720146.06941201561</v>
      </c>
      <c r="Q119" s="892">
        <f t="shared" si="51"/>
        <v>-19842283.01022331</v>
      </c>
      <c r="R119" s="893">
        <f t="shared" si="53"/>
        <v>-19122136.940811295</v>
      </c>
      <c r="S119" s="894">
        <f t="shared" si="44"/>
        <v>19122136.940811295</v>
      </c>
      <c r="T119" s="894">
        <f t="shared" si="45"/>
        <v>111545.79882139924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726681.5288298903</v>
      </c>
      <c r="E120" s="815">
        <f t="shared" si="41"/>
        <v>109211.19147509469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835892.72030498495</v>
      </c>
      <c r="L120" s="890"/>
      <c r="M120" s="905"/>
      <c r="N120" s="815">
        <f t="shared" si="52"/>
        <v>-111545.79882139924</v>
      </c>
      <c r="O120" s="884">
        <f t="shared" si="49"/>
        <v>-111545.79882139924</v>
      </c>
      <c r="P120" s="891">
        <f t="shared" si="50"/>
        <v>724346.92148358573</v>
      </c>
      <c r="Q120" s="892">
        <f t="shared" si="51"/>
        <v>-19122136.940811295</v>
      </c>
      <c r="R120" s="893">
        <f t="shared" si="53"/>
        <v>-18397790.019327708</v>
      </c>
      <c r="S120" s="894">
        <f t="shared" si="44"/>
        <v>18397790.019327708</v>
      </c>
      <c r="T120" s="894">
        <f t="shared" si="45"/>
        <v>107320.44177941163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726681.5288298903</v>
      </c>
      <c r="E121" s="815">
        <f t="shared" si="41"/>
        <v>109211.19147509469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835892.72030498495</v>
      </c>
      <c r="L121" s="890"/>
      <c r="M121" s="905"/>
      <c r="N121" s="815">
        <f t="shared" si="52"/>
        <v>-107320.44177941163</v>
      </c>
      <c r="O121" s="884">
        <f t="shared" si="49"/>
        <v>-107320.44177941163</v>
      </c>
      <c r="P121" s="891">
        <f t="shared" si="50"/>
        <v>728572.27852557332</v>
      </c>
      <c r="Q121" s="892">
        <f t="shared" si="51"/>
        <v>-18397790.019327708</v>
      </c>
      <c r="R121" s="893">
        <f t="shared" si="53"/>
        <v>-17669217.740802135</v>
      </c>
      <c r="S121" s="894">
        <f t="shared" si="44"/>
        <v>17669217.740802135</v>
      </c>
      <c r="T121" s="894">
        <f t="shared" si="45"/>
        <v>103070.43682134581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726681.5288298903</v>
      </c>
      <c r="E122" s="815">
        <f t="shared" si="41"/>
        <v>109211.19147509469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835892.72030498495</v>
      </c>
      <c r="L122" s="890"/>
      <c r="M122" s="905"/>
      <c r="N122" s="815">
        <f t="shared" si="52"/>
        <v>-103070.43682134581</v>
      </c>
      <c r="O122" s="884">
        <f t="shared" si="49"/>
        <v>-103070.43682134581</v>
      </c>
      <c r="P122" s="891">
        <f t="shared" si="50"/>
        <v>732822.28348363913</v>
      </c>
      <c r="Q122" s="892">
        <f t="shared" si="51"/>
        <v>-17669217.740802135</v>
      </c>
      <c r="R122" s="893">
        <f t="shared" si="53"/>
        <v>-16936395.457318496</v>
      </c>
      <c r="S122" s="894">
        <f t="shared" si="44"/>
        <v>16936395.457318496</v>
      </c>
      <c r="T122" s="894">
        <f t="shared" si="45"/>
        <v>98795.640167691236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726681.5288298903</v>
      </c>
      <c r="E123" s="815">
        <f t="shared" si="41"/>
        <v>109211.19147509469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835892.72030498495</v>
      </c>
      <c r="L123" s="890"/>
      <c r="M123" s="905"/>
      <c r="N123" s="815">
        <f t="shared" si="52"/>
        <v>-98795.640167691236</v>
      </c>
      <c r="O123" s="884">
        <f t="shared" si="49"/>
        <v>-98795.640167691236</v>
      </c>
      <c r="P123" s="891">
        <f t="shared" si="50"/>
        <v>737097.08013729367</v>
      </c>
      <c r="Q123" s="892">
        <f t="shared" si="51"/>
        <v>-16936395.457318496</v>
      </c>
      <c r="R123" s="893">
        <f t="shared" si="53"/>
        <v>-16199298.377181202</v>
      </c>
      <c r="S123" s="894">
        <f t="shared" si="44"/>
        <v>16199298.377181202</v>
      </c>
      <c r="T123" s="894">
        <f t="shared" si="45"/>
        <v>94495.907200223694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726681.5288298903</v>
      </c>
      <c r="E124" s="815">
        <f t="shared" si="41"/>
        <v>109211.19147509469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835892.72030498495</v>
      </c>
      <c r="L124" s="890"/>
      <c r="M124" s="905"/>
      <c r="N124" s="815">
        <f t="shared" si="52"/>
        <v>-94495.907200223694</v>
      </c>
      <c r="O124" s="884">
        <f t="shared" si="49"/>
        <v>-94495.907200223694</v>
      </c>
      <c r="P124" s="891">
        <f t="shared" si="50"/>
        <v>741396.8131047613</v>
      </c>
      <c r="Q124" s="892">
        <f t="shared" si="51"/>
        <v>-16199298.377181202</v>
      </c>
      <c r="R124" s="893">
        <f t="shared" si="53"/>
        <v>-15457901.56407644</v>
      </c>
      <c r="S124" s="894">
        <f t="shared" si="44"/>
        <v>15457901.56407644</v>
      </c>
      <c r="T124" s="894">
        <f t="shared" si="45"/>
        <v>90171.09245711258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726681.5288298903</v>
      </c>
      <c r="E125" s="815">
        <f t="shared" si="41"/>
        <v>109211.19147509469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835892.72030498495</v>
      </c>
      <c r="L125" s="890"/>
      <c r="M125" s="905"/>
      <c r="N125" s="815">
        <f t="shared" si="52"/>
        <v>-90171.09245711258</v>
      </c>
      <c r="O125" s="884">
        <f t="shared" si="49"/>
        <v>-90171.09245711258</v>
      </c>
      <c r="P125" s="891">
        <f t="shared" si="50"/>
        <v>745721.62784787233</v>
      </c>
      <c r="Q125" s="892">
        <f t="shared" si="51"/>
        <v>-15457901.56407644</v>
      </c>
      <c r="R125" s="893">
        <f t="shared" si="53"/>
        <v>-14712179.936228568</v>
      </c>
      <c r="S125" s="894">
        <f t="shared" si="44"/>
        <v>14712179.936228568</v>
      </c>
      <c r="T125" s="894">
        <f t="shared" si="45"/>
        <v>85821.049627999993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726681.5288298903</v>
      </c>
      <c r="E126" s="815">
        <f t="shared" si="41"/>
        <v>109211.19147509469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835892.72030498495</v>
      </c>
      <c r="L126" s="890"/>
      <c r="M126" s="905"/>
      <c r="N126" s="815">
        <f t="shared" si="52"/>
        <v>-85821.049627999993</v>
      </c>
      <c r="O126" s="884">
        <f t="shared" si="49"/>
        <v>-85821.049627999993</v>
      </c>
      <c r="P126" s="891">
        <f t="shared" si="50"/>
        <v>750071.67067698494</v>
      </c>
      <c r="Q126" s="892">
        <f t="shared" si="51"/>
        <v>-14712179.936228568</v>
      </c>
      <c r="R126" s="893">
        <f t="shared" si="53"/>
        <v>-13962108.265551582</v>
      </c>
      <c r="S126" s="894">
        <f t="shared" si="44"/>
        <v>13962108.265551582</v>
      </c>
      <c r="T126" s="894">
        <f t="shared" si="45"/>
        <v>81445.631549050901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726681.5288298903</v>
      </c>
      <c r="E127" s="815">
        <f t="shared" si="41"/>
        <v>109211.19147509469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835892.72030498495</v>
      </c>
      <c r="L127" s="890"/>
      <c r="M127" s="905"/>
      <c r="N127" s="815">
        <f t="shared" si="52"/>
        <v>-81445.631549050901</v>
      </c>
      <c r="O127" s="884">
        <f t="shared" si="49"/>
        <v>-81445.631549050901</v>
      </c>
      <c r="P127" s="891">
        <f t="shared" si="50"/>
        <v>754447.08875593403</v>
      </c>
      <c r="Q127" s="892">
        <f t="shared" si="51"/>
        <v>-13962108.265551582</v>
      </c>
      <c r="R127" s="893">
        <f t="shared" si="53"/>
        <v>-13207661.176795648</v>
      </c>
      <c r="S127" s="894">
        <f t="shared" si="44"/>
        <v>13207661.176795648</v>
      </c>
      <c r="T127" s="894">
        <f t="shared" si="45"/>
        <v>77044.690197974633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726681.5288298903</v>
      </c>
      <c r="E128" s="815">
        <f t="shared" si="41"/>
        <v>109211.19147509469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835892.72030498495</v>
      </c>
      <c r="L128" s="890"/>
      <c r="M128" s="905"/>
      <c r="N128" s="815">
        <f t="shared" si="52"/>
        <v>-77044.690197974633</v>
      </c>
      <c r="O128" s="884">
        <f t="shared" si="49"/>
        <v>-77044.690197974633</v>
      </c>
      <c r="P128" s="891">
        <f t="shared" si="50"/>
        <v>758848.03010701027</v>
      </c>
      <c r="Q128" s="892">
        <f t="shared" si="51"/>
        <v>-13207661.176795648</v>
      </c>
      <c r="R128" s="893">
        <f t="shared" si="53"/>
        <v>-12448813.146688638</v>
      </c>
      <c r="S128" s="894">
        <f t="shared" si="44"/>
        <v>12448813.146688638</v>
      </c>
      <c r="T128" s="894">
        <f t="shared" si="45"/>
        <v>72618.076689017063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726681.5288298903</v>
      </c>
      <c r="E129" s="815">
        <f t="shared" si="41"/>
        <v>109211.19147509469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835892.72030498495</v>
      </c>
      <c r="L129" s="890"/>
      <c r="M129" s="905"/>
      <c r="N129" s="815">
        <f t="shared" si="52"/>
        <v>-72618.076689017063</v>
      </c>
      <c r="O129" s="884">
        <f t="shared" si="49"/>
        <v>-72618.076689017063</v>
      </c>
      <c r="P129" s="891">
        <f t="shared" si="50"/>
        <v>763274.64361596783</v>
      </c>
      <c r="Q129" s="892">
        <f t="shared" si="51"/>
        <v>-12448813.146688638</v>
      </c>
      <c r="R129" s="893">
        <f t="shared" si="53"/>
        <v>-11685538.50307267</v>
      </c>
      <c r="S129" s="894">
        <f t="shared" si="44"/>
        <v>11685538.50307267</v>
      </c>
      <c r="T129" s="894">
        <f t="shared" si="45"/>
        <v>68165.641267923915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726681.5288298903</v>
      </c>
      <c r="E130" s="815">
        <f t="shared" si="41"/>
        <v>109211.19147509469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835892.72030498495</v>
      </c>
      <c r="L130" s="890"/>
      <c r="M130" s="905"/>
      <c r="N130" s="815">
        <f t="shared" si="52"/>
        <v>-68165.641267923915</v>
      </c>
      <c r="O130" s="884">
        <f t="shared" si="49"/>
        <v>-68165.641267923915</v>
      </c>
      <c r="P130" s="891">
        <f t="shared" si="50"/>
        <v>767727.07903706108</v>
      </c>
      <c r="Q130" s="892">
        <f t="shared" si="51"/>
        <v>-11685538.50307267</v>
      </c>
      <c r="R130" s="893">
        <f t="shared" si="53"/>
        <v>-10917811.424035609</v>
      </c>
      <c r="S130" s="894">
        <f t="shared" si="44"/>
        <v>10917811.424035609</v>
      </c>
      <c r="T130" s="894">
        <f t="shared" si="45"/>
        <v>63687.233306874397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726681.5288298903</v>
      </c>
      <c r="E131" s="815">
        <f t="shared" si="41"/>
        <v>109211.19147509469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835892.72030498495</v>
      </c>
      <c r="L131" s="890"/>
      <c r="M131" s="905"/>
      <c r="N131" s="815">
        <f t="shared" si="52"/>
        <v>-63687.233306874397</v>
      </c>
      <c r="O131" s="884">
        <f t="shared" si="49"/>
        <v>-63687.233306874397</v>
      </c>
      <c r="P131" s="891">
        <f t="shared" si="50"/>
        <v>772205.48699811054</v>
      </c>
      <c r="Q131" s="892">
        <f t="shared" si="51"/>
        <v>-10917811.424035609</v>
      </c>
      <c r="R131" s="893">
        <f t="shared" si="53"/>
        <v>-10145605.937037498</v>
      </c>
      <c r="S131" s="894">
        <f t="shared" ref="S131:S167" si="55">IF($R131&lt;0,$R131*-1,0)</f>
        <v>10145605.937037498</v>
      </c>
      <c r="T131" s="894">
        <f t="shared" si="45"/>
        <v>59182.701299385408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726681.5288298903</v>
      </c>
      <c r="E132" s="815">
        <f t="shared" si="41"/>
        <v>109211.19147509469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835892.72030498495</v>
      </c>
      <c r="L132" s="890"/>
      <c r="M132" s="905"/>
      <c r="N132" s="815">
        <f>T131*-1</f>
        <v>-59182.701299385408</v>
      </c>
      <c r="O132" s="884">
        <f t="shared" si="49"/>
        <v>-59182.701299385408</v>
      </c>
      <c r="P132" s="891">
        <f t="shared" si="50"/>
        <v>776710.01900559955</v>
      </c>
      <c r="Q132" s="892">
        <f t="shared" si="51"/>
        <v>-10145605.937037498</v>
      </c>
      <c r="R132" s="893">
        <f t="shared" si="53"/>
        <v>-9368895.9180318974</v>
      </c>
      <c r="S132" s="894">
        <f t="shared" si="55"/>
        <v>9368895.9180318974</v>
      </c>
      <c r="T132" s="894">
        <f t="shared" si="45"/>
        <v>54651.892855186074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726681.5288298903</v>
      </c>
      <c r="E133" s="815">
        <f t="shared" si="41"/>
        <v>109211.19147509469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835892.72030498495</v>
      </c>
      <c r="L133" s="890"/>
      <c r="M133" s="905"/>
      <c r="N133" s="815">
        <f t="shared" si="52"/>
        <v>-54651.892855186074</v>
      </c>
      <c r="O133" s="884">
        <f t="shared" si="49"/>
        <v>-54651.892855186074</v>
      </c>
      <c r="P133" s="891">
        <f>K133+O133</f>
        <v>781240.82744979882</v>
      </c>
      <c r="Q133" s="892">
        <f t="shared" si="51"/>
        <v>-9368895.9180318974</v>
      </c>
      <c r="R133" s="893">
        <f t="shared" si="53"/>
        <v>-8587655.0905820988</v>
      </c>
      <c r="S133" s="894">
        <f t="shared" si="55"/>
        <v>8587655.0905820988</v>
      </c>
      <c r="T133" s="894">
        <f t="shared" si="45"/>
        <v>50094.654695062251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726681.5288298903</v>
      </c>
      <c r="E134" s="815">
        <f t="shared" si="41"/>
        <v>109211.19147509469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835892.72030498495</v>
      </c>
      <c r="L134" s="890"/>
      <c r="M134" s="905"/>
      <c r="N134" s="815">
        <f t="shared" si="52"/>
        <v>-50094.654695062251</v>
      </c>
      <c r="O134" s="884">
        <f t="shared" si="49"/>
        <v>-50094.654695062251</v>
      </c>
      <c r="P134" s="891">
        <f>K134+O134</f>
        <v>785798.06560992275</v>
      </c>
      <c r="Q134" s="892">
        <f t="shared" si="51"/>
        <v>-8587655.0905820988</v>
      </c>
      <c r="R134" s="893">
        <f t="shared" si="53"/>
        <v>-7801857.0249721762</v>
      </c>
      <c r="S134" s="894">
        <f t="shared" si="55"/>
        <v>7801857.0249721762</v>
      </c>
      <c r="T134" s="894">
        <f t="shared" si="45"/>
        <v>45510.832645671035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726681.5288298903</v>
      </c>
      <c r="E135" s="815">
        <f t="shared" si="41"/>
        <v>109211.19147509469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835892.72030498495</v>
      </c>
      <c r="L135" s="890"/>
      <c r="M135" s="905"/>
      <c r="N135" s="815">
        <f t="shared" si="52"/>
        <v>-45510.832645671035</v>
      </c>
      <c r="O135" s="884">
        <f t="shared" si="49"/>
        <v>-45510.832645671035</v>
      </c>
      <c r="P135" s="891">
        <f>K135+O135</f>
        <v>790381.88765931386</v>
      </c>
      <c r="Q135" s="892">
        <f t="shared" si="51"/>
        <v>-7801857.0249721762</v>
      </c>
      <c r="R135" s="893">
        <f t="shared" si="53"/>
        <v>-7011475.1373128621</v>
      </c>
      <c r="S135" s="894">
        <f t="shared" si="55"/>
        <v>7011475.1373128621</v>
      </c>
      <c r="T135" s="894">
        <f t="shared" si="45"/>
        <v>40900.271634325029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726681.5288298903</v>
      </c>
      <c r="E136" s="815">
        <f t="shared" si="41"/>
        <v>109211.19147509469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835892.72030498495</v>
      </c>
      <c r="L136" s="890"/>
      <c r="M136" s="905"/>
      <c r="N136" s="815">
        <f t="shared" si="52"/>
        <v>-40900.271634325029</v>
      </c>
      <c r="O136" s="884">
        <f t="shared" si="49"/>
        <v>-40900.271634325029</v>
      </c>
      <c r="P136" s="891">
        <f>K136+O136</f>
        <v>794992.44867065991</v>
      </c>
      <c r="Q136" s="892">
        <f t="shared" si="51"/>
        <v>-7011475.1373128621</v>
      </c>
      <c r="R136" s="893">
        <f t="shared" si="53"/>
        <v>-6216482.6886422019</v>
      </c>
      <c r="S136" s="894">
        <f t="shared" si="55"/>
        <v>6216482.6886422019</v>
      </c>
      <c r="T136" s="894">
        <f t="shared" si="45"/>
        <v>36262.815683746179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726681.5288298903</v>
      </c>
      <c r="E137" s="815">
        <f t="shared" si="41"/>
        <v>109211.19147509469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835892.72030498495</v>
      </c>
      <c r="L137" s="890"/>
      <c r="M137" s="905"/>
      <c r="N137" s="815">
        <f t="shared" si="52"/>
        <v>-36262.815683746179</v>
      </c>
      <c r="O137" s="884">
        <f t="shared" si="49"/>
        <v>-36262.815683746179</v>
      </c>
      <c r="P137" s="891">
        <f t="shared" si="50"/>
        <v>799629.90462123882</v>
      </c>
      <c r="Q137" s="892">
        <f t="shared" si="51"/>
        <v>-6216482.6886422019</v>
      </c>
      <c r="R137" s="893">
        <f t="shared" si="53"/>
        <v>-5416852.7840209631</v>
      </c>
      <c r="S137" s="894">
        <f t="shared" si="55"/>
        <v>5416852.7840209631</v>
      </c>
      <c r="T137" s="894">
        <f t="shared" si="45"/>
        <v>31598.307906788952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726681.5288298903</v>
      </c>
      <c r="E138" s="815">
        <f t="shared" si="41"/>
        <v>109211.19147509469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835892.72030498495</v>
      </c>
      <c r="L138" s="890"/>
      <c r="M138" s="905"/>
      <c r="N138" s="815">
        <f>T137*-1</f>
        <v>-31598.307906788952</v>
      </c>
      <c r="O138" s="884">
        <f t="shared" si="49"/>
        <v>-31598.307906788952</v>
      </c>
      <c r="P138" s="891">
        <f>K138+O138</f>
        <v>804294.41239819594</v>
      </c>
      <c r="Q138" s="892">
        <f t="shared" si="51"/>
        <v>-5416852.7840209631</v>
      </c>
      <c r="R138" s="893">
        <f t="shared" si="53"/>
        <v>-4612558.3716227673</v>
      </c>
      <c r="S138" s="894">
        <f t="shared" si="55"/>
        <v>4612558.3716227673</v>
      </c>
      <c r="T138" s="894">
        <f t="shared" si="45"/>
        <v>26906.590501132814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4639464.9621239211</v>
      </c>
      <c r="E139" s="815">
        <f t="shared" si="41"/>
        <v>0</v>
      </c>
      <c r="F139" s="905"/>
      <c r="G139" s="883">
        <f t="shared" si="47"/>
        <v>9090909</v>
      </c>
      <c r="H139" s="905"/>
      <c r="I139" s="883">
        <f t="shared" si="48"/>
        <v>0</v>
      </c>
      <c r="J139" s="905"/>
      <c r="K139" s="884">
        <f t="shared" si="42"/>
        <v>13730373.962123921</v>
      </c>
      <c r="L139" s="890"/>
      <c r="M139" s="905"/>
      <c r="N139" s="815">
        <f t="shared" si="52"/>
        <v>-26906.590501132814</v>
      </c>
      <c r="O139" s="884">
        <f t="shared" si="49"/>
        <v>-26906.590501132814</v>
      </c>
      <c r="P139" s="891">
        <f>K139+O139</f>
        <v>13703467.371622788</v>
      </c>
      <c r="Q139" s="892">
        <f t="shared" si="51"/>
        <v>-4612558.3716227673</v>
      </c>
      <c r="R139" s="893">
        <f t="shared" si="53"/>
        <v>9090909.0000000205</v>
      </c>
      <c r="S139" s="894">
        <f t="shared" si="55"/>
        <v>0</v>
      </c>
      <c r="T139" s="894">
        <f t="shared" si="45"/>
        <v>0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0</v>
      </c>
      <c r="E140" s="815">
        <f t="shared" ref="E140:E167" si="56">AL63</f>
        <v>0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0</v>
      </c>
      <c r="L140" s="890"/>
      <c r="M140" s="905"/>
      <c r="N140" s="815">
        <f t="shared" si="52"/>
        <v>0</v>
      </c>
      <c r="O140" s="884">
        <f t="shared" si="49"/>
        <v>0</v>
      </c>
      <c r="P140" s="891">
        <f t="shared" si="50"/>
        <v>0</v>
      </c>
      <c r="Q140" s="892">
        <f>R139</f>
        <v>9090909.0000000205</v>
      </c>
      <c r="R140" s="893">
        <f t="shared" si="53"/>
        <v>9090909.0000000205</v>
      </c>
      <c r="S140" s="894">
        <f t="shared" si="55"/>
        <v>0</v>
      </c>
      <c r="T140" s="894">
        <f t="shared" ref="T140:T167" si="57">$S140*$G$14*1/12</f>
        <v>0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0</v>
      </c>
      <c r="E141" s="815">
        <f t="shared" si="56"/>
        <v>0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0</v>
      </c>
      <c r="L141" s="890"/>
      <c r="M141" s="905"/>
      <c r="N141" s="815">
        <f t="shared" si="52"/>
        <v>0</v>
      </c>
      <c r="O141" s="884">
        <f t="shared" si="49"/>
        <v>0</v>
      </c>
      <c r="P141" s="891">
        <f t="shared" si="50"/>
        <v>0</v>
      </c>
      <c r="Q141" s="892">
        <f t="shared" si="51"/>
        <v>9090909.0000000205</v>
      </c>
      <c r="R141" s="893">
        <f t="shared" si="53"/>
        <v>9090909.0000000205</v>
      </c>
      <c r="S141" s="894">
        <f t="shared" si="55"/>
        <v>0</v>
      </c>
      <c r="T141" s="894">
        <f t="shared" si="57"/>
        <v>0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0</v>
      </c>
      <c r="E142" s="815">
        <f t="shared" si="56"/>
        <v>0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0</v>
      </c>
      <c r="L142" s="890"/>
      <c r="M142" s="905"/>
      <c r="N142" s="815">
        <f t="shared" si="52"/>
        <v>0</v>
      </c>
      <c r="O142" s="884">
        <f t="shared" si="49"/>
        <v>0</v>
      </c>
      <c r="P142" s="891">
        <f t="shared" si="50"/>
        <v>0</v>
      </c>
      <c r="Q142" s="892">
        <f t="shared" si="51"/>
        <v>9090909.0000000205</v>
      </c>
      <c r="R142" s="893">
        <f t="shared" si="53"/>
        <v>9090909.0000000205</v>
      </c>
      <c r="S142" s="894">
        <f t="shared" si="55"/>
        <v>0</v>
      </c>
      <c r="T142" s="894">
        <f t="shared" si="57"/>
        <v>0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0</v>
      </c>
      <c r="E143" s="815">
        <f t="shared" si="56"/>
        <v>0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0</v>
      </c>
      <c r="L143" s="890"/>
      <c r="M143" s="905"/>
      <c r="N143" s="815">
        <f t="shared" si="52"/>
        <v>0</v>
      </c>
      <c r="O143" s="884">
        <f t="shared" si="49"/>
        <v>0</v>
      </c>
      <c r="P143" s="891">
        <f t="shared" si="50"/>
        <v>0</v>
      </c>
      <c r="Q143" s="892">
        <f t="shared" si="51"/>
        <v>9090909.0000000205</v>
      </c>
      <c r="R143" s="893">
        <f>P143+Q143</f>
        <v>9090909.0000000205</v>
      </c>
      <c r="S143" s="894">
        <f t="shared" si="55"/>
        <v>0</v>
      </c>
      <c r="T143" s="894">
        <f t="shared" si="57"/>
        <v>0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0</v>
      </c>
      <c r="E144" s="815">
        <f t="shared" si="56"/>
        <v>0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0</v>
      </c>
      <c r="L144" s="890"/>
      <c r="M144" s="905"/>
      <c r="N144" s="815">
        <f t="shared" si="52"/>
        <v>0</v>
      </c>
      <c r="O144" s="884">
        <f t="shared" si="49"/>
        <v>0</v>
      </c>
      <c r="P144" s="891">
        <f t="shared" si="50"/>
        <v>0</v>
      </c>
      <c r="Q144" s="892">
        <f>R143</f>
        <v>9090909.0000000205</v>
      </c>
      <c r="R144" s="893">
        <f t="shared" si="53"/>
        <v>9090909.0000000205</v>
      </c>
      <c r="S144" s="894">
        <f t="shared" si="55"/>
        <v>0</v>
      </c>
      <c r="T144" s="894">
        <f t="shared" si="57"/>
        <v>0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0</v>
      </c>
      <c r="E145" s="815">
        <f t="shared" si="56"/>
        <v>0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0</v>
      </c>
      <c r="L145" s="890"/>
      <c r="M145" s="905"/>
      <c r="N145" s="815">
        <f t="shared" si="52"/>
        <v>0</v>
      </c>
      <c r="O145" s="884">
        <f t="shared" si="49"/>
        <v>0</v>
      </c>
      <c r="P145" s="891">
        <f t="shared" si="50"/>
        <v>0</v>
      </c>
      <c r="Q145" s="892">
        <f t="shared" si="51"/>
        <v>9090909.0000000205</v>
      </c>
      <c r="R145" s="893">
        <f t="shared" si="53"/>
        <v>9090909.0000000205</v>
      </c>
      <c r="S145" s="894">
        <f t="shared" si="55"/>
        <v>0</v>
      </c>
      <c r="T145" s="894">
        <f t="shared" si="57"/>
        <v>0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0</v>
      </c>
      <c r="E146" s="815">
        <f t="shared" si="56"/>
        <v>0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0</v>
      </c>
      <c r="L146" s="890"/>
      <c r="M146" s="905"/>
      <c r="N146" s="815">
        <f t="shared" si="52"/>
        <v>0</v>
      </c>
      <c r="O146" s="884">
        <f t="shared" si="49"/>
        <v>0</v>
      </c>
      <c r="P146" s="891">
        <f>K146+O146</f>
        <v>0</v>
      </c>
      <c r="Q146" s="892">
        <f>R145</f>
        <v>9090909.0000000205</v>
      </c>
      <c r="R146" s="893">
        <f>P146+Q146</f>
        <v>9090909.0000000205</v>
      </c>
      <c r="S146" s="894">
        <f t="shared" si="55"/>
        <v>0</v>
      </c>
      <c r="T146" s="894">
        <f t="shared" si="57"/>
        <v>0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0</v>
      </c>
      <c r="E147" s="815">
        <f t="shared" si="56"/>
        <v>0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0</v>
      </c>
      <c r="L147" s="890"/>
      <c r="M147" s="905"/>
      <c r="N147" s="815">
        <f t="shared" si="52"/>
        <v>0</v>
      </c>
      <c r="O147" s="884">
        <f t="shared" si="49"/>
        <v>0</v>
      </c>
      <c r="P147" s="891">
        <f t="shared" si="50"/>
        <v>0</v>
      </c>
      <c r="Q147" s="892">
        <f t="shared" si="51"/>
        <v>9090909.0000000205</v>
      </c>
      <c r="R147" s="893">
        <f t="shared" si="53"/>
        <v>9090909.0000000205</v>
      </c>
      <c r="S147" s="894">
        <f t="shared" si="55"/>
        <v>0</v>
      </c>
      <c r="T147" s="894">
        <f t="shared" si="57"/>
        <v>0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0</v>
      </c>
      <c r="E148" s="815">
        <f t="shared" si="56"/>
        <v>0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0</v>
      </c>
      <c r="L148" s="890"/>
      <c r="M148" s="905"/>
      <c r="N148" s="815">
        <f t="shared" si="52"/>
        <v>0</v>
      </c>
      <c r="O148" s="884">
        <f t="shared" si="49"/>
        <v>0</v>
      </c>
      <c r="P148" s="891">
        <f t="shared" si="50"/>
        <v>0</v>
      </c>
      <c r="Q148" s="892">
        <f t="shared" si="51"/>
        <v>9090909.0000000205</v>
      </c>
      <c r="R148" s="893">
        <f t="shared" si="53"/>
        <v>9090909.0000000205</v>
      </c>
      <c r="S148" s="894">
        <f t="shared" si="55"/>
        <v>0</v>
      </c>
      <c r="T148" s="894">
        <f t="shared" si="57"/>
        <v>0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0</v>
      </c>
      <c r="E149" s="815">
        <f t="shared" si="56"/>
        <v>0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0</v>
      </c>
      <c r="L149" s="890"/>
      <c r="M149" s="905"/>
      <c r="N149" s="815">
        <f t="shared" si="52"/>
        <v>0</v>
      </c>
      <c r="O149" s="884">
        <f t="shared" si="49"/>
        <v>0</v>
      </c>
      <c r="P149" s="891">
        <f t="shared" si="50"/>
        <v>0</v>
      </c>
      <c r="Q149" s="892">
        <f>R148</f>
        <v>9090909.0000000205</v>
      </c>
      <c r="R149" s="893">
        <f t="shared" si="53"/>
        <v>9090909.0000000205</v>
      </c>
      <c r="S149" s="894">
        <f t="shared" si="55"/>
        <v>0</v>
      </c>
      <c r="T149" s="894">
        <f t="shared" si="57"/>
        <v>0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0</v>
      </c>
      <c r="E150" s="815">
        <f t="shared" si="56"/>
        <v>0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0</v>
      </c>
      <c r="L150" s="890"/>
      <c r="M150" s="905"/>
      <c r="N150" s="815">
        <f t="shared" si="52"/>
        <v>0</v>
      </c>
      <c r="O150" s="884">
        <f t="shared" si="49"/>
        <v>0</v>
      </c>
      <c r="P150" s="891">
        <f t="shared" si="50"/>
        <v>0</v>
      </c>
      <c r="Q150" s="892">
        <f t="shared" si="51"/>
        <v>9090909.0000000205</v>
      </c>
      <c r="R150" s="893">
        <f t="shared" si="53"/>
        <v>9090909.0000000205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0</v>
      </c>
      <c r="H151" s="905"/>
      <c r="I151" s="883">
        <f t="shared" si="48"/>
        <v>0</v>
      </c>
      <c r="J151" s="905"/>
      <c r="K151" s="884">
        <f t="shared" si="42"/>
        <v>0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0</v>
      </c>
      <c r="Q151" s="892">
        <f t="shared" si="51"/>
        <v>9090909.0000000205</v>
      </c>
      <c r="R151" s="893">
        <f t="shared" si="53"/>
        <v>9090909.0000000205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9090909.0000000205</v>
      </c>
      <c r="R152" s="893">
        <f t="shared" si="53"/>
        <v>9090909.0000000205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9090909.0000000205</v>
      </c>
      <c r="R153" s="893">
        <f t="shared" si="53"/>
        <v>9090909.0000000205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9090909.0000000205</v>
      </c>
      <c r="R154" s="893">
        <f t="shared" si="53"/>
        <v>9090909.0000000205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9090909.0000000205</v>
      </c>
      <c r="R155" s="893">
        <f t="shared" si="53"/>
        <v>9090909.0000000205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9090909.0000000205</v>
      </c>
      <c r="R156" s="893">
        <f t="shared" si="53"/>
        <v>9090909.0000000205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9090909.0000000205</v>
      </c>
      <c r="R157" s="893">
        <f t="shared" si="53"/>
        <v>9090909.0000000205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9090909.0000000205</v>
      </c>
      <c r="R158" s="893">
        <f t="shared" si="53"/>
        <v>9090909.0000000205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9090909.0000000205</v>
      </c>
      <c r="R159" s="893">
        <f t="shared" si="53"/>
        <v>9090909.0000000205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9090909.0000000205</v>
      </c>
      <c r="R160" s="893">
        <f t="shared" si="53"/>
        <v>9090909.0000000205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9090909.0000000205</v>
      </c>
      <c r="R161" s="893">
        <f t="shared" si="53"/>
        <v>9090909.0000000205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9090909.0000000205</v>
      </c>
      <c r="R162" s="893">
        <f t="shared" si="53"/>
        <v>9090909.0000000205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9090909.0000000205</v>
      </c>
      <c r="R163" s="893">
        <f>P163+Q163</f>
        <v>9090909.0000000205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9090909.0000000205</v>
      </c>
      <c r="R164" s="893">
        <f t="shared" si="53"/>
        <v>9090909.0000000205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9090909.0000000205</v>
      </c>
      <c r="R165" s="893">
        <f>P165+Q165</f>
        <v>9090909.0000000205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9090909.0000000205</v>
      </c>
      <c r="R166" s="893">
        <f>P166+Q166</f>
        <v>9090909.0000000205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9090909.0000000205</v>
      </c>
      <c r="R167" s="900">
        <f>P167+Q167</f>
        <v>9090909.0000000205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33000000</v>
      </c>
      <c r="E168" s="902">
        <f t="shared" ref="E168:N168" si="66">SUM(E99:E167)</f>
        <v>3931602.8931034105</v>
      </c>
      <c r="F168" s="903"/>
      <c r="G168" s="902">
        <f t="shared" si="66"/>
        <v>9090909</v>
      </c>
      <c r="H168" s="903"/>
      <c r="I168" s="902">
        <f t="shared" si="66"/>
        <v>0</v>
      </c>
      <c r="J168" s="903"/>
      <c r="K168" s="910">
        <f t="shared" si="66"/>
        <v>46022511.893103369</v>
      </c>
      <c r="L168" s="848">
        <f t="shared" si="66"/>
        <v>-33000000</v>
      </c>
      <c r="M168" s="907"/>
      <c r="N168" s="849">
        <f t="shared" si="66"/>
        <v>-3931602.8931033583</v>
      </c>
      <c r="O168" s="850">
        <f>SUM(O99:O167)</f>
        <v>-36931602.893103354</v>
      </c>
      <c r="P168" s="848">
        <f>SUM(P99:P167)</f>
        <v>9090909.0000000205</v>
      </c>
      <c r="Q168" s="849"/>
      <c r="R168" s="850"/>
      <c r="S168" s="851">
        <f>SUM(S99:S167)</f>
        <v>673989067.38914704</v>
      </c>
      <c r="T168" s="851">
        <f>SUM(T99:T167)</f>
        <v>3931602.8931033583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114" zoomScale="85" zoomScaleNormal="85" workbookViewId="0">
      <selection activeCell="A150" sqref="A150:XFD150"/>
    </sheetView>
  </sheetViews>
  <sheetFormatPr defaultColWidth="9.140625" defaultRowHeight="12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374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653" t="s">
        <v>61</v>
      </c>
      <c r="C4" s="1653"/>
      <c r="D4" s="1653"/>
      <c r="E4" s="1653"/>
      <c r="F4" s="1653"/>
      <c r="G4" s="1653"/>
      <c r="H4" s="1653" t="s">
        <v>62</v>
      </c>
      <c r="I4" s="1653"/>
      <c r="J4" s="1653"/>
      <c r="K4" s="1653"/>
      <c r="L4" s="1653"/>
      <c r="M4" s="1653"/>
      <c r="N4" s="1653"/>
      <c r="O4" s="1653"/>
      <c r="P4" s="1653"/>
      <c r="Q4" s="1653"/>
      <c r="R4" s="1653"/>
      <c r="S4" s="1653"/>
      <c r="T4" s="1653"/>
      <c r="U4" s="1653"/>
      <c r="V4" s="1653"/>
      <c r="W4" s="1653"/>
      <c r="X4" s="1653"/>
      <c r="Y4" s="1653"/>
      <c r="Z4" s="1653"/>
      <c r="AA4" s="1653"/>
      <c r="AB4" s="1653"/>
      <c r="AC4" s="1653"/>
      <c r="AD4" s="1653"/>
      <c r="AE4" s="1653"/>
      <c r="AF4" s="1653"/>
      <c r="AG4" s="1653"/>
      <c r="AH4" s="1653"/>
      <c r="AI4" s="1653"/>
      <c r="AJ4" s="1653"/>
      <c r="AK4" s="1653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77" t="s">
        <v>63</v>
      </c>
      <c r="C5" s="1577"/>
      <c r="D5" s="1577"/>
      <c r="E5" s="1577"/>
      <c r="F5" s="1577"/>
      <c r="G5" s="1577"/>
      <c r="H5" s="1652" t="s">
        <v>65</v>
      </c>
      <c r="I5" s="1652"/>
      <c r="J5" s="1652"/>
      <c r="K5" s="1652" t="s">
        <v>66</v>
      </c>
      <c r="L5" s="1652"/>
      <c r="M5" s="1652"/>
      <c r="N5" s="1652" t="s">
        <v>67</v>
      </c>
      <c r="O5" s="1652"/>
      <c r="P5" s="1652"/>
      <c r="Q5" s="1652" t="s">
        <v>68</v>
      </c>
      <c r="R5" s="1652"/>
      <c r="S5" s="1652"/>
      <c r="T5" s="1652"/>
      <c r="U5" s="1652"/>
      <c r="V5" s="1652" t="s">
        <v>69</v>
      </c>
      <c r="W5" s="1652"/>
      <c r="X5" s="1652"/>
      <c r="Y5" s="1652"/>
      <c r="Z5" s="1652"/>
      <c r="AA5" s="1652"/>
      <c r="AB5" s="1652" t="s">
        <v>70</v>
      </c>
      <c r="AC5" s="1652"/>
      <c r="AD5" s="1652"/>
      <c r="AE5" s="1652"/>
      <c r="AF5" s="1652"/>
      <c r="AG5" s="1652"/>
      <c r="AH5" s="1652"/>
      <c r="AI5" s="1652"/>
      <c r="AJ5" s="1652"/>
      <c r="AK5" s="1652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712" t="s">
        <v>71</v>
      </c>
      <c r="C6" s="1712"/>
      <c r="D6" s="1712"/>
      <c r="E6" s="1712"/>
      <c r="F6" s="1712"/>
      <c r="G6" s="1712"/>
      <c r="H6" s="1562" t="s">
        <v>72</v>
      </c>
      <c r="I6" s="1562"/>
      <c r="J6" s="866">
        <f>'①Tidak termasuk VAT TAX'!J6</f>
        <v>7266815.2882989021</v>
      </c>
      <c r="K6" s="1577" t="s">
        <v>73</v>
      </c>
      <c r="L6" s="1577"/>
      <c r="M6" s="867">
        <f>'①Tidak termasuk VAT TAX'!M6</f>
        <v>330000000</v>
      </c>
      <c r="N6" s="1562" t="s">
        <v>74</v>
      </c>
      <c r="O6" s="1562"/>
      <c r="P6" s="868">
        <f>'①Tidak termasuk VAT TAX'!P6</f>
        <v>0</v>
      </c>
      <c r="Q6" s="1576" t="s">
        <v>75</v>
      </c>
      <c r="R6" s="1576"/>
      <c r="S6" s="1576"/>
      <c r="T6" s="875" t="s">
        <v>76</v>
      </c>
      <c r="U6" s="875" t="s">
        <v>77</v>
      </c>
      <c r="V6" s="1584" t="s">
        <v>75</v>
      </c>
      <c r="W6" s="1584"/>
      <c r="X6" s="1584"/>
      <c r="Y6" s="875" t="s">
        <v>76</v>
      </c>
      <c r="Z6" s="1584" t="s">
        <v>77</v>
      </c>
      <c r="AA6" s="1584"/>
      <c r="AB6" s="1584" t="s">
        <v>78</v>
      </c>
      <c r="AC6" s="1584"/>
      <c r="AD6" s="1584"/>
      <c r="AE6" s="875" t="s">
        <v>79</v>
      </c>
      <c r="AF6" s="875" t="s">
        <v>80</v>
      </c>
      <c r="AG6" s="1584" t="s">
        <v>81</v>
      </c>
      <c r="AH6" s="1584"/>
      <c r="AI6" s="1584"/>
      <c r="AJ6" s="1584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709" t="s">
        <v>82</v>
      </c>
      <c r="C7" s="1710"/>
      <c r="D7" s="1711"/>
      <c r="E7" s="863">
        <v>1</v>
      </c>
      <c r="F7" s="864">
        <v>1</v>
      </c>
      <c r="G7" s="865">
        <v>2018</v>
      </c>
      <c r="H7" s="1562" t="s">
        <v>83</v>
      </c>
      <c r="I7" s="1562"/>
      <c r="J7" s="866">
        <f>'①Tidak termasuk VAT TAX'!J7</f>
        <v>36</v>
      </c>
      <c r="K7" s="1577" t="s">
        <v>84</v>
      </c>
      <c r="L7" s="1577"/>
      <c r="M7" s="867">
        <f>'①Tidak termasuk VAT TAX'!M7</f>
        <v>-4000000</v>
      </c>
      <c r="N7" s="1562" t="s">
        <v>85</v>
      </c>
      <c r="O7" s="1562"/>
      <c r="P7" s="868">
        <f>'①Tidak termasuk VAT TAX'!P7</f>
        <v>0</v>
      </c>
      <c r="Q7" s="1573" t="s">
        <v>86</v>
      </c>
      <c r="R7" s="1573"/>
      <c r="S7" s="1573"/>
      <c r="T7" s="862">
        <f>'①Tidak termasuk VAT TAX'!T7</f>
        <v>2500</v>
      </c>
      <c r="U7" s="862">
        <f>'①Tidak termasuk VAT TAX'!U7</f>
        <v>90000</v>
      </c>
      <c r="V7" s="1584" t="s">
        <v>87</v>
      </c>
      <c r="W7" s="1584"/>
      <c r="X7" s="1584"/>
      <c r="Y7" s="862"/>
      <c r="Z7" s="862">
        <f>'①Tidak termasuk VAT TAX'!AF7</f>
        <v>0</v>
      </c>
      <c r="AA7" s="862"/>
      <c r="AB7" s="1562" t="s">
        <v>88</v>
      </c>
      <c r="AC7" s="1562"/>
      <c r="AD7" s="1562"/>
      <c r="AE7" s="869">
        <v>0</v>
      </c>
      <c r="AF7" s="862">
        <f>AE7*M8</f>
        <v>0</v>
      </c>
      <c r="AG7" s="1562" t="s">
        <v>89</v>
      </c>
      <c r="AH7" s="1562"/>
      <c r="AI7" s="1562"/>
      <c r="AJ7" s="1562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709" t="s">
        <v>90</v>
      </c>
      <c r="C8" s="1710"/>
      <c r="D8" s="1711"/>
      <c r="E8" s="863">
        <v>1</v>
      </c>
      <c r="F8" s="864">
        <v>1</v>
      </c>
      <c r="G8" s="870">
        <f>G7</f>
        <v>2018</v>
      </c>
      <c r="H8" s="1577" t="s">
        <v>92</v>
      </c>
      <c r="I8" s="1577"/>
      <c r="J8" s="866" t="str">
        <f>'①Tidak termasuk VAT TAX'!J8</f>
        <v>City</v>
      </c>
      <c r="K8" s="1577" t="s">
        <v>94</v>
      </c>
      <c r="L8" s="1577"/>
      <c r="M8" s="867">
        <f>'①Tidak termasuk VAT TAX'!M8</f>
        <v>326000000</v>
      </c>
      <c r="N8" s="1562" t="s">
        <v>95</v>
      </c>
      <c r="O8" s="1562"/>
      <c r="P8" s="868">
        <f>'①Tidak termasuk VAT TAX'!P8</f>
        <v>0</v>
      </c>
      <c r="Q8" s="1573" t="s">
        <v>96</v>
      </c>
      <c r="R8" s="1573"/>
      <c r="S8" s="1573"/>
      <c r="T8" s="862">
        <f>'①Tidak termasuk VAT TAX'!T8</f>
        <v>0</v>
      </c>
      <c r="U8" s="862">
        <f>'①Tidak termasuk VAT TAX'!U8</f>
        <v>0</v>
      </c>
      <c r="V8" s="1584" t="s">
        <v>97</v>
      </c>
      <c r="W8" s="1584"/>
      <c r="X8" s="1584"/>
      <c r="Y8" s="862"/>
      <c r="Z8" s="862"/>
      <c r="AA8" s="862"/>
      <c r="AB8" s="1562" t="s">
        <v>98</v>
      </c>
      <c r="AC8" s="1562"/>
      <c r="AD8" s="1562"/>
      <c r="AE8" s="869">
        <v>0</v>
      </c>
      <c r="AF8" s="862">
        <f>AE8*P6</f>
        <v>0</v>
      </c>
      <c r="AG8" s="1562" t="s">
        <v>99</v>
      </c>
      <c r="AH8" s="1562"/>
      <c r="AI8" s="1562"/>
      <c r="AJ8" s="1562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713"/>
      <c r="C9" s="1714"/>
      <c r="D9" s="1715"/>
      <c r="E9" s="1713"/>
      <c r="F9" s="1714"/>
      <c r="G9" s="1715"/>
      <c r="H9" s="1577" t="s">
        <v>100</v>
      </c>
      <c r="I9" s="1577"/>
      <c r="J9" s="866" t="str">
        <f>'①Tidak termasuk VAT TAX'!J9</f>
        <v>Jabotabek</v>
      </c>
      <c r="K9" s="1577" t="s">
        <v>102</v>
      </c>
      <c r="L9" s="1577"/>
      <c r="M9" s="867">
        <f>'①Tidak termasuk VAT TAX'!M9</f>
        <v>33000000</v>
      </c>
      <c r="N9" s="1562"/>
      <c r="O9" s="1562"/>
      <c r="P9" s="868">
        <f>'①Tidak termasuk VAT TAX'!P9</f>
        <v>0</v>
      </c>
      <c r="Q9" s="1574" t="s">
        <v>103</v>
      </c>
      <c r="R9" s="1574"/>
      <c r="S9" s="1574"/>
      <c r="T9" s="862">
        <f>'①Tidak termasuk VAT TAX'!T9</f>
        <v>0</v>
      </c>
      <c r="U9" s="862">
        <f>'①Tidak termasuk VAT TAX'!U9</f>
        <v>0</v>
      </c>
      <c r="V9" s="1584" t="s">
        <v>104</v>
      </c>
      <c r="W9" s="1584"/>
      <c r="X9" s="1584"/>
      <c r="Y9" s="862"/>
      <c r="Z9" s="862"/>
      <c r="AA9" s="862"/>
      <c r="AB9" s="1562" t="s">
        <v>105</v>
      </c>
      <c r="AC9" s="1562"/>
      <c r="AD9" s="1562"/>
      <c r="AE9" s="869">
        <v>0</v>
      </c>
      <c r="AF9" s="862">
        <f>AE9*P7</f>
        <v>0</v>
      </c>
      <c r="AG9" s="1562" t="s">
        <v>106</v>
      </c>
      <c r="AH9" s="1562"/>
      <c r="AI9" s="1562"/>
      <c r="AJ9" s="1562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62" t="s">
        <v>107</v>
      </c>
      <c r="C10" s="1562"/>
      <c r="D10" s="1562"/>
      <c r="E10" s="1562"/>
      <c r="F10" s="1562"/>
      <c r="G10" s="857">
        <f>G14+5%</f>
        <v>0.12000000000000001</v>
      </c>
      <c r="H10" s="1577" t="s">
        <v>108</v>
      </c>
      <c r="I10" s="1577"/>
      <c r="J10" s="866">
        <f>'①Tidak termasuk VAT TAX'!J10</f>
        <v>14</v>
      </c>
      <c r="K10" s="1577" t="s">
        <v>109</v>
      </c>
      <c r="L10" s="1577"/>
      <c r="M10" s="867">
        <f>'①Tidak termasuk VAT TAX'!M10</f>
        <v>0</v>
      </c>
      <c r="N10" s="1562" t="s">
        <v>110</v>
      </c>
      <c r="O10" s="1562"/>
      <c r="P10" s="868">
        <f>'①Tidak termasuk VAT TAX'!P10</f>
        <v>0</v>
      </c>
      <c r="Q10" s="1574" t="s">
        <v>111</v>
      </c>
      <c r="R10" s="1574"/>
      <c r="S10" s="1574"/>
      <c r="T10" s="862">
        <f>'①Tidak termasuk VAT TAX'!T10</f>
        <v>0</v>
      </c>
      <c r="U10" s="862">
        <f>'①Tidak termasuk VAT TAX'!U10</f>
        <v>0</v>
      </c>
      <c r="V10" s="1584" t="s">
        <v>112</v>
      </c>
      <c r="W10" s="1584"/>
      <c r="X10" s="876">
        <v>4.8611111111111112E-2</v>
      </c>
      <c r="Y10" s="862"/>
      <c r="Z10" s="862"/>
      <c r="AA10" s="862"/>
      <c r="AB10" s="1562" t="s">
        <v>113</v>
      </c>
      <c r="AC10" s="1562"/>
      <c r="AD10" s="1562"/>
      <c r="AE10" s="862"/>
      <c r="AF10" s="862">
        <v>3</v>
      </c>
      <c r="AG10" s="1562" t="s">
        <v>114</v>
      </c>
      <c r="AH10" s="1562"/>
      <c r="AI10" s="1562"/>
      <c r="AJ10" s="1562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62" t="s">
        <v>115</v>
      </c>
      <c r="C11" s="1562"/>
      <c r="D11" s="1562"/>
      <c r="E11" s="1562"/>
      <c r="F11" s="1562"/>
      <c r="G11" s="871"/>
      <c r="H11" s="1577"/>
      <c r="I11" s="1577"/>
      <c r="J11" s="852"/>
      <c r="K11" s="1578" t="s">
        <v>116</v>
      </c>
      <c r="L11" s="1578"/>
      <c r="M11" s="867">
        <f>'①Tidak termasuk VAT TAX'!M11</f>
        <v>22000000</v>
      </c>
      <c r="N11" s="1562" t="s">
        <v>117</v>
      </c>
      <c r="O11" s="1562"/>
      <c r="P11" s="868">
        <f>'①Tidak termasuk VAT TAX'!P11</f>
        <v>0</v>
      </c>
      <c r="Q11" s="1574" t="s">
        <v>118</v>
      </c>
      <c r="R11" s="1574"/>
      <c r="S11" s="1574"/>
      <c r="T11" s="862">
        <f>'①Tidak termasuk VAT TAX'!T11</f>
        <v>0</v>
      </c>
      <c r="U11" s="862">
        <f>'①Tidak termasuk VAT TAX'!U11</f>
        <v>0</v>
      </c>
      <c r="V11" s="1584" t="s">
        <v>119</v>
      </c>
      <c r="W11" s="1584"/>
      <c r="X11" s="1584"/>
      <c r="Y11" s="862"/>
      <c r="Z11" s="1716"/>
      <c r="AA11" s="1716"/>
      <c r="AB11" s="1562" t="s">
        <v>120</v>
      </c>
      <c r="AC11" s="1562"/>
      <c r="AD11" s="1562"/>
      <c r="AE11" s="862"/>
      <c r="AF11" s="862">
        <v>3</v>
      </c>
      <c r="AG11" s="1562" t="s">
        <v>121</v>
      </c>
      <c r="AH11" s="1562"/>
      <c r="AI11" s="1562"/>
      <c r="AJ11" s="1562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62" t="s">
        <v>122</v>
      </c>
      <c r="C12" s="1562"/>
      <c r="D12" s="1562"/>
      <c r="E12" s="1562"/>
      <c r="F12" s="1562"/>
      <c r="G12" s="871"/>
      <c r="H12" s="1580" t="s">
        <v>123</v>
      </c>
      <c r="I12" s="1580"/>
      <c r="J12" s="853"/>
      <c r="K12" s="1577" t="s">
        <v>124</v>
      </c>
      <c r="L12" s="1577"/>
      <c r="M12" s="867">
        <f>'①Tidak termasuk VAT TAX'!M12</f>
        <v>2200000</v>
      </c>
      <c r="N12" s="1562" t="s">
        <v>125</v>
      </c>
      <c r="O12" s="1562"/>
      <c r="P12" s="868">
        <f>'①Tidak termasuk VAT TAX'!P12</f>
        <v>0</v>
      </c>
      <c r="Q12" s="1575"/>
      <c r="R12" s="1575"/>
      <c r="S12" s="1575"/>
      <c r="T12" s="1555"/>
      <c r="U12" s="1555"/>
      <c r="V12" s="1584"/>
      <c r="W12" s="1584"/>
      <c r="X12" s="1584"/>
      <c r="Y12" s="862"/>
      <c r="Z12" s="1716"/>
      <c r="AA12" s="1716"/>
      <c r="AB12" s="1562" t="s">
        <v>126</v>
      </c>
      <c r="AC12" s="1562"/>
      <c r="AD12" s="1562"/>
      <c r="AE12" s="862"/>
      <c r="AF12" s="862">
        <v>3</v>
      </c>
      <c r="AG12" s="1562" t="s">
        <v>127</v>
      </c>
      <c r="AH12" s="1562"/>
      <c r="AI12" s="1562"/>
      <c r="AJ12" s="1562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62" t="s">
        <v>128</v>
      </c>
      <c r="C13" s="1562"/>
      <c r="D13" s="1562"/>
      <c r="E13" s="1562"/>
      <c r="F13" s="1562"/>
      <c r="G13" s="877">
        <f>'①Tidak termasuk VAT TAX'!G13</f>
        <v>0.13500000000000001</v>
      </c>
      <c r="H13" s="1577"/>
      <c r="I13" s="1577"/>
      <c r="J13" s="854"/>
      <c r="K13" s="1579" t="s">
        <v>129</v>
      </c>
      <c r="L13" s="1579"/>
      <c r="M13" s="867">
        <f>'①Tidak termasuk VAT TAX'!M13</f>
        <v>3300000</v>
      </c>
      <c r="N13" s="1562" t="s">
        <v>130</v>
      </c>
      <c r="O13" s="1562"/>
      <c r="P13" s="868">
        <f>'①Tidak termasuk VAT TAX'!P13</f>
        <v>0</v>
      </c>
      <c r="Q13" s="1598" t="s">
        <v>131</v>
      </c>
      <c r="R13" s="1598"/>
      <c r="S13" s="1598"/>
      <c r="T13" s="872"/>
      <c r="U13" s="873"/>
      <c r="V13" s="1584"/>
      <c r="W13" s="1584"/>
      <c r="X13" s="1584"/>
      <c r="Y13" s="862"/>
      <c r="Z13" s="1716"/>
      <c r="AA13" s="1716"/>
      <c r="AB13" s="1562"/>
      <c r="AC13" s="1562"/>
      <c r="AD13" s="1562"/>
      <c r="AE13" s="862"/>
      <c r="AF13" s="862"/>
      <c r="AG13" s="1562"/>
      <c r="AH13" s="1562"/>
      <c r="AI13" s="1562"/>
      <c r="AJ13" s="156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62" t="s">
        <v>132</v>
      </c>
      <c r="C14" s="1562"/>
      <c r="D14" s="1562"/>
      <c r="E14" s="1562"/>
      <c r="F14" s="1562"/>
      <c r="G14" s="877">
        <f>'①Tidak termasuk VAT TAX'!G14</f>
        <v>7.0000000000000007E-2</v>
      </c>
      <c r="H14" s="1577"/>
      <c r="I14" s="1577"/>
      <c r="J14" s="855"/>
      <c r="K14" s="1578" t="s">
        <v>133</v>
      </c>
      <c r="L14" s="1578"/>
      <c r="M14" s="867">
        <f>'①Tidak termasuk VAT TAX'!M14</f>
        <v>99999998.999999985</v>
      </c>
      <c r="N14" s="1562" t="s">
        <v>134</v>
      </c>
      <c r="O14" s="1562"/>
      <c r="P14" s="868">
        <f>'①Tidak termasuk VAT TAX'!P14</f>
        <v>0</v>
      </c>
      <c r="Q14" s="1598"/>
      <c r="R14" s="1598"/>
      <c r="S14" s="1598"/>
      <c r="T14" s="874"/>
      <c r="U14" s="873">
        <v>1</v>
      </c>
      <c r="V14" s="1584"/>
      <c r="W14" s="1584"/>
      <c r="X14" s="1584"/>
      <c r="Y14" s="862"/>
      <c r="Z14" s="1716"/>
      <c r="AA14" s="1716"/>
      <c r="AB14" s="1562"/>
      <c r="AC14" s="1562"/>
      <c r="AD14" s="1562"/>
      <c r="AE14" s="862"/>
      <c r="AF14" s="862"/>
      <c r="AG14" s="1562"/>
      <c r="AH14" s="1562"/>
      <c r="AI14" s="1562"/>
      <c r="AJ14" s="156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62" t="s">
        <v>135</v>
      </c>
      <c r="C15" s="1562"/>
      <c r="D15" s="1562"/>
      <c r="E15" s="1562"/>
      <c r="F15" s="1562"/>
      <c r="G15" s="857">
        <f>G13-G14</f>
        <v>6.5000000000000002E-2</v>
      </c>
      <c r="H15" s="1577"/>
      <c r="I15" s="1577"/>
      <c r="J15" s="855"/>
      <c r="K15" s="1577" t="s">
        <v>136</v>
      </c>
      <c r="L15" s="1577"/>
      <c r="M15" s="867">
        <f>'①Tidak termasuk VAT TAX'!M15</f>
        <v>9090909</v>
      </c>
      <c r="N15" s="1562"/>
      <c r="O15" s="1562"/>
      <c r="P15" s="858"/>
      <c r="Q15" s="1576"/>
      <c r="R15" s="1576"/>
      <c r="S15" s="1576"/>
      <c r="T15" s="1584"/>
      <c r="U15" s="1584"/>
      <c r="V15" s="1584"/>
      <c r="W15" s="1584"/>
      <c r="X15" s="1584"/>
      <c r="Y15" s="862"/>
      <c r="Z15" s="1716"/>
      <c r="AA15" s="1716"/>
      <c r="AB15" s="1562"/>
      <c r="AC15" s="1562"/>
      <c r="AD15" s="1562"/>
      <c r="AE15" s="862"/>
      <c r="AF15" s="862"/>
      <c r="AG15" s="1562"/>
      <c r="AH15" s="1562"/>
      <c r="AI15" s="1562"/>
      <c r="AJ15" s="156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-7376026.4797739964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92" t="s">
        <v>140</v>
      </c>
      <c r="F17" s="1693"/>
      <c r="G17" s="1693"/>
      <c r="H17" s="1693"/>
      <c r="I17" s="1693"/>
      <c r="J17" s="1693"/>
      <c r="K17" s="1693"/>
      <c r="L17" s="1693"/>
      <c r="M17" s="1693"/>
      <c r="N17" s="1693"/>
      <c r="O17" s="1693"/>
      <c r="P17" s="1693"/>
      <c r="Q17" s="1693"/>
      <c r="R17" s="1693"/>
      <c r="S17" s="1693"/>
      <c r="T17" s="1703"/>
      <c r="U17" s="1668" t="s">
        <v>296</v>
      </c>
      <c r="V17" s="1671" t="s">
        <v>142</v>
      </c>
      <c r="W17" s="1672"/>
      <c r="X17" s="1672"/>
      <c r="Y17" s="1672"/>
      <c r="Z17" s="1672"/>
      <c r="AA17" s="1663" t="s">
        <v>288</v>
      </c>
      <c r="AB17" s="1654" t="s">
        <v>297</v>
      </c>
      <c r="AC17" s="1607" t="s">
        <v>298</v>
      </c>
      <c r="AD17" s="1665" t="s">
        <v>290</v>
      </c>
      <c r="AE17" s="859"/>
      <c r="AF17" s="859"/>
      <c r="AG17" s="1689" t="s">
        <v>293</v>
      </c>
      <c r="AH17" s="1721" t="s">
        <v>293</v>
      </c>
      <c r="AI17" s="1692" t="s">
        <v>146</v>
      </c>
      <c r="AJ17" s="1693"/>
      <c r="AK17" s="1693"/>
      <c r="AL17" s="1693"/>
      <c r="AM17" s="1694"/>
      <c r="AN17" s="1692" t="s">
        <v>147</v>
      </c>
      <c r="AO17" s="1693"/>
      <c r="AP17" s="1693"/>
      <c r="AQ17" s="1694"/>
      <c r="AR17" s="1695" t="s">
        <v>148</v>
      </c>
      <c r="AS17" s="1695" t="s">
        <v>149</v>
      </c>
      <c r="AT17" s="1695" t="s">
        <v>150</v>
      </c>
      <c r="AU17" s="1649" t="s">
        <v>151</v>
      </c>
    </row>
    <row r="18" spans="1:91" s="680" customFormat="1" ht="18" customHeight="1">
      <c r="B18" s="684"/>
      <c r="C18" s="685"/>
      <c r="D18" s="686"/>
      <c r="E18" s="1588" t="s">
        <v>279</v>
      </c>
      <c r="F18" s="1592"/>
      <c r="G18" s="1592" t="s">
        <v>154</v>
      </c>
      <c r="H18" s="1592"/>
      <c r="I18" s="1592" t="s">
        <v>280</v>
      </c>
      <c r="J18" s="1592"/>
      <c r="K18" s="1592" t="s">
        <v>277</v>
      </c>
      <c r="L18" s="1592"/>
      <c r="M18" s="1685" t="s">
        <v>157</v>
      </c>
      <c r="N18" s="1685" t="s">
        <v>158</v>
      </c>
      <c r="O18" s="1685" t="s">
        <v>159</v>
      </c>
      <c r="P18" s="1592" t="s">
        <v>160</v>
      </c>
      <c r="Q18" s="1688"/>
      <c r="R18" s="1657" t="s">
        <v>161</v>
      </c>
      <c r="S18" s="1657" t="s">
        <v>162</v>
      </c>
      <c r="T18" s="1660" t="s">
        <v>163</v>
      </c>
      <c r="U18" s="1669"/>
      <c r="V18" s="1558" t="s">
        <v>164</v>
      </c>
      <c r="W18" s="1594"/>
      <c r="X18" s="1594" t="s">
        <v>165</v>
      </c>
      <c r="Y18" s="1594"/>
      <c r="Z18" s="1594"/>
      <c r="AA18" s="1516"/>
      <c r="AB18" s="1655"/>
      <c r="AC18" s="1608"/>
      <c r="AD18" s="1666"/>
      <c r="AE18" s="860"/>
      <c r="AF18" s="860"/>
      <c r="AG18" s="1690"/>
      <c r="AH18" s="1722"/>
      <c r="AI18" s="1673" t="s">
        <v>294</v>
      </c>
      <c r="AJ18" s="1676" t="s">
        <v>167</v>
      </c>
      <c r="AK18" s="1676" t="s">
        <v>168</v>
      </c>
      <c r="AL18" s="1679" t="s">
        <v>169</v>
      </c>
      <c r="AM18" s="1682" t="s">
        <v>170</v>
      </c>
      <c r="AN18" s="1698" t="s">
        <v>171</v>
      </c>
      <c r="AO18" s="1701" t="s">
        <v>172</v>
      </c>
      <c r="AP18" s="1676" t="s">
        <v>173</v>
      </c>
      <c r="AQ18" s="687" t="s">
        <v>174</v>
      </c>
      <c r="AR18" s="1696"/>
      <c r="AS18" s="1696"/>
      <c r="AT18" s="1696"/>
      <c r="AU18" s="1650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705" t="s">
        <v>276</v>
      </c>
      <c r="F19" s="1515" t="s">
        <v>182</v>
      </c>
      <c r="G19" s="1707" t="s">
        <v>181</v>
      </c>
      <c r="H19" s="1515" t="s">
        <v>182</v>
      </c>
      <c r="I19" s="1707" t="s">
        <v>276</v>
      </c>
      <c r="J19" s="1515" t="s">
        <v>182</v>
      </c>
      <c r="K19" s="1707" t="s">
        <v>183</v>
      </c>
      <c r="L19" s="1515" t="s">
        <v>182</v>
      </c>
      <c r="M19" s="1686"/>
      <c r="N19" s="1686"/>
      <c r="O19" s="1686"/>
      <c r="P19" s="1707" t="s">
        <v>183</v>
      </c>
      <c r="Q19" s="1515" t="s">
        <v>182</v>
      </c>
      <c r="R19" s="1658"/>
      <c r="S19" s="1658"/>
      <c r="T19" s="1661"/>
      <c r="U19" s="1669"/>
      <c r="V19" s="1558" t="s">
        <v>184</v>
      </c>
      <c r="W19" s="1594" t="s">
        <v>169</v>
      </c>
      <c r="X19" s="1594" t="s">
        <v>185</v>
      </c>
      <c r="Y19" s="1592" t="s">
        <v>169</v>
      </c>
      <c r="Z19" s="1594" t="s">
        <v>285</v>
      </c>
      <c r="AA19" s="1516"/>
      <c r="AB19" s="1655"/>
      <c r="AC19" s="1608"/>
      <c r="AD19" s="1666"/>
      <c r="AE19" s="860" t="s">
        <v>291</v>
      </c>
      <c r="AF19" s="860" t="s">
        <v>292</v>
      </c>
      <c r="AG19" s="1690"/>
      <c r="AH19" s="1722"/>
      <c r="AI19" s="1674"/>
      <c r="AJ19" s="1677"/>
      <c r="AK19" s="1677"/>
      <c r="AL19" s="1680"/>
      <c r="AM19" s="1683"/>
      <c r="AN19" s="1699"/>
      <c r="AO19" s="1701"/>
      <c r="AP19" s="1677"/>
      <c r="AQ19" s="690"/>
      <c r="AR19" s="1696"/>
      <c r="AS19" s="1696"/>
      <c r="AT19" s="1696"/>
      <c r="AU19" s="1650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706"/>
      <c r="F20" s="1704"/>
      <c r="G20" s="1708"/>
      <c r="H20" s="1704"/>
      <c r="I20" s="1708"/>
      <c r="J20" s="1704"/>
      <c r="K20" s="1708"/>
      <c r="L20" s="1704"/>
      <c r="M20" s="1687"/>
      <c r="N20" s="1687"/>
      <c r="O20" s="1687"/>
      <c r="P20" s="1708"/>
      <c r="Q20" s="1704"/>
      <c r="R20" s="1659"/>
      <c r="S20" s="1659"/>
      <c r="T20" s="1662"/>
      <c r="U20" s="1670"/>
      <c r="V20" s="1559"/>
      <c r="W20" s="1616"/>
      <c r="X20" s="1616"/>
      <c r="Y20" s="1614"/>
      <c r="Z20" s="1614"/>
      <c r="AA20" s="1664"/>
      <c r="AB20" s="1656"/>
      <c r="AC20" s="1609"/>
      <c r="AD20" s="1667"/>
      <c r="AE20" s="861"/>
      <c r="AF20" s="861"/>
      <c r="AG20" s="1691"/>
      <c r="AH20" s="1723"/>
      <c r="AI20" s="1675"/>
      <c r="AJ20" s="1678"/>
      <c r="AK20" s="1678"/>
      <c r="AL20" s="1681"/>
      <c r="AM20" s="1684"/>
      <c r="AN20" s="1700"/>
      <c r="AO20" s="1702"/>
      <c r="AP20" s="1678"/>
      <c r="AQ20" s="694"/>
      <c r="AR20" s="1697"/>
      <c r="AS20" s="1697"/>
      <c r="AT20" s="1697"/>
      <c r="AU20" s="1651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147520.52959547992</v>
      </c>
      <c r="AC26" s="738">
        <f>U26+AB26</f>
        <v>147520.52959547992</v>
      </c>
      <c r="AD26" s="739">
        <f>AC25+AC26</f>
        <v>147520.52959547992</v>
      </c>
      <c r="AE26" s="739">
        <f>IF(AD26&gt;=0,AC26,-AD25)</f>
        <v>147520.52959547992</v>
      </c>
      <c r="AF26" s="739">
        <f>AE26</f>
        <v>147520.52959547992</v>
      </c>
      <c r="AG26" s="739">
        <f>PV($G$14/12,$B26,0,$AE26*-1,0)</f>
        <v>146664.98385631805</v>
      </c>
      <c r="AH26" s="740">
        <f>AG26</f>
        <v>146664.98385631805</v>
      </c>
      <c r="AI26" s="738">
        <f>-PMT($G$14/12,$J$7,$AH$91,,0)</f>
        <v>857.19963384292919</v>
      </c>
      <c r="AJ26" s="762"/>
      <c r="AK26" s="763"/>
      <c r="AL26" s="752">
        <f>-AI26</f>
        <v>-857.19963384292919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147520.52959547992</v>
      </c>
      <c r="AC27" s="738">
        <f>U27+AB27</f>
        <v>147520.52959547992</v>
      </c>
      <c r="AD27" s="739">
        <f>AD26+AC27</f>
        <v>295041.05919095984</v>
      </c>
      <c r="AE27" s="739">
        <f t="shared" ref="AE27:AE90" si="5">IF(AD27&gt;=0,AC27,-AD26)</f>
        <v>147520.52959547992</v>
      </c>
      <c r="AF27" s="739">
        <f t="shared" ref="AF27:AF90" si="6">AE27</f>
        <v>147520.52959547992</v>
      </c>
      <c r="AG27" s="739">
        <f t="shared" ref="AG27:AG29" si="7">PV($G$14/12,$B27,0,$AE27*-1,0)</f>
        <v>145814.39985715135</v>
      </c>
      <c r="AH27" s="740">
        <f>AG27</f>
        <v>145814.39985715135</v>
      </c>
      <c r="AI27" s="738">
        <f>IF(AU27&lt;=$J$7,AI26,0)</f>
        <v>857.19963384292919</v>
      </c>
      <c r="AJ27" s="762"/>
      <c r="AK27" s="763"/>
      <c r="AL27" s="752">
        <f>-AI27</f>
        <v>-857.19963384292919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-442561.58878643974</v>
      </c>
      <c r="V28" s="751"/>
      <c r="W28" s="752"/>
      <c r="X28" s="753"/>
      <c r="Y28" s="752"/>
      <c r="Z28" s="736"/>
      <c r="AA28" s="753"/>
      <c r="AB28" s="754">
        <f t="shared" si="4"/>
        <v>147520.52959547992</v>
      </c>
      <c r="AC28" s="738">
        <f>U28+AB28</f>
        <v>-295041.05919095979</v>
      </c>
      <c r="AD28" s="739">
        <f>AD27+AC28</f>
        <v>0</v>
      </c>
      <c r="AE28" s="739">
        <f t="shared" si="5"/>
        <v>-295041.05919095979</v>
      </c>
      <c r="AF28" s="739">
        <f>AE28</f>
        <v>-295041.05919095979</v>
      </c>
      <c r="AG28" s="739">
        <f t="shared" si="7"/>
        <v>-289937.49764470849</v>
      </c>
      <c r="AH28" s="740">
        <f t="shared" ref="AH28:AH90" si="8">AG28</f>
        <v>-289937.49764470849</v>
      </c>
      <c r="AI28" s="738">
        <f>IF(AU28&lt;=$J$7,AI27,0)</f>
        <v>857.19963384292919</v>
      </c>
      <c r="AJ28" s="762"/>
      <c r="AK28" s="763"/>
      <c r="AL28" s="752">
        <f t="shared" ref="AL28:AL90" si="9">-AI28</f>
        <v>-857.19963384292919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147520.52959547992</v>
      </c>
      <c r="AC29" s="738">
        <f t="shared" si="0"/>
        <v>147520.52959547992</v>
      </c>
      <c r="AD29" s="739">
        <f>AD28+AC29</f>
        <v>147520.52959547992</v>
      </c>
      <c r="AE29" s="739">
        <f t="shared" si="5"/>
        <v>147520.52959547992</v>
      </c>
      <c r="AF29" s="739">
        <f t="shared" si="6"/>
        <v>147520.52959547992</v>
      </c>
      <c r="AG29" s="739">
        <f t="shared" si="7"/>
        <v>144128.0021431857</v>
      </c>
      <c r="AH29" s="740">
        <f t="shared" si="8"/>
        <v>144128.0021431857</v>
      </c>
      <c r="AI29" s="738">
        <f>IF(AU29&lt;=$J$7,AI28,0)</f>
        <v>857.19963384292919</v>
      </c>
      <c r="AJ29" s="762"/>
      <c r="AK29" s="763"/>
      <c r="AL29" s="752">
        <f t="shared" si="9"/>
        <v>-857.19963384292919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147520.52959547992</v>
      </c>
      <c r="AC30" s="738">
        <f t="shared" si="0"/>
        <v>147520.52959547992</v>
      </c>
      <c r="AD30" s="739">
        <f>AD29+AC30</f>
        <v>295041.05919095984</v>
      </c>
      <c r="AE30" s="739">
        <f t="shared" si="5"/>
        <v>147520.52959547992</v>
      </c>
      <c r="AF30" s="739">
        <f t="shared" si="6"/>
        <v>147520.52959547992</v>
      </c>
      <c r="AG30" s="739">
        <f t="shared" ref="AG30:AG90" si="11">PV($G$14/12,$B30,0,$AE30*-1,0)</f>
        <v>143292.13137682091</v>
      </c>
      <c r="AH30" s="740">
        <f t="shared" si="8"/>
        <v>143292.13137682091</v>
      </c>
      <c r="AI30" s="738">
        <f t="shared" ref="AI30:AI90" si="12">IF(AU30&lt;=$J$7,AI29,0)</f>
        <v>857.19963384292919</v>
      </c>
      <c r="AJ30" s="762"/>
      <c r="AK30" s="763"/>
      <c r="AL30" s="752">
        <f t="shared" si="9"/>
        <v>-857.19963384292919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-442561.58878643974</v>
      </c>
      <c r="V31" s="751"/>
      <c r="W31" s="752"/>
      <c r="X31" s="753"/>
      <c r="Y31" s="752"/>
      <c r="Z31" s="736"/>
      <c r="AA31" s="753"/>
      <c r="AB31" s="754">
        <f t="shared" si="4"/>
        <v>147520.52959547992</v>
      </c>
      <c r="AC31" s="738">
        <f t="shared" si="0"/>
        <v>-295041.05919095979</v>
      </c>
      <c r="AD31" s="739">
        <f t="shared" ref="AD31:AD84" si="13">AD30+AC31</f>
        <v>0</v>
      </c>
      <c r="AE31" s="739">
        <f t="shared" si="5"/>
        <v>-295041.05919095979</v>
      </c>
      <c r="AF31" s="739">
        <f t="shared" si="6"/>
        <v>-295041.05919095979</v>
      </c>
      <c r="AG31" s="739">
        <f t="shared" si="11"/>
        <v>-284922.21649077884</v>
      </c>
      <c r="AH31" s="740">
        <f t="shared" si="8"/>
        <v>-284922.21649077884</v>
      </c>
      <c r="AI31" s="738">
        <f t="shared" si="12"/>
        <v>857.19963384292919</v>
      </c>
      <c r="AJ31" s="762"/>
      <c r="AK31" s="763"/>
      <c r="AL31" s="752">
        <f t="shared" si="9"/>
        <v>-857.19963384292919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147520.52959547992</v>
      </c>
      <c r="AC32" s="738">
        <f t="shared" si="0"/>
        <v>147520.52959547992</v>
      </c>
      <c r="AD32" s="739">
        <f>AD31+AC32</f>
        <v>147520.52959547992</v>
      </c>
      <c r="AE32" s="739">
        <f t="shared" si="5"/>
        <v>147520.52959547992</v>
      </c>
      <c r="AF32" s="739">
        <f t="shared" si="6"/>
        <v>147520.52959547992</v>
      </c>
      <c r="AG32" s="739">
        <f t="shared" si="11"/>
        <v>141634.90463501852</v>
      </c>
      <c r="AH32" s="740">
        <f t="shared" si="8"/>
        <v>141634.90463501852</v>
      </c>
      <c r="AI32" s="738">
        <f t="shared" si="12"/>
        <v>857.19963384292919</v>
      </c>
      <c r="AJ32" s="762"/>
      <c r="AK32" s="763"/>
      <c r="AL32" s="752">
        <f t="shared" si="9"/>
        <v>-857.19963384292919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147520.52959547992</v>
      </c>
      <c r="AC33" s="738">
        <f t="shared" si="0"/>
        <v>147520.52959547992</v>
      </c>
      <c r="AD33" s="739">
        <f t="shared" si="13"/>
        <v>295041.05919095984</v>
      </c>
      <c r="AE33" s="739">
        <f t="shared" si="5"/>
        <v>147520.52959547992</v>
      </c>
      <c r="AF33" s="739">
        <f t="shared" si="6"/>
        <v>147520.52959547992</v>
      </c>
      <c r="AG33" s="739">
        <f t="shared" si="11"/>
        <v>140813.49259488168</v>
      </c>
      <c r="AH33" s="740">
        <f t="shared" si="8"/>
        <v>140813.49259488168</v>
      </c>
      <c r="AI33" s="738">
        <f t="shared" si="12"/>
        <v>857.19963384292919</v>
      </c>
      <c r="AJ33" s="762"/>
      <c r="AK33" s="763"/>
      <c r="AL33" s="752">
        <f t="shared" si="9"/>
        <v>-857.19963384292919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-442561.58878643974</v>
      </c>
      <c r="V34" s="751"/>
      <c r="W34" s="752"/>
      <c r="X34" s="753"/>
      <c r="Y34" s="752"/>
      <c r="Z34" s="736"/>
      <c r="AA34" s="753"/>
      <c r="AB34" s="754">
        <f t="shared" si="4"/>
        <v>147520.52959547992</v>
      </c>
      <c r="AC34" s="738">
        <f t="shared" si="0"/>
        <v>-295041.05919095979</v>
      </c>
      <c r="AD34" s="739">
        <f t="shared" si="13"/>
        <v>0</v>
      </c>
      <c r="AE34" s="739">
        <f t="shared" si="5"/>
        <v>-295041.05919095979</v>
      </c>
      <c r="AF34" s="739">
        <f t="shared" si="6"/>
        <v>-295041.05919095979</v>
      </c>
      <c r="AG34" s="739">
        <f t="shared" si="11"/>
        <v>-279993.68867250701</v>
      </c>
      <c r="AH34" s="740">
        <f t="shared" si="8"/>
        <v>-279993.68867250701</v>
      </c>
      <c r="AI34" s="738">
        <f t="shared" si="12"/>
        <v>857.19963384292919</v>
      </c>
      <c r="AJ34" s="762"/>
      <c r="AK34" s="763"/>
      <c r="AL34" s="752">
        <f t="shared" si="9"/>
        <v>-857.19963384292919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147520.52959547992</v>
      </c>
      <c r="AC35" s="738">
        <f t="shared" si="0"/>
        <v>147520.52959547992</v>
      </c>
      <c r="AD35" s="739">
        <f t="shared" si="13"/>
        <v>147520.52959547992</v>
      </c>
      <c r="AE35" s="739">
        <f t="shared" si="5"/>
        <v>147520.52959547992</v>
      </c>
      <c r="AF35" s="739">
        <f t="shared" si="6"/>
        <v>147520.52959547992</v>
      </c>
      <c r="AG35" s="739">
        <f t="shared" si="11"/>
        <v>139184.9322315694</v>
      </c>
      <c r="AH35" s="740">
        <f t="shared" si="8"/>
        <v>139184.9322315694</v>
      </c>
      <c r="AI35" s="738">
        <f t="shared" si="12"/>
        <v>857.19963384292919</v>
      </c>
      <c r="AJ35" s="762"/>
      <c r="AK35" s="763"/>
      <c r="AL35" s="752">
        <f t="shared" si="9"/>
        <v>-857.19963384292919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147520.52959547992</v>
      </c>
      <c r="AC36" s="738">
        <f>U36+AB36</f>
        <v>147520.52959547992</v>
      </c>
      <c r="AD36" s="739">
        <f t="shared" si="13"/>
        <v>295041.05919095984</v>
      </c>
      <c r="AE36" s="739">
        <f t="shared" si="5"/>
        <v>147520.52959547992</v>
      </c>
      <c r="AF36" s="739">
        <f t="shared" si="6"/>
        <v>147520.52959547992</v>
      </c>
      <c r="AG36" s="739">
        <f t="shared" si="11"/>
        <v>138377.72881349068</v>
      </c>
      <c r="AH36" s="740">
        <f t="shared" si="8"/>
        <v>138377.72881349068</v>
      </c>
      <c r="AI36" s="738">
        <f t="shared" si="12"/>
        <v>857.19963384292919</v>
      </c>
      <c r="AJ36" s="762"/>
      <c r="AK36" s="763"/>
      <c r="AL36" s="752">
        <f t="shared" si="9"/>
        <v>-857.19963384292919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-442561.58878643974</v>
      </c>
      <c r="V37" s="751"/>
      <c r="W37" s="752"/>
      <c r="X37" s="753"/>
      <c r="Y37" s="752"/>
      <c r="Z37" s="736"/>
      <c r="AA37" s="753"/>
      <c r="AB37" s="754">
        <f t="shared" si="4"/>
        <v>147520.52959547992</v>
      </c>
      <c r="AC37" s="738">
        <f t="shared" si="0"/>
        <v>-295041.05919095979</v>
      </c>
      <c r="AD37" s="739">
        <f t="shared" si="13"/>
        <v>0</v>
      </c>
      <c r="AE37" s="739">
        <f t="shared" si="5"/>
        <v>-295041.05919095979</v>
      </c>
      <c r="AF37" s="739">
        <f t="shared" si="6"/>
        <v>-295041.05919095979</v>
      </c>
      <c r="AG37" s="739">
        <f t="shared" si="11"/>
        <v>-275150.41354795161</v>
      </c>
      <c r="AH37" s="740">
        <f t="shared" si="8"/>
        <v>-275150.41354795161</v>
      </c>
      <c r="AI37" s="738">
        <f t="shared" si="12"/>
        <v>857.19963384292919</v>
      </c>
      <c r="AJ37" s="762"/>
      <c r="AK37" s="763"/>
      <c r="AL37" s="752">
        <f t="shared" si="9"/>
        <v>-857.19963384292919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147520.52959547992</v>
      </c>
      <c r="AC38" s="738">
        <f t="shared" si="0"/>
        <v>147520.52959547992</v>
      </c>
      <c r="AD38" s="739">
        <f t="shared" si="13"/>
        <v>147520.52959547992</v>
      </c>
      <c r="AE38" s="739">
        <f t="shared" si="5"/>
        <v>147520.52959547992</v>
      </c>
      <c r="AF38" s="739">
        <f t="shared" si="6"/>
        <v>147520.52959547992</v>
      </c>
      <c r="AG38" s="739">
        <f t="shared" si="11"/>
        <v>136777.33896335625</v>
      </c>
      <c r="AH38" s="740">
        <f t="shared" si="8"/>
        <v>136777.33896335625</v>
      </c>
      <c r="AI38" s="738">
        <f t="shared" si="12"/>
        <v>857.19963384292919</v>
      </c>
      <c r="AJ38" s="762"/>
      <c r="AK38" s="763"/>
      <c r="AL38" s="752">
        <f t="shared" si="9"/>
        <v>-857.19963384292919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147520.52959547992</v>
      </c>
      <c r="AC39" s="738">
        <f t="shared" si="0"/>
        <v>147520.52959547992</v>
      </c>
      <c r="AD39" s="739">
        <f t="shared" si="13"/>
        <v>295041.05919095984</v>
      </c>
      <c r="AE39" s="739">
        <f t="shared" si="5"/>
        <v>147520.52959547992</v>
      </c>
      <c r="AF39" s="739">
        <f t="shared" si="6"/>
        <v>147520.52959547992</v>
      </c>
      <c r="AG39" s="739">
        <f t="shared" si="11"/>
        <v>135984.09838941795</v>
      </c>
      <c r="AH39" s="740">
        <f t="shared" si="8"/>
        <v>135984.09838941795</v>
      </c>
      <c r="AI39" s="738">
        <f t="shared" si="12"/>
        <v>857.19963384292919</v>
      </c>
      <c r="AJ39" s="762"/>
      <c r="AK39" s="763"/>
      <c r="AL39" s="752">
        <f t="shared" si="9"/>
        <v>-857.19963384292919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-442561.58878643974</v>
      </c>
      <c r="V40" s="751"/>
      <c r="W40" s="752"/>
      <c r="X40" s="753"/>
      <c r="Y40" s="752"/>
      <c r="Z40" s="736"/>
      <c r="AA40" s="753"/>
      <c r="AB40" s="754">
        <f t="shared" si="4"/>
        <v>147520.52959547992</v>
      </c>
      <c r="AC40" s="738">
        <f t="shared" si="0"/>
        <v>-295041.05919095979</v>
      </c>
      <c r="AD40" s="739">
        <f t="shared" si="13"/>
        <v>0</v>
      </c>
      <c r="AE40" s="739">
        <f t="shared" si="5"/>
        <v>-295041.05919095979</v>
      </c>
      <c r="AF40" s="739">
        <f t="shared" si="6"/>
        <v>-295041.05919095979</v>
      </c>
      <c r="AG40" s="739">
        <f t="shared" si="11"/>
        <v>-270390.9164329769</v>
      </c>
      <c r="AH40" s="740">
        <f t="shared" si="8"/>
        <v>-270390.9164329769</v>
      </c>
      <c r="AI40" s="738">
        <f t="shared" si="12"/>
        <v>857.19963384292919</v>
      </c>
      <c r="AJ40" s="762"/>
      <c r="AK40" s="763"/>
      <c r="AL40" s="752">
        <f t="shared" si="9"/>
        <v>-857.19963384292919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147520.52959547992</v>
      </c>
      <c r="AC41" s="738">
        <f t="shared" si="0"/>
        <v>147520.52959547992</v>
      </c>
      <c r="AD41" s="739">
        <f t="shared" si="13"/>
        <v>147520.52959547992</v>
      </c>
      <c r="AE41" s="739">
        <f t="shared" si="5"/>
        <v>147520.52959547992</v>
      </c>
      <c r="AF41" s="739">
        <f t="shared" si="6"/>
        <v>147520.52959547992</v>
      </c>
      <c r="AG41" s="739">
        <f t="shared" si="11"/>
        <v>134411.3917645287</v>
      </c>
      <c r="AH41" s="740">
        <f t="shared" si="8"/>
        <v>134411.3917645287</v>
      </c>
      <c r="AI41" s="738">
        <f t="shared" si="12"/>
        <v>857.19963384292919</v>
      </c>
      <c r="AJ41" s="762"/>
      <c r="AK41" s="763"/>
      <c r="AL41" s="752">
        <f t="shared" si="9"/>
        <v>-857.19963384292919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147520.52959547992</v>
      </c>
      <c r="AC42" s="738">
        <f t="shared" si="0"/>
        <v>147520.52959547992</v>
      </c>
      <c r="AD42" s="739">
        <f t="shared" si="13"/>
        <v>295041.05919095984</v>
      </c>
      <c r="AE42" s="739">
        <f t="shared" si="5"/>
        <v>147520.52959547992</v>
      </c>
      <c r="AF42" s="739">
        <f t="shared" si="6"/>
        <v>147520.52959547992</v>
      </c>
      <c r="AG42" s="739">
        <f t="shared" si="11"/>
        <v>133631.87250823068</v>
      </c>
      <c r="AH42" s="740">
        <f t="shared" si="8"/>
        <v>133631.87250823068</v>
      </c>
      <c r="AI42" s="738">
        <f t="shared" si="12"/>
        <v>857.19963384292919</v>
      </c>
      <c r="AJ42" s="762"/>
      <c r="AK42" s="763"/>
      <c r="AL42" s="752">
        <f t="shared" si="9"/>
        <v>-857.19963384292919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-442561.58878643974</v>
      </c>
      <c r="V43" s="751"/>
      <c r="W43" s="752"/>
      <c r="X43" s="753"/>
      <c r="Y43" s="752"/>
      <c r="Z43" s="736"/>
      <c r="AA43" s="753"/>
      <c r="AB43" s="754">
        <f t="shared" si="4"/>
        <v>147520.52959547992</v>
      </c>
      <c r="AC43" s="738">
        <f t="shared" si="0"/>
        <v>-295041.05919095979</v>
      </c>
      <c r="AD43" s="739">
        <f t="shared" si="13"/>
        <v>0</v>
      </c>
      <c r="AE43" s="739">
        <f t="shared" si="5"/>
        <v>-295041.05919095979</v>
      </c>
      <c r="AF43" s="739">
        <f t="shared" si="6"/>
        <v>-295041.05919095979</v>
      </c>
      <c r="AG43" s="739">
        <f t="shared" si="11"/>
        <v>-265713.74815223995</v>
      </c>
      <c r="AH43" s="740">
        <f t="shared" si="8"/>
        <v>-265713.74815223995</v>
      </c>
      <c r="AI43" s="738">
        <f t="shared" si="12"/>
        <v>857.19963384292919</v>
      </c>
      <c r="AJ43" s="762"/>
      <c r="AK43" s="763"/>
      <c r="AL43" s="752">
        <f t="shared" si="9"/>
        <v>-857.19963384292919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147520.52959547992</v>
      </c>
      <c r="AC44" s="738">
        <f t="shared" si="0"/>
        <v>147520.52959547992</v>
      </c>
      <c r="AD44" s="739">
        <f t="shared" si="13"/>
        <v>147520.52959547992</v>
      </c>
      <c r="AE44" s="739">
        <f t="shared" si="5"/>
        <v>147520.52959547992</v>
      </c>
      <c r="AF44" s="739">
        <f t="shared" si="6"/>
        <v>147520.52959547992</v>
      </c>
      <c r="AG44" s="739">
        <f t="shared" si="11"/>
        <v>132086.3702496636</v>
      </c>
      <c r="AH44" s="740">
        <f t="shared" si="8"/>
        <v>132086.3702496636</v>
      </c>
      <c r="AI44" s="738">
        <f t="shared" si="12"/>
        <v>857.19963384292919</v>
      </c>
      <c r="AJ44" s="762"/>
      <c r="AK44" s="763"/>
      <c r="AL44" s="752">
        <f t="shared" si="9"/>
        <v>-857.19963384292919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147520.52959547992</v>
      </c>
      <c r="AC45" s="738">
        <f t="shared" si="0"/>
        <v>147520.52959547992</v>
      </c>
      <c r="AD45" s="739">
        <f t="shared" si="13"/>
        <v>295041.05919095984</v>
      </c>
      <c r="AE45" s="739">
        <f t="shared" si="5"/>
        <v>147520.52959547992</v>
      </c>
      <c r="AF45" s="739">
        <f t="shared" si="6"/>
        <v>147520.52959547992</v>
      </c>
      <c r="AG45" s="739">
        <f t="shared" si="11"/>
        <v>131320.33496238306</v>
      </c>
      <c r="AH45" s="740">
        <f t="shared" si="8"/>
        <v>131320.33496238306</v>
      </c>
      <c r="AI45" s="738">
        <f t="shared" si="12"/>
        <v>857.19963384292919</v>
      </c>
      <c r="AJ45" s="762"/>
      <c r="AK45" s="763"/>
      <c r="AL45" s="752">
        <f t="shared" si="9"/>
        <v>-857.19963384292919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-442561.58878643974</v>
      </c>
      <c r="V46" s="751"/>
      <c r="W46" s="752"/>
      <c r="X46" s="753"/>
      <c r="Y46" s="752"/>
      <c r="Z46" s="736"/>
      <c r="AA46" s="753"/>
      <c r="AB46" s="754">
        <f t="shared" si="4"/>
        <v>147520.52959547992</v>
      </c>
      <c r="AC46" s="738">
        <f t="shared" si="0"/>
        <v>-295041.05919095979</v>
      </c>
      <c r="AD46" s="739">
        <f t="shared" si="13"/>
        <v>0</v>
      </c>
      <c r="AE46" s="739">
        <f t="shared" si="5"/>
        <v>-295041.05919095979</v>
      </c>
      <c r="AF46" s="739">
        <f t="shared" si="6"/>
        <v>-295041.05919095979</v>
      </c>
      <c r="AG46" s="739">
        <f t="shared" si="11"/>
        <v>-261117.48459794465</v>
      </c>
      <c r="AH46" s="740">
        <f t="shared" si="8"/>
        <v>-261117.48459794465</v>
      </c>
      <c r="AI46" s="738">
        <f t="shared" si="12"/>
        <v>857.19963384292919</v>
      </c>
      <c r="AJ46" s="762"/>
      <c r="AK46" s="763"/>
      <c r="AL46" s="752">
        <f t="shared" si="9"/>
        <v>-857.19963384292919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147520.52959547992</v>
      </c>
      <c r="AC47" s="738">
        <f t="shared" si="0"/>
        <v>147520.52959547992</v>
      </c>
      <c r="AD47" s="739">
        <f t="shared" si="13"/>
        <v>147520.52959547992</v>
      </c>
      <c r="AE47" s="739">
        <f t="shared" si="5"/>
        <v>147520.52959547992</v>
      </c>
      <c r="AF47" s="739">
        <f t="shared" si="6"/>
        <v>147520.52959547992</v>
      </c>
      <c r="AG47" s="739">
        <f t="shared" si="11"/>
        <v>129801.56649442155</v>
      </c>
      <c r="AH47" s="740">
        <f t="shared" si="8"/>
        <v>129801.56649442155</v>
      </c>
      <c r="AI47" s="738">
        <f t="shared" si="12"/>
        <v>857.19963384292919</v>
      </c>
      <c r="AJ47" s="762"/>
      <c r="AK47" s="763"/>
      <c r="AL47" s="752">
        <f t="shared" si="9"/>
        <v>-857.19963384292919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147520.52959547992</v>
      </c>
      <c r="AC48" s="738">
        <f t="shared" si="0"/>
        <v>147520.52959547992</v>
      </c>
      <c r="AD48" s="739">
        <f t="shared" si="13"/>
        <v>295041.05919095984</v>
      </c>
      <c r="AE48" s="739">
        <f t="shared" si="5"/>
        <v>147520.52959547992</v>
      </c>
      <c r="AF48" s="739">
        <f t="shared" si="6"/>
        <v>147520.52959547992</v>
      </c>
      <c r="AG48" s="739">
        <f t="shared" si="11"/>
        <v>129048.7819331449</v>
      </c>
      <c r="AH48" s="740">
        <f t="shared" si="8"/>
        <v>129048.7819331449</v>
      </c>
      <c r="AI48" s="738">
        <f t="shared" si="12"/>
        <v>857.19963384292919</v>
      </c>
      <c r="AJ48" s="762"/>
      <c r="AK48" s="763"/>
      <c r="AL48" s="752">
        <f t="shared" si="9"/>
        <v>-857.19963384292919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-442561.58878643974</v>
      </c>
      <c r="V49" s="751"/>
      <c r="W49" s="752"/>
      <c r="X49" s="753"/>
      <c r="Y49" s="752"/>
      <c r="Z49" s="736"/>
      <c r="AA49" s="753"/>
      <c r="AB49" s="754">
        <f t="shared" si="4"/>
        <v>147520.52959547992</v>
      </c>
      <c r="AC49" s="738">
        <f t="shared" si="0"/>
        <v>-295041.05919095979</v>
      </c>
      <c r="AD49" s="739">
        <f t="shared" si="13"/>
        <v>0</v>
      </c>
      <c r="AE49" s="739">
        <f t="shared" si="5"/>
        <v>-295041.05919095979</v>
      </c>
      <c r="AF49" s="739">
        <f t="shared" si="6"/>
        <v>-295041.05919095979</v>
      </c>
      <c r="AG49" s="739">
        <f t="shared" si="11"/>
        <v>-256600.72629622839</v>
      </c>
      <c r="AH49" s="740">
        <f t="shared" si="8"/>
        <v>-256600.72629622839</v>
      </c>
      <c r="AI49" s="738">
        <f t="shared" si="12"/>
        <v>857.19963384292919</v>
      </c>
      <c r="AJ49" s="762"/>
      <c r="AK49" s="763"/>
      <c r="AL49" s="752">
        <f t="shared" si="9"/>
        <v>-857.19963384292919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147520.52959547992</v>
      </c>
      <c r="AC50" s="738">
        <f t="shared" si="0"/>
        <v>147520.52959547992</v>
      </c>
      <c r="AD50" s="739">
        <f t="shared" si="13"/>
        <v>147520.52959547992</v>
      </c>
      <c r="AE50" s="739">
        <f t="shared" si="5"/>
        <v>147520.52959547992</v>
      </c>
      <c r="AF50" s="739">
        <f t="shared" si="6"/>
        <v>147520.52959547992</v>
      </c>
      <c r="AG50" s="739">
        <f t="shared" si="11"/>
        <v>127556.28481999756</v>
      </c>
      <c r="AH50" s="740">
        <f t="shared" si="8"/>
        <v>127556.28481999756</v>
      </c>
      <c r="AI50" s="738">
        <f t="shared" si="12"/>
        <v>857.19963384292919</v>
      </c>
      <c r="AJ50" s="762"/>
      <c r="AK50" s="763"/>
      <c r="AL50" s="752">
        <f t="shared" si="9"/>
        <v>-857.19963384292919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147520.52959547992</v>
      </c>
      <c r="AC51" s="738">
        <f t="shared" si="0"/>
        <v>147520.52959547992</v>
      </c>
      <c r="AD51" s="739">
        <f t="shared" si="13"/>
        <v>295041.05919095984</v>
      </c>
      <c r="AE51" s="739">
        <f t="shared" si="5"/>
        <v>147520.52959547992</v>
      </c>
      <c r="AF51" s="739">
        <f t="shared" si="6"/>
        <v>147520.52959547992</v>
      </c>
      <c r="AG51" s="739">
        <f t="shared" si="11"/>
        <v>126816.52177630247</v>
      </c>
      <c r="AH51" s="740">
        <f t="shared" si="8"/>
        <v>126816.52177630247</v>
      </c>
      <c r="AI51" s="738">
        <f t="shared" si="12"/>
        <v>857.19963384292919</v>
      </c>
      <c r="AJ51" s="762"/>
      <c r="AK51" s="763"/>
      <c r="AL51" s="752">
        <f t="shared" si="9"/>
        <v>-857.19963384292919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-442561.58878643974</v>
      </c>
      <c r="V52" s="751"/>
      <c r="W52" s="752"/>
      <c r="X52" s="753"/>
      <c r="Y52" s="752"/>
      <c r="Z52" s="736"/>
      <c r="AA52" s="753"/>
      <c r="AB52" s="754">
        <f t="shared" si="4"/>
        <v>147520.52959547992</v>
      </c>
      <c r="AC52" s="738">
        <f t="shared" si="0"/>
        <v>-295041.05919095979</v>
      </c>
      <c r="AD52" s="739">
        <f t="shared" si="13"/>
        <v>0</v>
      </c>
      <c r="AE52" s="739">
        <f t="shared" si="5"/>
        <v>-295041.05919095979</v>
      </c>
      <c r="AF52" s="739">
        <f t="shared" si="6"/>
        <v>-295041.05919095979</v>
      </c>
      <c r="AG52" s="739">
        <f t="shared" si="11"/>
        <v>-252162.09798104875</v>
      </c>
      <c r="AH52" s="740">
        <f t="shared" si="8"/>
        <v>-252162.09798104875</v>
      </c>
      <c r="AI52" s="738">
        <f t="shared" si="12"/>
        <v>857.19963384292919</v>
      </c>
      <c r="AJ52" s="762"/>
      <c r="AK52" s="763"/>
      <c r="AL52" s="752">
        <f t="shared" si="9"/>
        <v>-857.19963384292919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147520.52959547992</v>
      </c>
      <c r="AC53" s="738">
        <f t="shared" si="0"/>
        <v>147520.52959547992</v>
      </c>
      <c r="AD53" s="739">
        <f t="shared" si="13"/>
        <v>147520.52959547992</v>
      </c>
      <c r="AE53" s="739">
        <f t="shared" si="5"/>
        <v>147520.52959547992</v>
      </c>
      <c r="AF53" s="739">
        <f t="shared" si="6"/>
        <v>147520.52959547992</v>
      </c>
      <c r="AG53" s="739">
        <f t="shared" si="11"/>
        <v>125349.84158130015</v>
      </c>
      <c r="AH53" s="740">
        <f t="shared" si="8"/>
        <v>125349.84158130015</v>
      </c>
      <c r="AI53" s="738">
        <f t="shared" si="12"/>
        <v>857.19963384292919</v>
      </c>
      <c r="AJ53" s="762"/>
      <c r="AK53" s="763"/>
      <c r="AL53" s="752">
        <f t="shared" si="9"/>
        <v>-857.19963384292919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147520.52959547992</v>
      </c>
      <c r="AC54" s="738">
        <f t="shared" si="0"/>
        <v>147520.52959547992</v>
      </c>
      <c r="AD54" s="739">
        <f t="shared" si="13"/>
        <v>295041.05919095984</v>
      </c>
      <c r="AE54" s="739">
        <f t="shared" si="5"/>
        <v>147520.52959547992</v>
      </c>
      <c r="AF54" s="739">
        <f t="shared" si="6"/>
        <v>147520.52959547992</v>
      </c>
      <c r="AG54" s="739">
        <f t="shared" si="11"/>
        <v>124622.87481156601</v>
      </c>
      <c r="AH54" s="740">
        <f t="shared" si="8"/>
        <v>124622.87481156601</v>
      </c>
      <c r="AI54" s="738">
        <f t="shared" si="12"/>
        <v>857.19963384292919</v>
      </c>
      <c r="AJ54" s="762"/>
      <c r="AK54" s="763"/>
      <c r="AL54" s="752">
        <f t="shared" si="9"/>
        <v>-857.19963384292919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-442561.58878643974</v>
      </c>
      <c r="V55" s="751"/>
      <c r="W55" s="752"/>
      <c r="X55" s="753"/>
      <c r="Y55" s="752"/>
      <c r="Z55" s="736"/>
      <c r="AA55" s="753"/>
      <c r="AB55" s="754">
        <f t="shared" si="4"/>
        <v>147520.52959547992</v>
      </c>
      <c r="AC55" s="738">
        <f t="shared" si="0"/>
        <v>-295041.05919095979</v>
      </c>
      <c r="AD55" s="739">
        <f t="shared" si="13"/>
        <v>0</v>
      </c>
      <c r="AE55" s="739">
        <f t="shared" si="5"/>
        <v>-295041.05919095979</v>
      </c>
      <c r="AF55" s="739">
        <f t="shared" si="6"/>
        <v>-295041.05919095979</v>
      </c>
      <c r="AG55" s="739">
        <f t="shared" si="11"/>
        <v>-247800.24817544187</v>
      </c>
      <c r="AH55" s="740">
        <f t="shared" si="8"/>
        <v>-247800.24817544187</v>
      </c>
      <c r="AI55" s="738">
        <f t="shared" si="12"/>
        <v>857.19963384292919</v>
      </c>
      <c r="AJ55" s="762"/>
      <c r="AK55" s="763"/>
      <c r="AL55" s="752">
        <f t="shared" si="9"/>
        <v>-857.19963384292919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147520.52959547992</v>
      </c>
      <c r="AC56" s="738">
        <f t="shared" si="0"/>
        <v>147520.52959547992</v>
      </c>
      <c r="AD56" s="739">
        <f t="shared" si="13"/>
        <v>147520.52959547992</v>
      </c>
      <c r="AE56" s="739">
        <f t="shared" si="5"/>
        <v>147520.52959547992</v>
      </c>
      <c r="AF56" s="739">
        <f t="shared" si="6"/>
        <v>147520.52959547992</v>
      </c>
      <c r="AG56" s="739">
        <f t="shared" si="11"/>
        <v>123181.56495879468</v>
      </c>
      <c r="AH56" s="740">
        <f t="shared" si="8"/>
        <v>123181.56495879468</v>
      </c>
      <c r="AI56" s="738">
        <f t="shared" si="12"/>
        <v>857.19963384292919</v>
      </c>
      <c r="AJ56" s="762"/>
      <c r="AK56" s="763"/>
      <c r="AL56" s="752">
        <f t="shared" si="9"/>
        <v>-857.19963384292919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147520.52959547992</v>
      </c>
      <c r="AC57" s="738">
        <f t="shared" si="0"/>
        <v>147520.52959547992</v>
      </c>
      <c r="AD57" s="739">
        <f t="shared" si="13"/>
        <v>295041.05919095984</v>
      </c>
      <c r="AE57" s="739">
        <f t="shared" si="5"/>
        <v>147520.52959547992</v>
      </c>
      <c r="AF57" s="739">
        <f t="shared" si="6"/>
        <v>147520.52959547992</v>
      </c>
      <c r="AG57" s="739">
        <f t="shared" si="11"/>
        <v>122467.17311562021</v>
      </c>
      <c r="AH57" s="740">
        <f t="shared" si="8"/>
        <v>122467.17311562021</v>
      </c>
      <c r="AI57" s="738">
        <f t="shared" si="12"/>
        <v>857.19963384292919</v>
      </c>
      <c r="AJ57" s="762"/>
      <c r="AK57" s="763"/>
      <c r="AL57" s="752">
        <f t="shared" si="9"/>
        <v>-857.19963384292919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-442561.58878643974</v>
      </c>
      <c r="V58" s="751"/>
      <c r="W58" s="752"/>
      <c r="X58" s="753"/>
      <c r="Y58" s="752"/>
      <c r="Z58" s="736"/>
      <c r="AA58" s="753"/>
      <c r="AB58" s="754">
        <f t="shared" si="4"/>
        <v>147520.52959547992</v>
      </c>
      <c r="AC58" s="738">
        <f t="shared" si="0"/>
        <v>-295041.05919095979</v>
      </c>
      <c r="AD58" s="739">
        <f t="shared" si="13"/>
        <v>0</v>
      </c>
      <c r="AE58" s="739">
        <f t="shared" si="5"/>
        <v>-295041.05919095979</v>
      </c>
      <c r="AF58" s="739">
        <f t="shared" si="6"/>
        <v>-295041.05919095979</v>
      </c>
      <c r="AG58" s="739">
        <f t="shared" si="11"/>
        <v>-243513.8487800236</v>
      </c>
      <c r="AH58" s="740">
        <f t="shared" si="8"/>
        <v>-243513.8487800236</v>
      </c>
      <c r="AI58" s="738">
        <f t="shared" si="12"/>
        <v>857.19963384292919</v>
      </c>
      <c r="AJ58" s="762"/>
      <c r="AK58" s="763"/>
      <c r="AL58" s="752">
        <f t="shared" si="9"/>
        <v>-857.19963384292919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147520.52959547992</v>
      </c>
      <c r="AC59" s="738">
        <f t="shared" si="0"/>
        <v>147520.52959547992</v>
      </c>
      <c r="AD59" s="739">
        <f t="shared" si="13"/>
        <v>147520.52959547992</v>
      </c>
      <c r="AE59" s="739">
        <f t="shared" si="5"/>
        <v>147520.52959547992</v>
      </c>
      <c r="AF59" s="739">
        <f t="shared" si="6"/>
        <v>147520.52959547992</v>
      </c>
      <c r="AG59" s="739">
        <f t="shared" si="11"/>
        <v>121050.79475394712</v>
      </c>
      <c r="AH59" s="740">
        <f t="shared" si="8"/>
        <v>121050.79475394712</v>
      </c>
      <c r="AI59" s="738">
        <f t="shared" si="12"/>
        <v>857.19963384292919</v>
      </c>
      <c r="AJ59" s="762"/>
      <c r="AK59" s="763"/>
      <c r="AL59" s="752">
        <f t="shared" si="9"/>
        <v>-857.19963384292919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147520.52959547992</v>
      </c>
      <c r="AC60" s="738">
        <f>U60+AB60</f>
        <v>147520.52959547992</v>
      </c>
      <c r="AD60" s="739">
        <f t="shared" si="13"/>
        <v>295041.05919095984</v>
      </c>
      <c r="AE60" s="739">
        <f t="shared" si="5"/>
        <v>147520.52959547992</v>
      </c>
      <c r="AF60" s="739">
        <f t="shared" si="6"/>
        <v>147520.52959547992</v>
      </c>
      <c r="AG60" s="739">
        <f t="shared" si="11"/>
        <v>120348.76031875439</v>
      </c>
      <c r="AH60" s="740">
        <f t="shared" si="8"/>
        <v>120348.76031875439</v>
      </c>
      <c r="AI60" s="738">
        <f>IF(AU60&lt;=$J$7,AI59,0)</f>
        <v>857.19963384292919</v>
      </c>
      <c r="AJ60" s="762"/>
      <c r="AK60" s="763"/>
      <c r="AL60" s="752">
        <f t="shared" si="9"/>
        <v>-857.19963384292919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-442561.58878643974</v>
      </c>
      <c r="V61" s="751"/>
      <c r="W61" s="752"/>
      <c r="X61" s="753"/>
      <c r="Y61" s="752"/>
      <c r="Z61" s="736"/>
      <c r="AA61" s="753"/>
      <c r="AB61" s="754">
        <f t="shared" si="4"/>
        <v>147520.52959547992</v>
      </c>
      <c r="AC61" s="738">
        <f t="shared" si="0"/>
        <v>-295041.05919095979</v>
      </c>
      <c r="AD61" s="739">
        <f t="shared" si="13"/>
        <v>0</v>
      </c>
      <c r="AE61" s="739">
        <f t="shared" si="5"/>
        <v>-295041.05919095979</v>
      </c>
      <c r="AF61" s="739">
        <f t="shared" si="6"/>
        <v>-295041.05919095979</v>
      </c>
      <c r="AG61" s="739">
        <f t="shared" si="11"/>
        <v>-239301.59466860851</v>
      </c>
      <c r="AH61" s="740">
        <f t="shared" si="8"/>
        <v>-239301.59466860851</v>
      </c>
      <c r="AI61" s="738">
        <f t="shared" si="12"/>
        <v>857.19963384292919</v>
      </c>
      <c r="AJ61" s="762"/>
      <c r="AK61" s="763"/>
      <c r="AL61" s="752">
        <f t="shared" si="9"/>
        <v>-857.19963384292919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0</v>
      </c>
      <c r="AC62" s="738">
        <f>U62+AB62</f>
        <v>0</v>
      </c>
      <c r="AD62" s="739">
        <f t="shared" si="13"/>
        <v>0</v>
      </c>
      <c r="AE62" s="739">
        <f t="shared" si="5"/>
        <v>0</v>
      </c>
      <c r="AF62" s="739">
        <f t="shared" si="6"/>
        <v>0</v>
      </c>
      <c r="AG62" s="739">
        <f t="shared" si="11"/>
        <v>0</v>
      </c>
      <c r="AH62" s="740">
        <f t="shared" si="8"/>
        <v>0</v>
      </c>
      <c r="AI62" s="738">
        <f t="shared" si="12"/>
        <v>0</v>
      </c>
      <c r="AJ62" s="762"/>
      <c r="AK62" s="763"/>
      <c r="AL62" s="752">
        <f t="shared" si="9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0</v>
      </c>
      <c r="AC63" s="738">
        <f t="shared" si="0"/>
        <v>0</v>
      </c>
      <c r="AD63" s="739">
        <f t="shared" si="13"/>
        <v>0</v>
      </c>
      <c r="AE63" s="739">
        <f t="shared" si="5"/>
        <v>0</v>
      </c>
      <c r="AF63" s="739">
        <f t="shared" si="6"/>
        <v>0</v>
      </c>
      <c r="AG63" s="739">
        <f t="shared" si="11"/>
        <v>0</v>
      </c>
      <c r="AH63" s="740">
        <f t="shared" si="8"/>
        <v>0</v>
      </c>
      <c r="AI63" s="738">
        <f t="shared" si="12"/>
        <v>0</v>
      </c>
      <c r="AJ63" s="762"/>
      <c r="AK63" s="763"/>
      <c r="AL63" s="752">
        <f t="shared" si="9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0</v>
      </c>
      <c r="V64" s="751"/>
      <c r="W64" s="752"/>
      <c r="X64" s="753"/>
      <c r="Y64" s="752"/>
      <c r="Z64" s="736"/>
      <c r="AA64" s="753"/>
      <c r="AB64" s="754">
        <f t="shared" si="4"/>
        <v>0</v>
      </c>
      <c r="AC64" s="738">
        <f t="shared" si="0"/>
        <v>0</v>
      </c>
      <c r="AD64" s="739">
        <f t="shared" si="13"/>
        <v>0</v>
      </c>
      <c r="AE64" s="739">
        <f t="shared" si="5"/>
        <v>0</v>
      </c>
      <c r="AF64" s="739">
        <f t="shared" si="6"/>
        <v>0</v>
      </c>
      <c r="AG64" s="739">
        <f t="shared" si="11"/>
        <v>0</v>
      </c>
      <c r="AH64" s="740">
        <f t="shared" si="8"/>
        <v>0</v>
      </c>
      <c r="AI64" s="738">
        <f t="shared" si="12"/>
        <v>0</v>
      </c>
      <c r="AJ64" s="762"/>
      <c r="AK64" s="763"/>
      <c r="AL64" s="752">
        <f t="shared" si="9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0</v>
      </c>
      <c r="AC65" s="738">
        <f t="shared" si="0"/>
        <v>0</v>
      </c>
      <c r="AD65" s="739">
        <f t="shared" si="13"/>
        <v>0</v>
      </c>
      <c r="AE65" s="739">
        <f t="shared" si="5"/>
        <v>0</v>
      </c>
      <c r="AF65" s="739">
        <f t="shared" si="6"/>
        <v>0</v>
      </c>
      <c r="AG65" s="739">
        <f t="shared" si="11"/>
        <v>0</v>
      </c>
      <c r="AH65" s="740">
        <f t="shared" si="8"/>
        <v>0</v>
      </c>
      <c r="AI65" s="738">
        <f t="shared" si="12"/>
        <v>0</v>
      </c>
      <c r="AJ65" s="762"/>
      <c r="AK65" s="763"/>
      <c r="AL65" s="752">
        <f t="shared" si="9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0</v>
      </c>
      <c r="AC66" s="738">
        <f t="shared" si="0"/>
        <v>0</v>
      </c>
      <c r="AD66" s="739">
        <f t="shared" si="13"/>
        <v>0</v>
      </c>
      <c r="AE66" s="739">
        <f t="shared" si="5"/>
        <v>0</v>
      </c>
      <c r="AF66" s="739">
        <f t="shared" si="6"/>
        <v>0</v>
      </c>
      <c r="AG66" s="739">
        <f t="shared" si="11"/>
        <v>0</v>
      </c>
      <c r="AH66" s="740">
        <f t="shared" si="8"/>
        <v>0</v>
      </c>
      <c r="AI66" s="738">
        <f t="shared" si="12"/>
        <v>0</v>
      </c>
      <c r="AJ66" s="762"/>
      <c r="AK66" s="763"/>
      <c r="AL66" s="752">
        <f t="shared" si="9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0</v>
      </c>
      <c r="V67" s="751"/>
      <c r="W67" s="752"/>
      <c r="X67" s="753"/>
      <c r="Y67" s="752"/>
      <c r="Z67" s="736"/>
      <c r="AA67" s="753"/>
      <c r="AB67" s="754">
        <f t="shared" si="4"/>
        <v>0</v>
      </c>
      <c r="AC67" s="738">
        <f t="shared" si="0"/>
        <v>0</v>
      </c>
      <c r="AD67" s="739">
        <f t="shared" si="13"/>
        <v>0</v>
      </c>
      <c r="AE67" s="739">
        <f t="shared" si="5"/>
        <v>0</v>
      </c>
      <c r="AF67" s="739">
        <f t="shared" si="6"/>
        <v>0</v>
      </c>
      <c r="AG67" s="739">
        <f t="shared" si="11"/>
        <v>0</v>
      </c>
      <c r="AH67" s="740">
        <f t="shared" si="8"/>
        <v>0</v>
      </c>
      <c r="AI67" s="738">
        <f t="shared" si="12"/>
        <v>0</v>
      </c>
      <c r="AJ67" s="762"/>
      <c r="AK67" s="763"/>
      <c r="AL67" s="752">
        <f t="shared" si="9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0</v>
      </c>
      <c r="AC68" s="738">
        <f t="shared" si="0"/>
        <v>0</v>
      </c>
      <c r="AD68" s="739">
        <f t="shared" si="13"/>
        <v>0</v>
      </c>
      <c r="AE68" s="739">
        <f t="shared" si="5"/>
        <v>0</v>
      </c>
      <c r="AF68" s="739">
        <f t="shared" si="6"/>
        <v>0</v>
      </c>
      <c r="AG68" s="739">
        <f t="shared" si="11"/>
        <v>0</v>
      </c>
      <c r="AH68" s="740">
        <f t="shared" si="8"/>
        <v>0</v>
      </c>
      <c r="AI68" s="738">
        <f t="shared" si="12"/>
        <v>0</v>
      </c>
      <c r="AJ68" s="762"/>
      <c r="AK68" s="763"/>
      <c r="AL68" s="752">
        <f t="shared" si="9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0</v>
      </c>
      <c r="AC69" s="738">
        <f t="shared" si="0"/>
        <v>0</v>
      </c>
      <c r="AD69" s="739">
        <f t="shared" si="13"/>
        <v>0</v>
      </c>
      <c r="AE69" s="739">
        <f t="shared" si="5"/>
        <v>0</v>
      </c>
      <c r="AF69" s="739">
        <f t="shared" si="6"/>
        <v>0</v>
      </c>
      <c r="AG69" s="739">
        <f t="shared" si="11"/>
        <v>0</v>
      </c>
      <c r="AH69" s="740">
        <f t="shared" si="8"/>
        <v>0</v>
      </c>
      <c r="AI69" s="738">
        <f t="shared" si="12"/>
        <v>0</v>
      </c>
      <c r="AJ69" s="762"/>
      <c r="AK69" s="763"/>
      <c r="AL69" s="752">
        <f t="shared" si="9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0</v>
      </c>
      <c r="V70" s="751"/>
      <c r="W70" s="752"/>
      <c r="X70" s="753"/>
      <c r="Y70" s="752"/>
      <c r="Z70" s="736"/>
      <c r="AA70" s="753"/>
      <c r="AB70" s="754">
        <f t="shared" si="4"/>
        <v>0</v>
      </c>
      <c r="AC70" s="738">
        <f t="shared" si="0"/>
        <v>0</v>
      </c>
      <c r="AD70" s="739">
        <f t="shared" si="13"/>
        <v>0</v>
      </c>
      <c r="AE70" s="739">
        <f t="shared" si="5"/>
        <v>0</v>
      </c>
      <c r="AF70" s="739">
        <f t="shared" si="6"/>
        <v>0</v>
      </c>
      <c r="AG70" s="739">
        <f t="shared" si="11"/>
        <v>0</v>
      </c>
      <c r="AH70" s="740">
        <f t="shared" si="8"/>
        <v>0</v>
      </c>
      <c r="AI70" s="738">
        <f t="shared" si="12"/>
        <v>0</v>
      </c>
      <c r="AJ70" s="762"/>
      <c r="AK70" s="763"/>
      <c r="AL70" s="752">
        <f t="shared" si="9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0</v>
      </c>
      <c r="AC71" s="738">
        <f t="shared" si="0"/>
        <v>0</v>
      </c>
      <c r="AD71" s="739">
        <f t="shared" si="13"/>
        <v>0</v>
      </c>
      <c r="AE71" s="739">
        <f t="shared" si="5"/>
        <v>0</v>
      </c>
      <c r="AF71" s="739">
        <f t="shared" si="6"/>
        <v>0</v>
      </c>
      <c r="AG71" s="739">
        <f t="shared" si="11"/>
        <v>0</v>
      </c>
      <c r="AH71" s="740">
        <f t="shared" si="8"/>
        <v>0</v>
      </c>
      <c r="AI71" s="738">
        <f t="shared" si="12"/>
        <v>0</v>
      </c>
      <c r="AJ71" s="762"/>
      <c r="AK71" s="763"/>
      <c r="AL71" s="752">
        <f t="shared" si="9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0</v>
      </c>
      <c r="AC72" s="738">
        <f t="shared" si="0"/>
        <v>0</v>
      </c>
      <c r="AD72" s="739">
        <f t="shared" si="13"/>
        <v>0</v>
      </c>
      <c r="AE72" s="739">
        <f t="shared" si="5"/>
        <v>0</v>
      </c>
      <c r="AF72" s="739">
        <f t="shared" si="6"/>
        <v>0</v>
      </c>
      <c r="AG72" s="739">
        <f t="shared" si="11"/>
        <v>0</v>
      </c>
      <c r="AH72" s="740">
        <f t="shared" si="8"/>
        <v>0</v>
      </c>
      <c r="AI72" s="738">
        <f t="shared" si="12"/>
        <v>0</v>
      </c>
      <c r="AJ72" s="762"/>
      <c r="AK72" s="763"/>
      <c r="AL72" s="752">
        <f t="shared" si="9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0</v>
      </c>
      <c r="V73" s="751"/>
      <c r="W73" s="752"/>
      <c r="X73" s="753"/>
      <c r="Y73" s="752"/>
      <c r="Z73" s="736"/>
      <c r="AA73" s="753"/>
      <c r="AB73" s="754">
        <f t="shared" si="4"/>
        <v>0</v>
      </c>
      <c r="AC73" s="738">
        <f t="shared" si="0"/>
        <v>0</v>
      </c>
      <c r="AD73" s="739">
        <f t="shared" si="13"/>
        <v>0</v>
      </c>
      <c r="AE73" s="739">
        <f t="shared" si="5"/>
        <v>0</v>
      </c>
      <c r="AF73" s="739">
        <f t="shared" si="6"/>
        <v>0</v>
      </c>
      <c r="AG73" s="739">
        <f t="shared" si="11"/>
        <v>0</v>
      </c>
      <c r="AH73" s="740">
        <f t="shared" si="8"/>
        <v>0</v>
      </c>
      <c r="AI73" s="738">
        <f t="shared" si="12"/>
        <v>0</v>
      </c>
      <c r="AJ73" s="762"/>
      <c r="AK73" s="763"/>
      <c r="AL73" s="752">
        <f t="shared" si="9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-5310739.0654372787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5310739.0654372787</v>
      </c>
      <c r="AC91" s="828">
        <f t="shared" si="19"/>
        <v>6.9849193096160889E-10</v>
      </c>
      <c r="AD91" s="785">
        <f t="shared" ref="AD91" si="20">AD90+AC91</f>
        <v>6.9849193096160889E-10</v>
      </c>
      <c r="AE91" s="785">
        <f>SUM(AE26:AE90)</f>
        <v>6.9849193096160889E-10</v>
      </c>
      <c r="AF91" s="785">
        <f>SUM(AF26:AF90)</f>
        <v>6.9849193096160889E-10</v>
      </c>
      <c r="AG91" s="829">
        <f>SUM(AG22:AG90)</f>
        <v>27761.665469406929</v>
      </c>
      <c r="AH91" s="830">
        <f>SUM(AH22:AH90)</f>
        <v>27761.665469406929</v>
      </c>
      <c r="AI91" s="831">
        <f>SUM(AI22:AI90)</f>
        <v>30859.186818345475</v>
      </c>
      <c r="AJ91" s="832"/>
      <c r="AK91" s="786"/>
      <c r="AL91" s="787">
        <f>SUM(AL22:AL90)</f>
        <v>-30859.186818345475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-1.6116246115416288E-9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532" t="s">
        <v>175</v>
      </c>
      <c r="C95" s="1533" t="s">
        <v>176</v>
      </c>
      <c r="D95" s="1533"/>
      <c r="E95" s="1533"/>
      <c r="F95" s="1533"/>
      <c r="G95" s="1533"/>
      <c r="H95" s="1533"/>
      <c r="I95" s="1533"/>
      <c r="J95" s="1533"/>
      <c r="K95" s="1534"/>
      <c r="L95" s="1535" t="s">
        <v>177</v>
      </c>
      <c r="M95" s="1536"/>
      <c r="N95" s="1536"/>
      <c r="O95" s="1537"/>
      <c r="P95" s="1551" t="s">
        <v>178</v>
      </c>
      <c r="Q95" s="1552"/>
      <c r="R95" s="1553"/>
      <c r="S95" s="1542" t="s">
        <v>179</v>
      </c>
      <c r="T95" s="1539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554"/>
      <c r="C96" s="1555" t="s">
        <v>166</v>
      </c>
      <c r="D96" s="1555"/>
      <c r="E96" s="1555"/>
      <c r="F96" s="1555" t="s">
        <v>187</v>
      </c>
      <c r="G96" s="1555"/>
      <c r="H96" s="1555" t="s">
        <v>165</v>
      </c>
      <c r="I96" s="1555"/>
      <c r="J96" s="1719" t="s">
        <v>188</v>
      </c>
      <c r="K96" s="1529" t="s">
        <v>58</v>
      </c>
      <c r="L96" s="1549" t="s">
        <v>189</v>
      </c>
      <c r="M96" s="1719" t="s">
        <v>190</v>
      </c>
      <c r="N96" s="1547" t="s">
        <v>191</v>
      </c>
      <c r="O96" s="1529" t="s">
        <v>58</v>
      </c>
      <c r="P96" s="1549" t="s">
        <v>192</v>
      </c>
      <c r="Q96" s="1547" t="s">
        <v>193</v>
      </c>
      <c r="R96" s="1545" t="s">
        <v>194</v>
      </c>
      <c r="S96" s="1543"/>
      <c r="T96" s="1540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717"/>
      <c r="C97" s="919"/>
      <c r="D97" s="1718" t="s">
        <v>169</v>
      </c>
      <c r="E97" s="1718"/>
      <c r="F97" s="918" t="s">
        <v>196</v>
      </c>
      <c r="G97" s="879" t="s">
        <v>169</v>
      </c>
      <c r="H97" s="918" t="s">
        <v>196</v>
      </c>
      <c r="I97" s="879" t="s">
        <v>169</v>
      </c>
      <c r="J97" s="1720"/>
      <c r="K97" s="1538"/>
      <c r="L97" s="1550"/>
      <c r="M97" s="1720"/>
      <c r="N97" s="1548"/>
      <c r="O97" s="1538"/>
      <c r="P97" s="1550"/>
      <c r="Q97" s="1548"/>
      <c r="R97" s="1546"/>
      <c r="S97" s="1544"/>
      <c r="T97" s="1541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146663.32996163701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146663.32996163701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146663.32996163701</v>
      </c>
      <c r="Q103" s="892">
        <f t="shared" si="31"/>
        <v>0</v>
      </c>
      <c r="R103" s="893">
        <f>P103+Q103</f>
        <v>146663.32996163701</v>
      </c>
      <c r="S103" s="894">
        <f>IF(B103&lt;=$J$7,$R103*-1,0)</f>
        <v>-146663.32996163701</v>
      </c>
      <c r="T103" s="894">
        <f>$S103*$G$14*1/12</f>
        <v>-855.53609144288259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146663.32996163701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146663.32996163701</v>
      </c>
      <c r="L104" s="890">
        <f t="shared" si="35"/>
        <v>0</v>
      </c>
      <c r="M104" s="905"/>
      <c r="N104" s="815">
        <f>T103*-1</f>
        <v>855.53609144288259</v>
      </c>
      <c r="O104" s="884">
        <f t="shared" si="34"/>
        <v>855.53609144288259</v>
      </c>
      <c r="P104" s="891">
        <f>K104+O104</f>
        <v>147518.8660530799</v>
      </c>
      <c r="Q104" s="892">
        <f>R103</f>
        <v>146663.32996163701</v>
      </c>
      <c r="R104" s="893">
        <f>P104+Q104</f>
        <v>294182.19601471687</v>
      </c>
      <c r="S104" s="894">
        <f t="shared" ref="S104:S167" si="37">IF(B104&lt;=$J$7,$R104*-1,0)</f>
        <v>-294182.19601471687</v>
      </c>
      <c r="T104" s="894">
        <f>$S104*$G$14*1/12</f>
        <v>-1716.0628100858485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146663.32996163701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146663.32996163701</v>
      </c>
      <c r="L105" s="890">
        <f t="shared" si="35"/>
        <v>-442561.58878643974</v>
      </c>
      <c r="M105" s="905"/>
      <c r="N105" s="815">
        <f>T104*-1</f>
        <v>1716.0628100858485</v>
      </c>
      <c r="O105" s="884">
        <f t="shared" si="34"/>
        <v>-440845.52597635391</v>
      </c>
      <c r="P105" s="891">
        <f>K105+O105</f>
        <v>-294182.19601471687</v>
      </c>
      <c r="Q105" s="892">
        <f>R104</f>
        <v>294182.19601471687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146663.32996163701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146663.32996163701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146663.32996163701</v>
      </c>
      <c r="Q106" s="892">
        <f>R105</f>
        <v>0</v>
      </c>
      <c r="R106" s="893">
        <f t="shared" ref="R106:R164" si="38">P106+Q106</f>
        <v>146663.32996163701</v>
      </c>
      <c r="S106" s="894">
        <f t="shared" si="37"/>
        <v>-146663.32996163701</v>
      </c>
      <c r="T106" s="894">
        <f t="shared" si="27"/>
        <v>-855.53609144288259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146663.32996163701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146663.32996163701</v>
      </c>
      <c r="L107" s="890">
        <f t="shared" si="35"/>
        <v>0</v>
      </c>
      <c r="M107" s="905"/>
      <c r="N107" s="815">
        <f t="shared" si="33"/>
        <v>855.53609144288259</v>
      </c>
      <c r="O107" s="884">
        <f t="shared" si="34"/>
        <v>855.53609144288259</v>
      </c>
      <c r="P107" s="891">
        <f t="shared" si="30"/>
        <v>147518.8660530799</v>
      </c>
      <c r="Q107" s="892">
        <f t="shared" si="31"/>
        <v>146663.32996163701</v>
      </c>
      <c r="R107" s="893">
        <f>P107+Q107</f>
        <v>294182.19601471687</v>
      </c>
      <c r="S107" s="894">
        <f t="shared" si="37"/>
        <v>-294182.19601471687</v>
      </c>
      <c r="T107" s="894">
        <f t="shared" si="27"/>
        <v>-1716.0628100858485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146663.32996163701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146663.32996163701</v>
      </c>
      <c r="L108" s="890">
        <f t="shared" si="35"/>
        <v>-442561.58878643974</v>
      </c>
      <c r="M108" s="905"/>
      <c r="N108" s="815">
        <f t="shared" si="33"/>
        <v>1716.0628100858485</v>
      </c>
      <c r="O108" s="884">
        <f t="shared" si="34"/>
        <v>-440845.52597635391</v>
      </c>
      <c r="P108" s="891">
        <f t="shared" si="30"/>
        <v>-294182.19601471687</v>
      </c>
      <c r="Q108" s="892">
        <f t="shared" si="31"/>
        <v>294182.19601471687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146663.32996163701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146663.32996163701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146663.32996163701</v>
      </c>
      <c r="Q109" s="892">
        <f t="shared" si="31"/>
        <v>0</v>
      </c>
      <c r="R109" s="893">
        <f t="shared" si="38"/>
        <v>146663.32996163701</v>
      </c>
      <c r="S109" s="894">
        <f t="shared" si="37"/>
        <v>-146663.32996163701</v>
      </c>
      <c r="T109" s="894">
        <f t="shared" si="27"/>
        <v>-855.53609144288259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146663.32996163701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146663.32996163701</v>
      </c>
      <c r="L110" s="890">
        <f t="shared" si="35"/>
        <v>0</v>
      </c>
      <c r="M110" s="905"/>
      <c r="N110" s="815">
        <f t="shared" si="33"/>
        <v>855.53609144288259</v>
      </c>
      <c r="O110" s="884">
        <f t="shared" si="28"/>
        <v>855.53609144288259</v>
      </c>
      <c r="P110" s="891">
        <f t="shared" si="30"/>
        <v>147518.8660530799</v>
      </c>
      <c r="Q110" s="892">
        <f t="shared" si="31"/>
        <v>146663.32996163701</v>
      </c>
      <c r="R110" s="893">
        <f t="shared" si="38"/>
        <v>294182.19601471687</v>
      </c>
      <c r="S110" s="894">
        <f t="shared" si="37"/>
        <v>-294182.19601471687</v>
      </c>
      <c r="T110" s="894">
        <f t="shared" si="27"/>
        <v>-1716.0628100858485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146663.32996163701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146663.32996163701</v>
      </c>
      <c r="L111" s="890">
        <f t="shared" si="35"/>
        <v>-442561.58878643974</v>
      </c>
      <c r="M111" s="905"/>
      <c r="N111" s="815">
        <f t="shared" si="33"/>
        <v>1716.0628100858485</v>
      </c>
      <c r="O111" s="884">
        <f t="shared" si="28"/>
        <v>-440845.52597635391</v>
      </c>
      <c r="P111" s="891">
        <f t="shared" si="30"/>
        <v>-294182.19601471687</v>
      </c>
      <c r="Q111" s="892">
        <f t="shared" si="31"/>
        <v>294182.19601471687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146663.32996163701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146663.32996163701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146663.32996163701</v>
      </c>
      <c r="Q112" s="892">
        <f t="shared" si="31"/>
        <v>0</v>
      </c>
      <c r="R112" s="893">
        <f t="shared" si="38"/>
        <v>146663.32996163701</v>
      </c>
      <c r="S112" s="894">
        <f t="shared" si="37"/>
        <v>-146663.32996163701</v>
      </c>
      <c r="T112" s="894">
        <f t="shared" si="27"/>
        <v>-855.53609144288259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146663.32996163701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146663.32996163701</v>
      </c>
      <c r="L113" s="890">
        <f t="shared" si="35"/>
        <v>0</v>
      </c>
      <c r="M113" s="905"/>
      <c r="N113" s="815">
        <f t="shared" si="33"/>
        <v>855.53609144288259</v>
      </c>
      <c r="O113" s="884">
        <f>L113+M113+N113</f>
        <v>855.53609144288259</v>
      </c>
      <c r="P113" s="891">
        <f>K113+O113</f>
        <v>147518.8660530799</v>
      </c>
      <c r="Q113" s="892">
        <f t="shared" si="31"/>
        <v>146663.32996163701</v>
      </c>
      <c r="R113" s="893">
        <f t="shared" si="38"/>
        <v>294182.19601471687</v>
      </c>
      <c r="S113" s="894">
        <f t="shared" si="37"/>
        <v>-294182.19601471687</v>
      </c>
      <c r="T113" s="894">
        <f t="shared" si="27"/>
        <v>-1716.0628100858485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146663.32996163701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146663.32996163701</v>
      </c>
      <c r="L114" s="890">
        <f t="shared" si="35"/>
        <v>-442561.58878643974</v>
      </c>
      <c r="M114" s="905"/>
      <c r="N114" s="815">
        <f t="shared" si="33"/>
        <v>1716.0628100858485</v>
      </c>
      <c r="O114" s="884">
        <f t="shared" si="28"/>
        <v>-440845.52597635391</v>
      </c>
      <c r="P114" s="891">
        <f t="shared" si="30"/>
        <v>-294182.19601471687</v>
      </c>
      <c r="Q114" s="892">
        <f t="shared" si="31"/>
        <v>294182.19601471687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146663.32996163701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146663.32996163701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146663.32996163701</v>
      </c>
      <c r="Q115" s="892">
        <f t="shared" si="31"/>
        <v>0</v>
      </c>
      <c r="R115" s="893">
        <f t="shared" si="38"/>
        <v>146663.32996163701</v>
      </c>
      <c r="S115" s="894">
        <f t="shared" si="37"/>
        <v>-146663.32996163701</v>
      </c>
      <c r="T115" s="894">
        <f t="shared" si="27"/>
        <v>-855.53609144288259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146663.32996163701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146663.32996163701</v>
      </c>
      <c r="L116" s="890">
        <f t="shared" si="35"/>
        <v>0</v>
      </c>
      <c r="M116" s="905"/>
      <c r="N116" s="815">
        <f t="shared" si="33"/>
        <v>855.53609144288259</v>
      </c>
      <c r="O116" s="884">
        <f t="shared" si="28"/>
        <v>855.53609144288259</v>
      </c>
      <c r="P116" s="891">
        <f t="shared" si="30"/>
        <v>147518.8660530799</v>
      </c>
      <c r="Q116" s="892">
        <f t="shared" si="31"/>
        <v>146663.32996163701</v>
      </c>
      <c r="R116" s="893">
        <f t="shared" si="38"/>
        <v>294182.19601471687</v>
      </c>
      <c r="S116" s="894">
        <f t="shared" si="37"/>
        <v>-294182.19601471687</v>
      </c>
      <c r="T116" s="894">
        <f t="shared" si="27"/>
        <v>-1716.0628100858485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146663.32996163701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146663.32996163701</v>
      </c>
      <c r="L117" s="890">
        <f t="shared" si="35"/>
        <v>-442561.58878643974</v>
      </c>
      <c r="M117" s="905"/>
      <c r="N117" s="815">
        <f t="shared" si="33"/>
        <v>1716.0628100858485</v>
      </c>
      <c r="O117" s="884">
        <f t="shared" si="28"/>
        <v>-440845.52597635391</v>
      </c>
      <c r="P117" s="891">
        <f t="shared" si="30"/>
        <v>-294182.19601471687</v>
      </c>
      <c r="Q117" s="892">
        <f t="shared" si="31"/>
        <v>294182.19601471687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146663.32996163701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146663.32996163701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146663.32996163701</v>
      </c>
      <c r="Q118" s="892">
        <f t="shared" si="31"/>
        <v>0</v>
      </c>
      <c r="R118" s="893">
        <f t="shared" si="38"/>
        <v>146663.32996163701</v>
      </c>
      <c r="S118" s="894">
        <f t="shared" si="37"/>
        <v>-146663.32996163701</v>
      </c>
      <c r="T118" s="894">
        <f t="shared" si="27"/>
        <v>-855.53609144288259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146663.32996163701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146663.32996163701</v>
      </c>
      <c r="L119" s="890">
        <f t="shared" si="35"/>
        <v>0</v>
      </c>
      <c r="M119" s="905"/>
      <c r="N119" s="815">
        <f t="shared" si="33"/>
        <v>855.53609144288259</v>
      </c>
      <c r="O119" s="884">
        <f t="shared" si="28"/>
        <v>855.53609144288259</v>
      </c>
      <c r="P119" s="891">
        <f t="shared" si="30"/>
        <v>147518.8660530799</v>
      </c>
      <c r="Q119" s="892">
        <f t="shared" si="31"/>
        <v>146663.32996163701</v>
      </c>
      <c r="R119" s="893">
        <f t="shared" si="38"/>
        <v>294182.19601471687</v>
      </c>
      <c r="S119" s="894">
        <f t="shared" si="37"/>
        <v>-294182.19601471687</v>
      </c>
      <c r="T119" s="894">
        <f t="shared" si="27"/>
        <v>-1716.0628100858485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146663.32996163701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146663.32996163701</v>
      </c>
      <c r="L120" s="890">
        <f t="shared" si="35"/>
        <v>-442561.58878643974</v>
      </c>
      <c r="M120" s="905"/>
      <c r="N120" s="815">
        <f t="shared" si="33"/>
        <v>1716.0628100858485</v>
      </c>
      <c r="O120" s="884">
        <f t="shared" si="28"/>
        <v>-440845.52597635391</v>
      </c>
      <c r="P120" s="891">
        <f t="shared" si="30"/>
        <v>-294182.19601471687</v>
      </c>
      <c r="Q120" s="892">
        <f t="shared" si="31"/>
        <v>294182.19601471687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146663.32996163701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146663.32996163701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146663.32996163701</v>
      </c>
      <c r="Q121" s="892">
        <f t="shared" si="31"/>
        <v>0</v>
      </c>
      <c r="R121" s="893">
        <f t="shared" si="38"/>
        <v>146663.32996163701</v>
      </c>
      <c r="S121" s="894">
        <f t="shared" si="37"/>
        <v>-146663.32996163701</v>
      </c>
      <c r="T121" s="894">
        <f t="shared" si="27"/>
        <v>-855.53609144288259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146663.32996163701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146663.32996163701</v>
      </c>
      <c r="L122" s="890">
        <f t="shared" si="35"/>
        <v>0</v>
      </c>
      <c r="M122" s="905"/>
      <c r="N122" s="815">
        <f t="shared" si="33"/>
        <v>855.53609144288259</v>
      </c>
      <c r="O122" s="884">
        <f t="shared" si="28"/>
        <v>855.53609144288259</v>
      </c>
      <c r="P122" s="891">
        <f t="shared" si="30"/>
        <v>147518.8660530799</v>
      </c>
      <c r="Q122" s="892">
        <f t="shared" si="31"/>
        <v>146663.32996163701</v>
      </c>
      <c r="R122" s="893">
        <f t="shared" si="38"/>
        <v>294182.19601471687</v>
      </c>
      <c r="S122" s="894">
        <f t="shared" si="37"/>
        <v>-294182.19601471687</v>
      </c>
      <c r="T122" s="894">
        <f t="shared" si="27"/>
        <v>-1716.0628100858485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146663.32996163701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146663.32996163701</v>
      </c>
      <c r="L123" s="890">
        <f t="shared" si="35"/>
        <v>-442561.58878643974</v>
      </c>
      <c r="M123" s="905"/>
      <c r="N123" s="815">
        <f t="shared" si="33"/>
        <v>1716.0628100858485</v>
      </c>
      <c r="O123" s="884">
        <f t="shared" si="28"/>
        <v>-440845.52597635391</v>
      </c>
      <c r="P123" s="891">
        <f t="shared" si="30"/>
        <v>-294182.19601471687</v>
      </c>
      <c r="Q123" s="892">
        <f t="shared" si="31"/>
        <v>294182.19601471687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146663.32996163701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146663.32996163701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146663.32996163701</v>
      </c>
      <c r="Q124" s="892">
        <f t="shared" si="31"/>
        <v>0</v>
      </c>
      <c r="R124" s="893">
        <f t="shared" si="38"/>
        <v>146663.32996163701</v>
      </c>
      <c r="S124" s="894">
        <f t="shared" si="37"/>
        <v>-146663.32996163701</v>
      </c>
      <c r="T124" s="894">
        <f t="shared" si="27"/>
        <v>-855.53609144288259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146663.32996163701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146663.32996163701</v>
      </c>
      <c r="L125" s="890">
        <f t="shared" si="35"/>
        <v>0</v>
      </c>
      <c r="M125" s="905"/>
      <c r="N125" s="815">
        <f t="shared" si="33"/>
        <v>855.53609144288259</v>
      </c>
      <c r="O125" s="884">
        <f t="shared" si="28"/>
        <v>855.53609144288259</v>
      </c>
      <c r="P125" s="891">
        <f t="shared" si="30"/>
        <v>147518.8660530799</v>
      </c>
      <c r="Q125" s="892">
        <f t="shared" si="31"/>
        <v>146663.32996163701</v>
      </c>
      <c r="R125" s="893">
        <f t="shared" si="38"/>
        <v>294182.19601471687</v>
      </c>
      <c r="S125" s="894">
        <f t="shared" si="37"/>
        <v>-294182.19601471687</v>
      </c>
      <c r="T125" s="894">
        <f t="shared" si="27"/>
        <v>-1716.0628100858485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146663.32996163701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146663.32996163701</v>
      </c>
      <c r="L126" s="890">
        <f t="shared" si="35"/>
        <v>-442561.58878643974</v>
      </c>
      <c r="M126" s="905"/>
      <c r="N126" s="815">
        <f t="shared" si="33"/>
        <v>1716.0628100858485</v>
      </c>
      <c r="O126" s="884">
        <f t="shared" si="28"/>
        <v>-440845.52597635391</v>
      </c>
      <c r="P126" s="891">
        <f t="shared" si="30"/>
        <v>-294182.19601471687</v>
      </c>
      <c r="Q126" s="892">
        <f t="shared" si="31"/>
        <v>294182.19601471687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146663.32996163701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146663.32996163701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146663.32996163701</v>
      </c>
      <c r="Q127" s="892">
        <f t="shared" si="31"/>
        <v>0</v>
      </c>
      <c r="R127" s="893">
        <f t="shared" si="38"/>
        <v>146663.32996163701</v>
      </c>
      <c r="S127" s="894">
        <f t="shared" si="37"/>
        <v>-146663.32996163701</v>
      </c>
      <c r="T127" s="894">
        <f t="shared" si="27"/>
        <v>-855.53609144288259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146663.32996163701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146663.32996163701</v>
      </c>
      <c r="L128" s="890">
        <f t="shared" si="35"/>
        <v>0</v>
      </c>
      <c r="M128" s="905"/>
      <c r="N128" s="815">
        <f t="shared" si="33"/>
        <v>855.53609144288259</v>
      </c>
      <c r="O128" s="884">
        <f t="shared" si="28"/>
        <v>855.53609144288259</v>
      </c>
      <c r="P128" s="891">
        <f t="shared" si="30"/>
        <v>147518.8660530799</v>
      </c>
      <c r="Q128" s="892">
        <f t="shared" si="31"/>
        <v>146663.32996163701</v>
      </c>
      <c r="R128" s="893">
        <f t="shared" si="38"/>
        <v>294182.19601471687</v>
      </c>
      <c r="S128" s="894">
        <f t="shared" si="37"/>
        <v>-294182.19601471687</v>
      </c>
      <c r="T128" s="894">
        <f t="shared" si="27"/>
        <v>-1716.0628100858485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146663.32996163701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146663.32996163701</v>
      </c>
      <c r="L129" s="890">
        <f t="shared" si="35"/>
        <v>-442561.58878643974</v>
      </c>
      <c r="M129" s="905"/>
      <c r="N129" s="815">
        <f t="shared" si="33"/>
        <v>1716.0628100858485</v>
      </c>
      <c r="O129" s="884">
        <f t="shared" si="28"/>
        <v>-440845.52597635391</v>
      </c>
      <c r="P129" s="891">
        <f t="shared" si="30"/>
        <v>-294182.19601471687</v>
      </c>
      <c r="Q129" s="892">
        <f t="shared" si="31"/>
        <v>294182.19601471687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146663.32996163701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146663.32996163701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146663.32996163701</v>
      </c>
      <c r="Q130" s="892">
        <f t="shared" si="31"/>
        <v>0</v>
      </c>
      <c r="R130" s="893">
        <f t="shared" si="38"/>
        <v>146663.32996163701</v>
      </c>
      <c r="S130" s="894">
        <f t="shared" si="37"/>
        <v>-146663.32996163701</v>
      </c>
      <c r="T130" s="894">
        <f t="shared" si="27"/>
        <v>-855.53609144288259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146663.32996163701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146663.32996163701</v>
      </c>
      <c r="L131" s="890">
        <f t="shared" si="35"/>
        <v>0</v>
      </c>
      <c r="M131" s="905"/>
      <c r="N131" s="815">
        <f t="shared" si="33"/>
        <v>855.53609144288259</v>
      </c>
      <c r="O131" s="884">
        <f t="shared" si="28"/>
        <v>855.53609144288259</v>
      </c>
      <c r="P131" s="891">
        <f t="shared" si="30"/>
        <v>147518.8660530799</v>
      </c>
      <c r="Q131" s="892">
        <f t="shared" si="31"/>
        <v>146663.32996163701</v>
      </c>
      <c r="R131" s="893">
        <f t="shared" si="38"/>
        <v>294182.19601471687</v>
      </c>
      <c r="S131" s="894">
        <f t="shared" si="37"/>
        <v>-294182.19601471687</v>
      </c>
      <c r="T131" s="894">
        <f t="shared" si="27"/>
        <v>-1716.0628100858485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146663.32996163701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146663.32996163701</v>
      </c>
      <c r="L132" s="890">
        <f t="shared" si="35"/>
        <v>-442561.58878643974</v>
      </c>
      <c r="M132" s="905"/>
      <c r="N132" s="815">
        <f>T131*-1</f>
        <v>1716.0628100858485</v>
      </c>
      <c r="O132" s="884">
        <f t="shared" si="28"/>
        <v>-440845.52597635391</v>
      </c>
      <c r="P132" s="891">
        <f t="shared" si="30"/>
        <v>-294182.19601471687</v>
      </c>
      <c r="Q132" s="892">
        <f t="shared" si="31"/>
        <v>294182.19601471687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146663.32996163701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146663.32996163701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146663.32996163701</v>
      </c>
      <c r="Q133" s="892">
        <f t="shared" si="31"/>
        <v>0</v>
      </c>
      <c r="R133" s="893">
        <f t="shared" si="38"/>
        <v>146663.32996163701</v>
      </c>
      <c r="S133" s="894">
        <f t="shared" si="37"/>
        <v>-146663.32996163701</v>
      </c>
      <c r="T133" s="894">
        <f t="shared" si="27"/>
        <v>-855.53609144288259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146663.32996163701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146663.32996163701</v>
      </c>
      <c r="L134" s="890">
        <f t="shared" si="35"/>
        <v>0</v>
      </c>
      <c r="M134" s="905"/>
      <c r="N134" s="815">
        <f t="shared" si="33"/>
        <v>855.53609144288259</v>
      </c>
      <c r="O134" s="884">
        <f t="shared" si="28"/>
        <v>855.53609144288259</v>
      </c>
      <c r="P134" s="891">
        <f>K134+O134</f>
        <v>147518.8660530799</v>
      </c>
      <c r="Q134" s="892">
        <f t="shared" si="31"/>
        <v>146663.32996163701</v>
      </c>
      <c r="R134" s="893">
        <f t="shared" si="38"/>
        <v>294182.19601471687</v>
      </c>
      <c r="S134" s="894">
        <f t="shared" si="37"/>
        <v>-294182.19601471687</v>
      </c>
      <c r="T134" s="894">
        <f t="shared" si="27"/>
        <v>-1716.0628100858485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146663.32996163701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146663.32996163701</v>
      </c>
      <c r="L135" s="890">
        <f t="shared" ref="L135:L166" si="42">U58</f>
        <v>-442561.58878643974</v>
      </c>
      <c r="M135" s="905"/>
      <c r="N135" s="815">
        <f t="shared" si="33"/>
        <v>1716.0628100858485</v>
      </c>
      <c r="O135" s="884">
        <f t="shared" si="28"/>
        <v>-440845.52597635391</v>
      </c>
      <c r="P135" s="891">
        <f>K135+O135</f>
        <v>-294182.19601471687</v>
      </c>
      <c r="Q135" s="892">
        <f t="shared" si="31"/>
        <v>294182.19601471687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146663.32996163701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146663.32996163701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146663.32996163701</v>
      </c>
      <c r="Q136" s="892">
        <f t="shared" si="31"/>
        <v>0</v>
      </c>
      <c r="R136" s="893">
        <f t="shared" si="38"/>
        <v>146663.32996163701</v>
      </c>
      <c r="S136" s="894">
        <f t="shared" si="37"/>
        <v>-146663.32996163701</v>
      </c>
      <c r="T136" s="894">
        <f t="shared" si="27"/>
        <v>-855.53609144288259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146663.32996163701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146663.32996163701</v>
      </c>
      <c r="L137" s="890">
        <f t="shared" si="42"/>
        <v>0</v>
      </c>
      <c r="M137" s="905"/>
      <c r="N137" s="815">
        <f t="shared" si="33"/>
        <v>855.53609144288259</v>
      </c>
      <c r="O137" s="884">
        <f t="shared" si="28"/>
        <v>855.53609144288259</v>
      </c>
      <c r="P137" s="891">
        <f t="shared" si="30"/>
        <v>147518.8660530799</v>
      </c>
      <c r="Q137" s="892">
        <f t="shared" si="31"/>
        <v>146663.32996163701</v>
      </c>
      <c r="R137" s="893">
        <f t="shared" si="38"/>
        <v>294182.19601471687</v>
      </c>
      <c r="S137" s="894">
        <f>IF(B137&lt;=$J$7+1,$R137*-1,0)</f>
        <v>-294182.19601471687</v>
      </c>
      <c r="T137" s="894">
        <f t="shared" si="27"/>
        <v>-1716.0628100858485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146663.32996163701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146663.32996163701</v>
      </c>
      <c r="L138" s="890">
        <f t="shared" si="42"/>
        <v>-442561.58878643974</v>
      </c>
      <c r="M138" s="905"/>
      <c r="N138" s="815">
        <f>T137*-1</f>
        <v>1716.0628100858485</v>
      </c>
      <c r="O138" s="884">
        <f t="shared" si="28"/>
        <v>-440845.52597635391</v>
      </c>
      <c r="P138" s="891">
        <f>K138+O138</f>
        <v>-294182.19601471687</v>
      </c>
      <c r="Q138" s="892">
        <f t="shared" si="31"/>
        <v>294182.19601471687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0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0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0</v>
      </c>
      <c r="Q139" s="892">
        <f t="shared" si="31"/>
        <v>0</v>
      </c>
      <c r="R139" s="893">
        <f t="shared" si="38"/>
        <v>0</v>
      </c>
      <c r="S139" s="894">
        <f t="shared" si="37"/>
        <v>0</v>
      </c>
      <c r="T139" s="894">
        <f t="shared" si="27"/>
        <v>0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0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0</v>
      </c>
      <c r="L140" s="890">
        <f t="shared" si="42"/>
        <v>0</v>
      </c>
      <c r="M140" s="905"/>
      <c r="N140" s="815">
        <f t="shared" si="33"/>
        <v>0</v>
      </c>
      <c r="O140" s="884">
        <f t="shared" si="28"/>
        <v>0</v>
      </c>
      <c r="P140" s="891">
        <f t="shared" si="30"/>
        <v>0</v>
      </c>
      <c r="Q140" s="892">
        <f>R139</f>
        <v>0</v>
      </c>
      <c r="R140" s="893">
        <f t="shared" si="38"/>
        <v>0</v>
      </c>
      <c r="S140" s="894">
        <f t="shared" si="37"/>
        <v>0</v>
      </c>
      <c r="T140" s="894">
        <f t="shared" ref="T140:T167" si="43">$S140*$G$14*1/12</f>
        <v>0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0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0</v>
      </c>
      <c r="L141" s="890">
        <f t="shared" si="42"/>
        <v>0</v>
      </c>
      <c r="M141" s="905"/>
      <c r="N141" s="815">
        <f t="shared" si="33"/>
        <v>0</v>
      </c>
      <c r="O141" s="884">
        <f t="shared" si="28"/>
        <v>0</v>
      </c>
      <c r="P141" s="891">
        <f t="shared" si="30"/>
        <v>0</v>
      </c>
      <c r="Q141" s="892">
        <f t="shared" si="31"/>
        <v>0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0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0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0</v>
      </c>
      <c r="Q142" s="892">
        <f t="shared" si="31"/>
        <v>0</v>
      </c>
      <c r="R142" s="893">
        <f t="shared" si="38"/>
        <v>0</v>
      </c>
      <c r="S142" s="894">
        <f t="shared" si="37"/>
        <v>0</v>
      </c>
      <c r="T142" s="894">
        <f t="shared" si="43"/>
        <v>0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0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0</v>
      </c>
      <c r="L143" s="890">
        <f t="shared" si="42"/>
        <v>0</v>
      </c>
      <c r="M143" s="905"/>
      <c r="N143" s="815">
        <f t="shared" si="33"/>
        <v>0</v>
      </c>
      <c r="O143" s="884">
        <f t="shared" si="28"/>
        <v>0</v>
      </c>
      <c r="P143" s="891">
        <f t="shared" si="30"/>
        <v>0</v>
      </c>
      <c r="Q143" s="892">
        <f t="shared" si="31"/>
        <v>0</v>
      </c>
      <c r="R143" s="893">
        <f>P143+Q143</f>
        <v>0</v>
      </c>
      <c r="S143" s="894">
        <f t="shared" si="37"/>
        <v>0</v>
      </c>
      <c r="T143" s="894">
        <f t="shared" si="43"/>
        <v>0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0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0</v>
      </c>
      <c r="L144" s="890">
        <f t="shared" si="42"/>
        <v>0</v>
      </c>
      <c r="M144" s="905"/>
      <c r="N144" s="815">
        <f t="shared" si="33"/>
        <v>0</v>
      </c>
      <c r="O144" s="884">
        <f t="shared" si="28"/>
        <v>0</v>
      </c>
      <c r="P144" s="891">
        <f t="shared" si="30"/>
        <v>0</v>
      </c>
      <c r="Q144" s="892">
        <f>R143</f>
        <v>0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0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0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0</v>
      </c>
      <c r="Q145" s="892">
        <f t="shared" si="31"/>
        <v>0</v>
      </c>
      <c r="R145" s="893">
        <f t="shared" si="38"/>
        <v>0</v>
      </c>
      <c r="S145" s="894">
        <f t="shared" si="37"/>
        <v>0</v>
      </c>
      <c r="T145" s="894">
        <f t="shared" si="43"/>
        <v>0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0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0</v>
      </c>
      <c r="L146" s="890">
        <f t="shared" si="42"/>
        <v>0</v>
      </c>
      <c r="M146" s="905"/>
      <c r="N146" s="815">
        <f t="shared" si="33"/>
        <v>0</v>
      </c>
      <c r="O146" s="884">
        <f t="shared" si="28"/>
        <v>0</v>
      </c>
      <c r="P146" s="891">
        <f t="shared" si="30"/>
        <v>0</v>
      </c>
      <c r="Q146" s="892">
        <f t="shared" si="31"/>
        <v>0</v>
      </c>
      <c r="R146" s="893">
        <f t="shared" si="38"/>
        <v>0</v>
      </c>
      <c r="S146" s="894">
        <f t="shared" si="37"/>
        <v>0</v>
      </c>
      <c r="T146" s="894">
        <f t="shared" si="43"/>
        <v>0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0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0</v>
      </c>
      <c r="L147" s="890">
        <f t="shared" si="42"/>
        <v>0</v>
      </c>
      <c r="M147" s="905"/>
      <c r="N147" s="815">
        <f t="shared" si="33"/>
        <v>0</v>
      </c>
      <c r="O147" s="884">
        <f t="shared" si="28"/>
        <v>0</v>
      </c>
      <c r="P147" s="891">
        <f t="shared" si="30"/>
        <v>0</v>
      </c>
      <c r="Q147" s="892">
        <f t="shared" si="31"/>
        <v>0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0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0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0</v>
      </c>
      <c r="Q148" s="892">
        <f t="shared" si="31"/>
        <v>0</v>
      </c>
      <c r="R148" s="893">
        <f t="shared" si="38"/>
        <v>0</v>
      </c>
      <c r="S148" s="894">
        <f t="shared" si="37"/>
        <v>0</v>
      </c>
      <c r="T148" s="894">
        <f t="shared" si="43"/>
        <v>0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0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0</v>
      </c>
      <c r="L149" s="890">
        <f t="shared" si="42"/>
        <v>0</v>
      </c>
      <c r="M149" s="905"/>
      <c r="N149" s="815">
        <f t="shared" si="33"/>
        <v>0</v>
      </c>
      <c r="O149" s="884">
        <f t="shared" si="28"/>
        <v>0</v>
      </c>
      <c r="P149" s="891">
        <f t="shared" si="30"/>
        <v>0</v>
      </c>
      <c r="Q149" s="892">
        <f>R148</f>
        <v>0</v>
      </c>
      <c r="R149" s="893">
        <f t="shared" si="38"/>
        <v>0</v>
      </c>
      <c r="S149" s="894">
        <f t="shared" si="37"/>
        <v>0</v>
      </c>
      <c r="T149" s="894">
        <f t="shared" si="43"/>
        <v>0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0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0</v>
      </c>
      <c r="L150" s="890">
        <f t="shared" si="42"/>
        <v>0</v>
      </c>
      <c r="M150" s="905"/>
      <c r="N150" s="815">
        <f t="shared" si="33"/>
        <v>0</v>
      </c>
      <c r="O150" s="884">
        <f t="shared" si="28"/>
        <v>0</v>
      </c>
      <c r="P150" s="891">
        <f t="shared" si="30"/>
        <v>0</v>
      </c>
      <c r="Q150" s="892">
        <f t="shared" si="31"/>
        <v>0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-30859.186818345475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5279879.8786189323</v>
      </c>
      <c r="L168" s="848">
        <f t="shared" si="48"/>
        <v>-5310739.0654372787</v>
      </c>
      <c r="M168" s="907"/>
      <c r="N168" s="849">
        <f t="shared" si="48"/>
        <v>30859.18681834477</v>
      </c>
      <c r="O168" s="850">
        <f t="shared" si="48"/>
        <v>-5279879.8786189333</v>
      </c>
      <c r="P168" s="848">
        <f>SUM(P99:P167)</f>
        <v>0</v>
      </c>
      <c r="Q168" s="848">
        <f t="shared" ref="Q168:R168" si="50">SUM(Q99:Q167)</f>
        <v>5290146.3117162473</v>
      </c>
      <c r="R168" s="848">
        <f t="shared" si="50"/>
        <v>5290146.3117162473</v>
      </c>
      <c r="S168" s="851">
        <f>SUM(S99:S167)</f>
        <v>-5290146.3117162473</v>
      </c>
      <c r="T168" s="851">
        <f>SUM(T99:T167)</f>
        <v>-30859.18681834477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81A072-4304-40FE-94FF-E1C98F59B912}"/>
</file>

<file path=customXml/itemProps2.xml><?xml version="1.0" encoding="utf-8"?>
<ds:datastoreItem xmlns:ds="http://schemas.openxmlformats.org/officeDocument/2006/customXml" ds:itemID="{642B0763-0B76-4D30-9B54-A8A28ABAB81E}"/>
</file>

<file path=customXml/itemProps3.xml><?xml version="1.0" encoding="utf-8"?>
<ds:datastoreItem xmlns:ds="http://schemas.openxmlformats.org/officeDocument/2006/customXml" ds:itemID="{EFF26C71-5FCB-442F-B310-E0F1933190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Fadli Fatkhurrizki</cp:lastModifiedBy>
  <cp:lastPrinted>2019-03-14T03:11:33Z</cp:lastPrinted>
  <dcterms:created xsi:type="dcterms:W3CDTF">2017-02-08T11:14:38Z</dcterms:created>
  <dcterms:modified xsi:type="dcterms:W3CDTF">2019-04-08T03:46:33Z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