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08"/>
  <workbookPr defaultThemeVersion="124226"/>
  <xr:revisionPtr revIDLastSave="0" documentId="11_2670C7129E5F2717C11BB8D734615F83530B144D" xr6:coauthVersionLast="47" xr6:coauthVersionMax="47" xr10:uidLastSave="{00000000-0000-0000-0000-000000000000}"/>
  <bookViews>
    <workbookView xWindow="240" yWindow="675" windowWidth="19440" windowHeight="7335" xr2:uid="{00000000-000D-0000-FFFF-FFFF00000000}"/>
  </bookViews>
  <sheets>
    <sheet name="Input　seet" sheetId="11" r:id="rId1"/>
    <sheet name="Calculation" sheetId="1" r:id="rId2"/>
    <sheet name="OPL - VAT" sheetId="5" state="hidden" r:id="rId3"/>
    <sheet name="Grab" sheetId="4" state="hidden" r:id="rId4"/>
    <sheet name="Non Cash Flow Basis" sheetId="8" state="hidden" r:id="rId5"/>
    <sheet name="①Tidak termasuk VAT TAX" sheetId="7" r:id="rId6"/>
    <sheet name="Calculator" sheetId="6" state="hidden" r:id="rId7"/>
    <sheet name="③Termasuk VAT" sheetId="9" r:id="rId8"/>
    <sheet name="⑤Termasuk TAX" sheetId="10" r:id="rId9"/>
    <sheet name="Special RV" sheetId="12" r:id="rId10"/>
    <sheet name="Tarif (Avanza)" sheetId="13" r:id="rId11"/>
    <sheet name="Tarif (Xpander)" sheetId="14" r:id="rId12"/>
    <sheet name="Sheet5" sheetId="16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cout">[1]ACCOUNT!$A$1:$B$65536</definedName>
    <definedName name="HINSYU" localSheetId="7">#REF!</definedName>
    <definedName name="HINSYU" localSheetId="8">#REF!</definedName>
    <definedName name="HINSYU" localSheetId="10">#REF!</definedName>
    <definedName name="HINSYU">#REF!</definedName>
    <definedName name="_xlnm.Print_Area" localSheetId="5">'①Tidak termasuk VAT TAX'!$A$1:$AR$92</definedName>
    <definedName name="_xlnm.Print_Area" localSheetId="7">'③Termasuk VAT'!$A$1:$AQ$92</definedName>
    <definedName name="_xlnm.Print_Area" localSheetId="8">'⑤Termasuk TAX'!$A$1:$AQ$92</definedName>
    <definedName name="_xlnm.Print_Area" localSheetId="1">Calculation!#REF!</definedName>
    <definedName name="_xlnm.Print_Area" localSheetId="3">Grab!$B$2:$T$62</definedName>
    <definedName name="_xlnm.Print_Area" localSheetId="2">'OPL - VAT'!$A$1:$AS$116</definedName>
    <definedName name="RECOM">[1]DEFINITION!$B$3</definedName>
    <definedName name="その他資産_計画値入力" localSheetId="7">[2]その他資産入力!#REF!</definedName>
    <definedName name="その他資産_計画値入力" localSheetId="8">[2]その他資産入力!#REF!</definedName>
    <definedName name="その他資産_計画値入力" localSheetId="10">[2]その他資産入力!#REF!</definedName>
    <definedName name="その他資産_計画値入力">[2]その他資産入力!#REF!</definedName>
    <definedName name="のれん" localSheetId="7">#REF!</definedName>
    <definedName name="のれん" localSheetId="8">#REF!</definedName>
    <definedName name="のれん" localSheetId="10">#REF!</definedName>
    <definedName name="のれん">#REF!</definedName>
    <definedName name="ラダー検収済みクリア">[2]既存ラダーデータ_検収済み!$G$5:$BN$155,[2]既存ラダーデータ_検収済み!$G$159:$BN$206</definedName>
    <definedName name="不動産検収実績率Start" localSheetId="7">[3]不動産計画入力!#REF!</definedName>
    <definedName name="不動産検収実績率Start" localSheetId="8">[3]不動産計画入力!#REF!</definedName>
    <definedName name="不動産検収実績率Start" localSheetId="10">[3]不動産計画入力!#REF!</definedName>
    <definedName name="不動産検収実績率Start">[3]不動産計画入力!#REF!</definedName>
    <definedName name="借入金CF" localSheetId="7">#REF!</definedName>
    <definedName name="借入金CF" localSheetId="8">#REF!</definedName>
    <definedName name="借入金CF" localSheetId="10">#REF!</definedName>
    <definedName name="借入金CF">#REF!</definedName>
    <definedName name="借入金ヘッダ" localSheetId="7">#REF!</definedName>
    <definedName name="借入金ヘッダ" localSheetId="8">#REF!</definedName>
    <definedName name="借入金ヘッダ" localSheetId="10">#REF!</definedName>
    <definedName name="借入金ヘッダ">#REF!</definedName>
    <definedName name="再リース展開_満了計画_会計" localSheetId="7">[4]再リース_展開!#REF!</definedName>
    <definedName name="再リース展開_満了計画_会計" localSheetId="8">[4]再リース_展開!#REF!</definedName>
    <definedName name="再リース展開_満了計画_会計" localSheetId="10">[4]再リース_展開!#REF!</definedName>
    <definedName name="再リース展開_満了計画_会計">[4]再リース_展開!#REF!</definedName>
    <definedName name="再リース展開_満了計画_見込" localSheetId="7">[4]再リース_展開!#REF!</definedName>
    <definedName name="再リース展開_満了計画_見込" localSheetId="8">[4]再リース_展開!#REF!</definedName>
    <definedName name="再リース展開_満了計画_見込" localSheetId="10">[4]再リース_展開!#REF!</definedName>
    <definedName name="再リース展開_満了計画_見込">[4]再リース_展開!#REF!</definedName>
    <definedName name="出力ALM_運用シナリオ_ファイル" localSheetId="7">[2]ユーザー定義!#REF!</definedName>
    <definedName name="出力ALM_運用シナリオ_ファイル" localSheetId="8">[2]ユーザー定義!#REF!</definedName>
    <definedName name="出力ALM_運用シナリオ_ファイル" localSheetId="10">[2]ユーザー定義!#REF!</definedName>
    <definedName name="出力ALM_運用シナリオ_ファイル">[2]ユーザー定義!#REF!</definedName>
    <definedName name="出力ALM_金利シナリオ_ファイル" localSheetId="7">[2]ユーザー定義!#REF!</definedName>
    <definedName name="出力ALM_金利シナリオ_ファイル" localSheetId="8">[2]ユーザー定義!#REF!</definedName>
    <definedName name="出力ALM_金利シナリオ_ファイル" localSheetId="10">[2]ユーザー定義!#REF!</definedName>
    <definedName name="出力ALM_金利シナリオ_ファイル">[2]ユーザー定義!#REF!</definedName>
    <definedName name="剰余金_基準月更新">[5]その他負債・資本金入力!$F$33</definedName>
    <definedName name="半期CLEAR">[6]半期集約結果!$F$5:$O$321,[6]半期集約結果!$BT$5:$CA$102,[6]半期集約結果!$EG$5:$FV$97</definedName>
    <definedName name="四半期CLEAR">[6]四半期集約結果!$F$5:$Y$321,[6]四半期集約結果!$BT$5:$CM$102,[6]四半期集約結果!$EG$5:$EZ$97</definedName>
    <definedName name="年度CLEAR">[6]年度集約結果!$F$5:$J$321,[6]年度集約結果!$BT$5:$BX$102,[6]年度集約結果!$EG$5:$EK$97</definedName>
    <definedName name="新規取組金利_クリア">[2]新規取組金利!$D$5:$BL$24,[2]新規取組金利!$D$64:$BL$73,[2]新規取組金利!$D$78:$BL$78,[2]新規取組金利!$D$82:$BL$91,[2]新規取組金利!$D$95:$BL$103,[2]新規取組金利!$D$192:$BL$199,[2]新規取組金利!$D$214:$BL$216</definedName>
    <definedName name="新規社用資産_TEMP" localSheetId="7">[4]新規社用資産!#REF!</definedName>
    <definedName name="新規社用資産_TEMP" localSheetId="8">[4]新規社用資産!#REF!</definedName>
    <definedName name="新規社用資産_TEMP" localSheetId="10">[4]新規社用資産!#REF!</definedName>
    <definedName name="新規社用資産_TEMP">[4]新規社用資産!#REF!</definedName>
    <definedName name="新規運用計画_クリア">[2]新規取組運用!$C$3:$BJ$69,[2]新規取組運用!$C$71:$BJ$80,[2]新規取組運用!$C$83:$BJ$83,[2]新規取組運用!$C$97:$BJ$97,[2]新規取組運用!$C$111:$BJ$111,[2]新規取組運用!$C$125:$BJ$125,[2]新規取組運用!$C$153:$BJ$153,[2]新規取組運用!$C$181:$BJ$181,[2]新規取組運用!$C$139:$BJ$139,[2]新規取組運用!$C$167:$BJ$167,[2]新規取組運用!$C$202:$BJ$205</definedName>
    <definedName name="社用資産_新規" localSheetId="7">[4]新規社用資産!#REF!</definedName>
    <definedName name="社用資産_新規" localSheetId="8">[4]新規社用資産!#REF!</definedName>
    <definedName name="社用資産_新規" localSheetId="10">[4]新規社用資産!#REF!</definedName>
    <definedName name="社用資産_新規">[4]新規社用資産!#REF!</definedName>
    <definedName name="追加商品分運用スプレッド" localSheetId="7">[2]金利マトリックス!#REF!</definedName>
    <definedName name="追加商品分運用スプレッド" localSheetId="8">[2]金利マトリックス!#REF!</definedName>
    <definedName name="追加商品分運用スプレッド" localSheetId="10">[2]金利マトリックス!#REF!</definedName>
    <definedName name="追加商品分運用スプレッド">[2]金利マトリックス!#REF!</definedName>
  </definedNames>
  <calcPr calcId="144525"/>
</workbook>
</file>

<file path=xl/calcChain.xml><?xml version="1.0" encoding="utf-8"?>
<calcChain xmlns="http://schemas.openxmlformats.org/spreadsheetml/2006/main">
  <c r="O25" i="7" l="1"/>
  <c r="K25" i="7"/>
  <c r="G102" i="7"/>
  <c r="D38" i="1"/>
  <c r="D14" i="11"/>
  <c r="D12" i="11" l="1"/>
  <c r="D22" i="11" l="1"/>
  <c r="D24" i="11" l="1"/>
  <c r="D33" i="11" l="1"/>
  <c r="M11" i="7" l="1"/>
  <c r="E8" i="11" l="1"/>
  <c r="D20" i="11" l="1"/>
  <c r="D17" i="11"/>
  <c r="C73" i="1"/>
  <c r="C51" i="16"/>
  <c r="C52" i="16"/>
  <c r="C53" i="16"/>
  <c r="C54" i="16"/>
  <c r="C55" i="16"/>
  <c r="C56" i="16"/>
  <c r="C57" i="16"/>
  <c r="C58" i="16"/>
  <c r="C59" i="16"/>
  <c r="C60" i="16"/>
  <c r="C61" i="16"/>
  <c r="C62" i="16"/>
  <c r="B3" i="16"/>
  <c r="B4" i="16" s="1"/>
  <c r="B5" i="16" s="1"/>
  <c r="S43" i="14"/>
  <c r="R43" i="14"/>
  <c r="Q43" i="14"/>
  <c r="P43" i="14"/>
  <c r="O43" i="14"/>
  <c r="N43" i="14"/>
  <c r="M43" i="14"/>
  <c r="J43" i="14"/>
  <c r="S42" i="14"/>
  <c r="R42" i="14"/>
  <c r="Q42" i="14"/>
  <c r="P42" i="14"/>
  <c r="J42" i="14"/>
  <c r="S41" i="14"/>
  <c r="R41" i="14"/>
  <c r="Q41" i="14"/>
  <c r="P41" i="14"/>
  <c r="J41" i="14"/>
  <c r="S40" i="14"/>
  <c r="R40" i="14"/>
  <c r="Q40" i="14"/>
  <c r="P40" i="14"/>
  <c r="J40" i="14"/>
  <c r="S39" i="14"/>
  <c r="R39" i="14"/>
  <c r="Q39" i="14"/>
  <c r="P39" i="14"/>
  <c r="J39" i="14"/>
  <c r="E39" i="14"/>
  <c r="S38" i="14"/>
  <c r="R38" i="14"/>
  <c r="P38" i="14"/>
  <c r="M38" i="14"/>
  <c r="N38" i="14" s="1"/>
  <c r="O38" i="14" s="1"/>
  <c r="J38" i="14"/>
  <c r="S37" i="14"/>
  <c r="R37" i="14"/>
  <c r="P37" i="14"/>
  <c r="J37" i="14"/>
  <c r="S36" i="14"/>
  <c r="R36" i="14"/>
  <c r="P36" i="14"/>
  <c r="J36" i="14"/>
  <c r="S35" i="14"/>
  <c r="R35" i="14"/>
  <c r="P35" i="14"/>
  <c r="J35" i="14"/>
  <c r="S34" i="14"/>
  <c r="R34" i="14"/>
  <c r="Q34" i="14"/>
  <c r="Q38" i="14" s="1"/>
  <c r="P34" i="14"/>
  <c r="J34" i="14"/>
  <c r="E34" i="14"/>
  <c r="S33" i="14"/>
  <c r="Q33" i="14"/>
  <c r="P33" i="14"/>
  <c r="N33" i="14"/>
  <c r="O33" i="14" s="1"/>
  <c r="M33" i="14"/>
  <c r="J33" i="14"/>
  <c r="S32" i="14"/>
  <c r="Q32" i="14"/>
  <c r="P32" i="14"/>
  <c r="J32" i="14"/>
  <c r="S31" i="14"/>
  <c r="Q31" i="14"/>
  <c r="P31" i="14"/>
  <c r="J31" i="14"/>
  <c r="S30" i="14"/>
  <c r="Q30" i="14"/>
  <c r="P30" i="14"/>
  <c r="J30" i="14"/>
  <c r="S29" i="14"/>
  <c r="R29" i="14"/>
  <c r="R33" i="14" s="1"/>
  <c r="Q29" i="14"/>
  <c r="P29" i="14"/>
  <c r="J29" i="14"/>
  <c r="E29" i="14"/>
  <c r="S28" i="14"/>
  <c r="R28" i="14"/>
  <c r="Q28" i="14"/>
  <c r="P28" i="14"/>
  <c r="O28" i="14"/>
  <c r="N28" i="14"/>
  <c r="M28" i="14"/>
  <c r="J28" i="14"/>
  <c r="S27" i="14"/>
  <c r="R27" i="14"/>
  <c r="Q27" i="14"/>
  <c r="P27" i="14"/>
  <c r="J27" i="14"/>
  <c r="S26" i="14"/>
  <c r="R26" i="14"/>
  <c r="Q26" i="14"/>
  <c r="P26" i="14"/>
  <c r="J26" i="14"/>
  <c r="S25" i="14"/>
  <c r="R25" i="14"/>
  <c r="Q25" i="14"/>
  <c r="P25" i="14"/>
  <c r="J25" i="14"/>
  <c r="S24" i="14"/>
  <c r="R24" i="14"/>
  <c r="Q24" i="14"/>
  <c r="P24" i="14"/>
  <c r="J24" i="14"/>
  <c r="E24" i="14"/>
  <c r="S23" i="14"/>
  <c r="R23" i="14"/>
  <c r="Q23" i="14"/>
  <c r="P23" i="14"/>
  <c r="O23" i="14"/>
  <c r="N23" i="14"/>
  <c r="M23" i="14"/>
  <c r="J23" i="14"/>
  <c r="S22" i="14"/>
  <c r="R22" i="14"/>
  <c r="Q22" i="14"/>
  <c r="P22" i="14"/>
  <c r="J22" i="14"/>
  <c r="S21" i="14"/>
  <c r="R21" i="14"/>
  <c r="Q21" i="14"/>
  <c r="P21" i="14"/>
  <c r="J21" i="14"/>
  <c r="S20" i="14"/>
  <c r="R20" i="14"/>
  <c r="Q20" i="14"/>
  <c r="P20" i="14"/>
  <c r="J20" i="14"/>
  <c r="S19" i="14"/>
  <c r="R19" i="14"/>
  <c r="Q19" i="14"/>
  <c r="P19" i="14"/>
  <c r="J19" i="14"/>
  <c r="E19" i="14"/>
  <c r="S18" i="14"/>
  <c r="R18" i="14"/>
  <c r="P18" i="14"/>
  <c r="M18" i="14"/>
  <c r="N18" i="14" s="1"/>
  <c r="O18" i="14" s="1"/>
  <c r="J18" i="14"/>
  <c r="S17" i="14"/>
  <c r="R17" i="14"/>
  <c r="P17" i="14"/>
  <c r="J17" i="14"/>
  <c r="S16" i="14"/>
  <c r="R16" i="14"/>
  <c r="P16" i="14"/>
  <c r="J16" i="14"/>
  <c r="S15" i="14"/>
  <c r="R15" i="14"/>
  <c r="P15" i="14"/>
  <c r="J15" i="14"/>
  <c r="S14" i="14"/>
  <c r="R14" i="14"/>
  <c r="Q14" i="14"/>
  <c r="Q18" i="14" s="1"/>
  <c r="P14" i="14"/>
  <c r="J14" i="14"/>
  <c r="E14" i="14"/>
  <c r="S13" i="14"/>
  <c r="Q13" i="14"/>
  <c r="P13" i="14"/>
  <c r="N13" i="14"/>
  <c r="O13" i="14" s="1"/>
  <c r="M13" i="14"/>
  <c r="J13" i="14"/>
  <c r="S12" i="14"/>
  <c r="Q12" i="14"/>
  <c r="P12" i="14"/>
  <c r="J12" i="14"/>
  <c r="S11" i="14"/>
  <c r="Q11" i="14"/>
  <c r="P11" i="14"/>
  <c r="J11" i="14"/>
  <c r="S10" i="14"/>
  <c r="Q10" i="14"/>
  <c r="P10" i="14"/>
  <c r="J10" i="14"/>
  <c r="S9" i="14"/>
  <c r="R9" i="14"/>
  <c r="R13" i="14" s="1"/>
  <c r="Q9" i="14"/>
  <c r="P9" i="14"/>
  <c r="J9" i="14"/>
  <c r="E9" i="14"/>
  <c r="S8" i="14"/>
  <c r="R8" i="14"/>
  <c r="Q8" i="14"/>
  <c r="P8" i="14"/>
  <c r="O8" i="14"/>
  <c r="N8" i="14"/>
  <c r="M8" i="14"/>
  <c r="J8" i="14"/>
  <c r="S7" i="14"/>
  <c r="R7" i="14"/>
  <c r="Q7" i="14"/>
  <c r="P7" i="14"/>
  <c r="J7" i="14"/>
  <c r="S6" i="14"/>
  <c r="R6" i="14"/>
  <c r="Q6" i="14"/>
  <c r="P6" i="14"/>
  <c r="J6" i="14"/>
  <c r="S5" i="14"/>
  <c r="R5" i="14"/>
  <c r="Q5" i="14"/>
  <c r="P5" i="14"/>
  <c r="J5" i="14"/>
  <c r="S4" i="14"/>
  <c r="R4" i="14"/>
  <c r="Q4" i="14"/>
  <c r="P4" i="14"/>
  <c r="J4" i="14"/>
  <c r="E4" i="14"/>
  <c r="S28" i="13"/>
  <c r="R28" i="13"/>
  <c r="Q28" i="13"/>
  <c r="P28" i="13"/>
  <c r="N28" i="13"/>
  <c r="O28" i="13" s="1"/>
  <c r="M28" i="13"/>
  <c r="J28" i="13"/>
  <c r="S27" i="13"/>
  <c r="R27" i="13"/>
  <c r="Q27" i="13"/>
  <c r="P27" i="13"/>
  <c r="J27" i="13"/>
  <c r="S26" i="13"/>
  <c r="R26" i="13"/>
  <c r="Q26" i="13"/>
  <c r="P26" i="13"/>
  <c r="J26" i="13"/>
  <c r="S25" i="13"/>
  <c r="R25" i="13"/>
  <c r="Q25" i="13"/>
  <c r="P25" i="13"/>
  <c r="J25" i="13"/>
  <c r="S24" i="13"/>
  <c r="R24" i="13"/>
  <c r="Q24" i="13"/>
  <c r="P24" i="13"/>
  <c r="J24" i="13"/>
  <c r="E24" i="13"/>
  <c r="S23" i="13"/>
  <c r="R23" i="13"/>
  <c r="P23" i="13"/>
  <c r="M23" i="13"/>
  <c r="N23" i="13" s="1"/>
  <c r="O23" i="13" s="1"/>
  <c r="J23" i="13"/>
  <c r="S22" i="13"/>
  <c r="R22" i="13"/>
  <c r="P22" i="13"/>
  <c r="J22" i="13"/>
  <c r="S21" i="13"/>
  <c r="R21" i="13"/>
  <c r="P21" i="13"/>
  <c r="J21" i="13"/>
  <c r="S20" i="13"/>
  <c r="R20" i="13"/>
  <c r="P20" i="13"/>
  <c r="J20" i="13"/>
  <c r="S19" i="13"/>
  <c r="R19" i="13"/>
  <c r="Q19" i="13"/>
  <c r="Q21" i="13" s="1"/>
  <c r="P19" i="13"/>
  <c r="J19" i="13"/>
  <c r="E19" i="13"/>
  <c r="S18" i="13"/>
  <c r="Q18" i="13"/>
  <c r="P18" i="13"/>
  <c r="N18" i="13"/>
  <c r="O18" i="13" s="1"/>
  <c r="M18" i="13"/>
  <c r="J18" i="13"/>
  <c r="S17" i="13"/>
  <c r="Q17" i="13"/>
  <c r="P17" i="13"/>
  <c r="J17" i="13"/>
  <c r="S16" i="13"/>
  <c r="Q16" i="13"/>
  <c r="P16" i="13"/>
  <c r="J16" i="13"/>
  <c r="S15" i="13"/>
  <c r="Q15" i="13"/>
  <c r="P15" i="13"/>
  <c r="J15" i="13"/>
  <c r="S14" i="13"/>
  <c r="R14" i="13"/>
  <c r="R18" i="13" s="1"/>
  <c r="Q14" i="13"/>
  <c r="P14" i="13"/>
  <c r="J14" i="13"/>
  <c r="E14" i="13"/>
  <c r="S13" i="13"/>
  <c r="R13" i="13"/>
  <c r="Q13" i="13"/>
  <c r="P13" i="13"/>
  <c r="O13" i="13"/>
  <c r="N13" i="13"/>
  <c r="M13" i="13"/>
  <c r="J13" i="13"/>
  <c r="S12" i="13"/>
  <c r="R12" i="13"/>
  <c r="Q12" i="13"/>
  <c r="P12" i="13"/>
  <c r="J12" i="13"/>
  <c r="S11" i="13"/>
  <c r="R11" i="13"/>
  <c r="Q11" i="13"/>
  <c r="P11" i="13"/>
  <c r="J11" i="13"/>
  <c r="S10" i="13"/>
  <c r="R10" i="13"/>
  <c r="Q10" i="13"/>
  <c r="P10" i="13"/>
  <c r="J10" i="13"/>
  <c r="S9" i="13"/>
  <c r="R9" i="13"/>
  <c r="Q9" i="13"/>
  <c r="P9" i="13"/>
  <c r="J9" i="13"/>
  <c r="E9" i="13"/>
  <c r="S8" i="13"/>
  <c r="R8" i="13"/>
  <c r="Q8" i="13"/>
  <c r="P8" i="13"/>
  <c r="O8" i="13"/>
  <c r="N8" i="13"/>
  <c r="M8" i="13"/>
  <c r="J8" i="13"/>
  <c r="S7" i="13"/>
  <c r="R7" i="13"/>
  <c r="Q7" i="13"/>
  <c r="P7" i="13"/>
  <c r="J7" i="13"/>
  <c r="S6" i="13"/>
  <c r="R6" i="13"/>
  <c r="Q6" i="13"/>
  <c r="P6" i="13"/>
  <c r="J6" i="13"/>
  <c r="S5" i="13"/>
  <c r="R5" i="13"/>
  <c r="Q5" i="13"/>
  <c r="P5" i="13"/>
  <c r="J5" i="13"/>
  <c r="S4" i="13"/>
  <c r="R4" i="13"/>
  <c r="Q4" i="13"/>
  <c r="P4" i="13"/>
  <c r="J4" i="13"/>
  <c r="E4" i="13"/>
  <c r="P52" i="12"/>
  <c r="N52" i="12"/>
  <c r="P51" i="12"/>
  <c r="N51" i="12"/>
  <c r="P50" i="12"/>
  <c r="N50" i="12"/>
  <c r="P49" i="12"/>
  <c r="N49" i="12"/>
  <c r="E38" i="12"/>
  <c r="D37" i="12"/>
  <c r="D33" i="12"/>
  <c r="G27" i="12"/>
  <c r="D40" i="12" s="1"/>
  <c r="F27" i="12"/>
  <c r="G26" i="12"/>
  <c r="D39" i="12" s="1"/>
  <c r="F26" i="12"/>
  <c r="G25" i="12"/>
  <c r="D38" i="12" s="1"/>
  <c r="D55" i="12" s="1"/>
  <c r="F25" i="12"/>
  <c r="G24" i="12"/>
  <c r="F24" i="12"/>
  <c r="G23" i="12"/>
  <c r="D36" i="12" s="1"/>
  <c r="F23" i="12"/>
  <c r="G22" i="12"/>
  <c r="D35" i="12" s="1"/>
  <c r="F22" i="12"/>
  <c r="G21" i="12"/>
  <c r="D34" i="12" s="1"/>
  <c r="M9" i="13" s="1"/>
  <c r="F21" i="12"/>
  <c r="G20" i="12"/>
  <c r="F20" i="12"/>
  <c r="G19" i="12"/>
  <c r="D32" i="12" s="1"/>
  <c r="F19" i="12"/>
  <c r="P14" i="12"/>
  <c r="N14" i="12"/>
  <c r="L14" i="12"/>
  <c r="J14" i="12"/>
  <c r="H14" i="12"/>
  <c r="F14" i="12"/>
  <c r="P13" i="12"/>
  <c r="N13" i="12"/>
  <c r="L13" i="12"/>
  <c r="J13" i="12"/>
  <c r="H13" i="12"/>
  <c r="F13" i="12"/>
  <c r="P12" i="12"/>
  <c r="N12" i="12"/>
  <c r="L12" i="12"/>
  <c r="J12" i="12"/>
  <c r="H12" i="12"/>
  <c r="F12" i="12"/>
  <c r="P11" i="12"/>
  <c r="N11" i="12"/>
  <c r="L11" i="12"/>
  <c r="J11" i="12"/>
  <c r="H11" i="12"/>
  <c r="F11" i="12"/>
  <c r="P10" i="12"/>
  <c r="N10" i="12"/>
  <c r="L10" i="12"/>
  <c r="J10" i="12"/>
  <c r="H10" i="12"/>
  <c r="F10" i="12"/>
  <c r="P9" i="12"/>
  <c r="N9" i="12"/>
  <c r="L9" i="12"/>
  <c r="J9" i="12"/>
  <c r="H9" i="12"/>
  <c r="F9" i="12"/>
  <c r="P8" i="12"/>
  <c r="N8" i="12"/>
  <c r="L8" i="12"/>
  <c r="J8" i="12"/>
  <c r="H8" i="12"/>
  <c r="F8" i="12"/>
  <c r="P7" i="12"/>
  <c r="N7" i="12"/>
  <c r="L7" i="12"/>
  <c r="J7" i="12"/>
  <c r="H7" i="12"/>
  <c r="F7" i="12"/>
  <c r="P6" i="12"/>
  <c r="N6" i="12"/>
  <c r="L6" i="12"/>
  <c r="J6" i="12"/>
  <c r="H6" i="12"/>
  <c r="F6" i="12"/>
  <c r="D25" i="11" l="1"/>
  <c r="B6" i="16"/>
  <c r="E55" i="12"/>
  <c r="F55" i="12" s="1"/>
  <c r="G38" i="12"/>
  <c r="F38" i="12"/>
  <c r="E32" i="12"/>
  <c r="M14" i="14"/>
  <c r="N9" i="13"/>
  <c r="O9" i="13" s="1"/>
  <c r="M19" i="13"/>
  <c r="N19" i="13" s="1"/>
  <c r="O19" i="13" s="1"/>
  <c r="M24" i="13"/>
  <c r="N24" i="13" s="1"/>
  <c r="O24" i="13" s="1"/>
  <c r="E36" i="12"/>
  <c r="D53" i="12"/>
  <c r="E40" i="12"/>
  <c r="D57" i="12"/>
  <c r="E34" i="12"/>
  <c r="D49" i="12"/>
  <c r="D51" i="12"/>
  <c r="D54" i="12"/>
  <c r="E37" i="12"/>
  <c r="E35" i="12"/>
  <c r="D52" i="12"/>
  <c r="M4" i="13"/>
  <c r="E39" i="12"/>
  <c r="D56" i="12"/>
  <c r="M4" i="14"/>
  <c r="D50" i="12"/>
  <c r="E33" i="12"/>
  <c r="R15" i="13"/>
  <c r="R16" i="13"/>
  <c r="Q22" i="13"/>
  <c r="Q23" i="13"/>
  <c r="R10" i="14"/>
  <c r="R11" i="14"/>
  <c r="R12" i="14"/>
  <c r="Q15" i="14"/>
  <c r="Q16" i="14"/>
  <c r="Q17" i="14"/>
  <c r="R30" i="14"/>
  <c r="R31" i="14"/>
  <c r="R32" i="14"/>
  <c r="Q35" i="14"/>
  <c r="Q36" i="14"/>
  <c r="Q37" i="14"/>
  <c r="R17" i="13"/>
  <c r="Q20" i="13"/>
  <c r="D19" i="1"/>
  <c r="B22" i="9"/>
  <c r="B23" i="9"/>
  <c r="B24" i="9"/>
  <c r="J23" i="9"/>
  <c r="J24" i="9"/>
  <c r="H23" i="9"/>
  <c r="H24" i="9"/>
  <c r="AK12" i="9"/>
  <c r="AK11" i="9"/>
  <c r="AL12" i="7"/>
  <c r="AL11" i="7"/>
  <c r="AL10" i="7"/>
  <c r="AK10" i="9" s="1"/>
  <c r="AE9" i="9"/>
  <c r="AE8" i="9"/>
  <c r="AE7" i="9"/>
  <c r="I23" i="7"/>
  <c r="I24" i="7"/>
  <c r="G23" i="7"/>
  <c r="G24" i="7"/>
  <c r="E23" i="7"/>
  <c r="E24" i="7"/>
  <c r="B7" i="16" l="1"/>
  <c r="M14" i="13"/>
  <c r="N14" i="13" s="1"/>
  <c r="O14" i="13" s="1"/>
  <c r="N4" i="13"/>
  <c r="O4" i="13" s="1"/>
  <c r="F32" i="12"/>
  <c r="E49" i="12"/>
  <c r="F49" i="12" s="1"/>
  <c r="M15" i="14"/>
  <c r="G32" i="12"/>
  <c r="M9" i="14"/>
  <c r="N4" i="14"/>
  <c r="O4" i="14" s="1"/>
  <c r="E52" i="12"/>
  <c r="F52" i="12" s="1"/>
  <c r="M5" i="13"/>
  <c r="G35" i="12"/>
  <c r="F35" i="12"/>
  <c r="H38" i="12"/>
  <c r="G55" i="12"/>
  <c r="H55" i="12" s="1"/>
  <c r="I38" i="12"/>
  <c r="F40" i="12"/>
  <c r="E57" i="12"/>
  <c r="F57" i="12" s="1"/>
  <c r="G40" i="12"/>
  <c r="E50" i="12"/>
  <c r="F50" i="12" s="1"/>
  <c r="G33" i="12"/>
  <c r="M5" i="14"/>
  <c r="F33" i="12"/>
  <c r="E56" i="12"/>
  <c r="F56" i="12" s="1"/>
  <c r="G39" i="12"/>
  <c r="F39" i="12"/>
  <c r="G37" i="12"/>
  <c r="F37" i="12"/>
  <c r="E54" i="12"/>
  <c r="F54" i="12" s="1"/>
  <c r="M10" i="13"/>
  <c r="G34" i="12"/>
  <c r="E51" i="12"/>
  <c r="F51" i="12" s="1"/>
  <c r="F34" i="12"/>
  <c r="F36" i="12"/>
  <c r="E53" i="12"/>
  <c r="F53" i="12" s="1"/>
  <c r="G36" i="12"/>
  <c r="M24" i="14"/>
  <c r="N14" i="14"/>
  <c r="O14" i="14" s="1"/>
  <c r="F23" i="9"/>
  <c r="F24" i="9"/>
  <c r="B8" i="16" l="1"/>
  <c r="G51" i="12"/>
  <c r="H51" i="12" s="1"/>
  <c r="H34" i="12"/>
  <c r="M11" i="13"/>
  <c r="I34" i="12"/>
  <c r="G57" i="12"/>
  <c r="H57" i="12" s="1"/>
  <c r="I40" i="12"/>
  <c r="H40" i="12"/>
  <c r="N24" i="14"/>
  <c r="O24" i="14" s="1"/>
  <c r="M34" i="14"/>
  <c r="I39" i="12"/>
  <c r="G56" i="12"/>
  <c r="H56" i="12" s="1"/>
  <c r="H39" i="12"/>
  <c r="M6" i="14"/>
  <c r="G50" i="12"/>
  <c r="H50" i="12" s="1"/>
  <c r="I33" i="12"/>
  <c r="H33" i="12"/>
  <c r="G53" i="12"/>
  <c r="H53" i="12" s="1"/>
  <c r="I36" i="12"/>
  <c r="H36" i="12"/>
  <c r="I55" i="12"/>
  <c r="J55" i="12" s="1"/>
  <c r="J38" i="12"/>
  <c r="I35" i="12"/>
  <c r="H35" i="12"/>
  <c r="M6" i="13"/>
  <c r="G52" i="12"/>
  <c r="H52" i="12" s="1"/>
  <c r="N9" i="14"/>
  <c r="O9" i="14" s="1"/>
  <c r="M19" i="14"/>
  <c r="M15" i="13"/>
  <c r="N15" i="13" s="1"/>
  <c r="O15" i="13" s="1"/>
  <c r="N5" i="13"/>
  <c r="O5" i="13" s="1"/>
  <c r="G54" i="12"/>
  <c r="H54" i="12" s="1"/>
  <c r="I37" i="12"/>
  <c r="H37" i="12"/>
  <c r="G49" i="12"/>
  <c r="H49" i="12" s="1"/>
  <c r="I32" i="12"/>
  <c r="H32" i="12"/>
  <c r="M16" i="14"/>
  <c r="N10" i="13"/>
  <c r="O10" i="13" s="1"/>
  <c r="M20" i="13"/>
  <c r="N20" i="13" s="1"/>
  <c r="O20" i="13" s="1"/>
  <c r="M25" i="13"/>
  <c r="N25" i="13" s="1"/>
  <c r="O25" i="13" s="1"/>
  <c r="M10" i="14"/>
  <c r="N5" i="14"/>
  <c r="O5" i="14" s="1"/>
  <c r="M25" i="14"/>
  <c r="N15" i="14"/>
  <c r="O15" i="14" s="1"/>
  <c r="B9" i="16" l="1"/>
  <c r="N25" i="14"/>
  <c r="O25" i="14" s="1"/>
  <c r="M35" i="14"/>
  <c r="J32" i="12"/>
  <c r="I49" i="12"/>
  <c r="M17" i="14"/>
  <c r="I52" i="12"/>
  <c r="M7" i="13"/>
  <c r="J35" i="12"/>
  <c r="I56" i="12"/>
  <c r="J56" i="12" s="1"/>
  <c r="J39" i="12"/>
  <c r="M20" i="14"/>
  <c r="N10" i="14"/>
  <c r="O10" i="14" s="1"/>
  <c r="M26" i="14"/>
  <c r="N16" i="14"/>
  <c r="O16" i="14" s="1"/>
  <c r="M16" i="13"/>
  <c r="N16" i="13" s="1"/>
  <c r="O16" i="13" s="1"/>
  <c r="N6" i="13"/>
  <c r="O6" i="13" s="1"/>
  <c r="M12" i="13"/>
  <c r="I51" i="12"/>
  <c r="J34" i="12"/>
  <c r="I54" i="12"/>
  <c r="J54" i="12" s="1"/>
  <c r="J37" i="12"/>
  <c r="M29" i="14"/>
  <c r="N29" i="14" s="1"/>
  <c r="O29" i="14" s="1"/>
  <c r="N19" i="14"/>
  <c r="O19" i="14" s="1"/>
  <c r="I50" i="12"/>
  <c r="M7" i="14"/>
  <c r="J33" i="12"/>
  <c r="N11" i="13"/>
  <c r="O11" i="13" s="1"/>
  <c r="M26" i="13"/>
  <c r="N26" i="13" s="1"/>
  <c r="O26" i="13" s="1"/>
  <c r="M21" i="13"/>
  <c r="N21" i="13" s="1"/>
  <c r="O21" i="13" s="1"/>
  <c r="J36" i="12"/>
  <c r="I53" i="12"/>
  <c r="J53" i="12" s="1"/>
  <c r="J40" i="12"/>
  <c r="I57" i="12"/>
  <c r="J57" i="12" s="1"/>
  <c r="M11" i="14"/>
  <c r="N6" i="14"/>
  <c r="O6" i="14" s="1"/>
  <c r="M39" i="14"/>
  <c r="N39" i="14" s="1"/>
  <c r="O39" i="14" s="1"/>
  <c r="N34" i="14"/>
  <c r="O34" i="14" s="1"/>
  <c r="P7" i="7"/>
  <c r="AG9" i="7" s="1"/>
  <c r="I22" i="7" s="1"/>
  <c r="P6" i="7"/>
  <c r="AG8" i="7" s="1"/>
  <c r="G22" i="7" s="1"/>
  <c r="P12" i="7"/>
  <c r="P11" i="7"/>
  <c r="M7" i="7"/>
  <c r="M9" i="7"/>
  <c r="AL7" i="7" s="1"/>
  <c r="AK7" i="9" s="1"/>
  <c r="F22" i="9" s="1"/>
  <c r="M6" i="7"/>
  <c r="D2" i="16"/>
  <c r="D23" i="11"/>
  <c r="M14" i="7"/>
  <c r="M8" i="7" l="1"/>
  <c r="P12" i="9"/>
  <c r="AL9" i="7"/>
  <c r="AK9" i="9" s="1"/>
  <c r="J22" i="9" s="1"/>
  <c r="P11" i="9"/>
  <c r="AL8" i="7"/>
  <c r="AK8" i="9" s="1"/>
  <c r="H22" i="9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B10" i="16"/>
  <c r="M21" i="14"/>
  <c r="N11" i="14"/>
  <c r="O11" i="14" s="1"/>
  <c r="L51" i="12"/>
  <c r="J51" i="12"/>
  <c r="J52" i="12"/>
  <c r="L52" i="12"/>
  <c r="M40" i="14"/>
  <c r="N40" i="14" s="1"/>
  <c r="O40" i="14" s="1"/>
  <c r="N35" i="14"/>
  <c r="O35" i="14" s="1"/>
  <c r="M12" i="14"/>
  <c r="N7" i="14"/>
  <c r="O7" i="14" s="1"/>
  <c r="N12" i="13"/>
  <c r="O12" i="13" s="1"/>
  <c r="M27" i="13"/>
  <c r="N27" i="13" s="1"/>
  <c r="O27" i="13" s="1"/>
  <c r="M22" i="13"/>
  <c r="N22" i="13" s="1"/>
  <c r="O22" i="13" s="1"/>
  <c r="N26" i="14"/>
  <c r="O26" i="14" s="1"/>
  <c r="M36" i="14"/>
  <c r="M27" i="14"/>
  <c r="N17" i="14"/>
  <c r="O17" i="14" s="1"/>
  <c r="L50" i="12"/>
  <c r="J50" i="12"/>
  <c r="L49" i="12"/>
  <c r="J49" i="12"/>
  <c r="M30" i="14"/>
  <c r="N30" i="14" s="1"/>
  <c r="O30" i="14" s="1"/>
  <c r="N20" i="14"/>
  <c r="O20" i="14" s="1"/>
  <c r="M17" i="13"/>
  <c r="N17" i="13" s="1"/>
  <c r="O17" i="13" s="1"/>
  <c r="N7" i="13"/>
  <c r="O7" i="13" s="1"/>
  <c r="D12" i="1"/>
  <c r="J25" i="9" l="1"/>
  <c r="H25" i="9"/>
  <c r="D3" i="16"/>
  <c r="B11" i="16"/>
  <c r="M22" i="14"/>
  <c r="N12" i="14"/>
  <c r="O12" i="14" s="1"/>
  <c r="M31" i="14"/>
  <c r="N31" i="14" s="1"/>
  <c r="O31" i="14" s="1"/>
  <c r="N21" i="14"/>
  <c r="O21" i="14" s="1"/>
  <c r="N27" i="14"/>
  <c r="O27" i="14" s="1"/>
  <c r="M37" i="14"/>
  <c r="M41" i="14"/>
  <c r="N41" i="14" s="1"/>
  <c r="O41" i="14" s="1"/>
  <c r="N36" i="14"/>
  <c r="O36" i="14" s="1"/>
  <c r="P8" i="7"/>
  <c r="D4" i="16" l="1"/>
  <c r="D5" i="16" s="1"/>
  <c r="D6" i="16" s="1"/>
  <c r="D7" i="16" s="1"/>
  <c r="D8" i="16" s="1"/>
  <c r="D9" i="16" s="1"/>
  <c r="D10" i="16" s="1"/>
  <c r="D11" i="16" s="1"/>
  <c r="B12" i="16"/>
  <c r="M42" i="14"/>
  <c r="N42" i="14" s="1"/>
  <c r="O42" i="14" s="1"/>
  <c r="N37" i="14"/>
  <c r="O37" i="14" s="1"/>
  <c r="M32" i="14"/>
  <c r="N32" i="14" s="1"/>
  <c r="O32" i="14" s="1"/>
  <c r="N22" i="14"/>
  <c r="O22" i="14" s="1"/>
  <c r="D13" i="1"/>
  <c r="B13" i="16" l="1"/>
  <c r="D12" i="16"/>
  <c r="C4" i="1"/>
  <c r="B14" i="16" l="1"/>
  <c r="D13" i="16"/>
  <c r="T11" i="7"/>
  <c r="C45" i="1"/>
  <c r="C37" i="1"/>
  <c r="AA10" i="7"/>
  <c r="AA9" i="7"/>
  <c r="AA8" i="7"/>
  <c r="D20" i="1"/>
  <c r="D14" i="1"/>
  <c r="D10" i="1"/>
  <c r="D11" i="1"/>
  <c r="D21" i="1"/>
  <c r="F59" i="1" l="1"/>
  <c r="H59" i="1"/>
  <c r="D14" i="16"/>
  <c r="B15" i="16"/>
  <c r="V22" i="7"/>
  <c r="AF22" i="7" s="1"/>
  <c r="V23" i="7"/>
  <c r="AF23" i="7" s="1"/>
  <c r="V24" i="7"/>
  <c r="AF24" i="7" s="1"/>
  <c r="D15" i="16" l="1"/>
  <c r="B16" i="16"/>
  <c r="M15" i="7"/>
  <c r="M2" i="7" s="1"/>
  <c r="B17" i="16" l="1"/>
  <c r="D16" i="16"/>
  <c r="D36" i="1"/>
  <c r="E62" i="16" s="1"/>
  <c r="I100" i="9"/>
  <c r="I101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99" i="9"/>
  <c r="G100" i="9"/>
  <c r="G101" i="9"/>
  <c r="G99" i="9"/>
  <c r="D163" i="9"/>
  <c r="B18" i="16" l="1"/>
  <c r="D17" i="16"/>
  <c r="D15" i="1"/>
  <c r="A11" i="1"/>
  <c r="A12" i="1" s="1"/>
  <c r="A13" i="1" s="1"/>
  <c r="A14" i="1" s="1"/>
  <c r="A15" i="1" s="1"/>
  <c r="A19" i="1" s="1"/>
  <c r="A20" i="1" s="1"/>
  <c r="A21" i="1" s="1"/>
  <c r="A27" i="1" s="1"/>
  <c r="D18" i="16" l="1"/>
  <c r="B19" i="16"/>
  <c r="E101" i="10"/>
  <c r="E102" i="10"/>
  <c r="E100" i="10"/>
  <c r="L101" i="10"/>
  <c r="L103" i="10"/>
  <c r="L104" i="10"/>
  <c r="L106" i="10"/>
  <c r="L107" i="10"/>
  <c r="L109" i="10"/>
  <c r="L110" i="10"/>
  <c r="L112" i="10"/>
  <c r="L113" i="10"/>
  <c r="L115" i="10"/>
  <c r="L116" i="10"/>
  <c r="L118" i="10"/>
  <c r="L119" i="10"/>
  <c r="L121" i="10"/>
  <c r="L122" i="10"/>
  <c r="L124" i="10"/>
  <c r="L125" i="10"/>
  <c r="L127" i="10"/>
  <c r="L128" i="10"/>
  <c r="L130" i="10"/>
  <c r="L131" i="10"/>
  <c r="L133" i="10"/>
  <c r="L134" i="10"/>
  <c r="L136" i="10"/>
  <c r="L137" i="10"/>
  <c r="L139" i="10"/>
  <c r="L140" i="10"/>
  <c r="L142" i="10"/>
  <c r="L143" i="10"/>
  <c r="L145" i="10"/>
  <c r="L146" i="10"/>
  <c r="L148" i="10"/>
  <c r="L149" i="10"/>
  <c r="L151" i="10"/>
  <c r="L152" i="10"/>
  <c r="L154" i="10"/>
  <c r="L155" i="10"/>
  <c r="L157" i="10"/>
  <c r="L158" i="10"/>
  <c r="L160" i="10"/>
  <c r="L161" i="10"/>
  <c r="L163" i="10"/>
  <c r="L164" i="10"/>
  <c r="L166" i="10"/>
  <c r="L167" i="10"/>
  <c r="L100" i="10"/>
  <c r="L99" i="10"/>
  <c r="O99" i="10" s="1"/>
  <c r="D19" i="16" l="1"/>
  <c r="B20" i="16"/>
  <c r="D168" i="10"/>
  <c r="E99" i="10"/>
  <c r="AC25" i="10"/>
  <c r="L102" i="10" s="1"/>
  <c r="AD24" i="10"/>
  <c r="AC24" i="10"/>
  <c r="AD23" i="10"/>
  <c r="AC23" i="10"/>
  <c r="AG23" i="10" s="1"/>
  <c r="AD22" i="10"/>
  <c r="AC22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2" i="10"/>
  <c r="B102" i="10"/>
  <c r="I101" i="10"/>
  <c r="G101" i="10"/>
  <c r="K101" i="10" s="1"/>
  <c r="I100" i="10"/>
  <c r="G100" i="10"/>
  <c r="K100" i="10" s="1"/>
  <c r="I99" i="10"/>
  <c r="G99" i="10"/>
  <c r="AA91" i="10"/>
  <c r="X91" i="10"/>
  <c r="AU29" i="10"/>
  <c r="AU28" i="10"/>
  <c r="D26" i="10"/>
  <c r="B26" i="10"/>
  <c r="B103" i="10" s="1"/>
  <c r="D25" i="10"/>
  <c r="C25" i="10"/>
  <c r="C26" i="10" s="1"/>
  <c r="D27" i="10" s="1"/>
  <c r="Z24" i="10"/>
  <c r="C24" i="10"/>
  <c r="C23" i="10" s="1"/>
  <c r="C22" i="10" s="1"/>
  <c r="Z23" i="10"/>
  <c r="Z22" i="10"/>
  <c r="B22" i="10"/>
  <c r="B23" i="10" s="1"/>
  <c r="B100" i="10" s="1"/>
  <c r="AH16" i="10"/>
  <c r="P14" i="10"/>
  <c r="P13" i="10"/>
  <c r="P12" i="10"/>
  <c r="T11" i="10"/>
  <c r="M11" i="10"/>
  <c r="T10" i="10"/>
  <c r="M10" i="10"/>
  <c r="T9" i="10"/>
  <c r="P9" i="10"/>
  <c r="J9" i="10"/>
  <c r="T8" i="10"/>
  <c r="P8" i="10"/>
  <c r="J8" i="10"/>
  <c r="G8" i="10"/>
  <c r="Z7" i="10"/>
  <c r="T7" i="10"/>
  <c r="P7" i="10"/>
  <c r="AF9" i="10" s="1"/>
  <c r="M7" i="10"/>
  <c r="P6" i="10"/>
  <c r="AF8" i="10" s="1"/>
  <c r="E167" i="9"/>
  <c r="AF86" i="9"/>
  <c r="Z7" i="9"/>
  <c r="T8" i="9"/>
  <c r="T9" i="9"/>
  <c r="T10" i="9"/>
  <c r="T11" i="9"/>
  <c r="T7" i="9"/>
  <c r="P7" i="9"/>
  <c r="P8" i="9"/>
  <c r="P9" i="9"/>
  <c r="P6" i="9"/>
  <c r="J8" i="9"/>
  <c r="J9" i="9"/>
  <c r="M7" i="9"/>
  <c r="M10" i="9"/>
  <c r="M11" i="9"/>
  <c r="B21" i="16" l="1"/>
  <c r="D20" i="16"/>
  <c r="AG24" i="10"/>
  <c r="AD25" i="10"/>
  <c r="Y91" i="10"/>
  <c r="I103" i="10"/>
  <c r="G104" i="10"/>
  <c r="Z91" i="10"/>
  <c r="G102" i="10"/>
  <c r="K102" i="10" s="1"/>
  <c r="G105" i="10"/>
  <c r="G103" i="10"/>
  <c r="B99" i="10"/>
  <c r="B24" i="10"/>
  <c r="B101" i="10" s="1"/>
  <c r="C27" i="10"/>
  <c r="AU30" i="10"/>
  <c r="D22" i="10"/>
  <c r="B27" i="10"/>
  <c r="K99" i="10"/>
  <c r="P99" i="10" s="1"/>
  <c r="R99" i="10" s="1"/>
  <c r="I168" i="10"/>
  <c r="B22" i="16" l="1"/>
  <c r="D21" i="16"/>
  <c r="Q100" i="10"/>
  <c r="S99" i="10"/>
  <c r="AU31" i="10"/>
  <c r="D28" i="10"/>
  <c r="C28" i="10"/>
  <c r="B104" i="10"/>
  <c r="B28" i="10"/>
  <c r="G106" i="10"/>
  <c r="E99" i="9"/>
  <c r="E100" i="9"/>
  <c r="E101" i="9"/>
  <c r="E102" i="9"/>
  <c r="D22" i="16" l="1"/>
  <c r="B23" i="16"/>
  <c r="B105" i="10"/>
  <c r="B29" i="10"/>
  <c r="C29" i="10"/>
  <c r="D29" i="10"/>
  <c r="AU32" i="10"/>
  <c r="G107" i="10"/>
  <c r="Z23" i="9"/>
  <c r="Z24" i="9"/>
  <c r="Z25" i="9"/>
  <c r="Z22" i="9"/>
  <c r="AU28" i="9"/>
  <c r="X91" i="9"/>
  <c r="T91" i="9"/>
  <c r="L25" i="9"/>
  <c r="L91" i="9" s="1"/>
  <c r="D25" i="9"/>
  <c r="C25" i="9"/>
  <c r="D26" i="9" s="1"/>
  <c r="AA91" i="9"/>
  <c r="AF9" i="9"/>
  <c r="AF8" i="9"/>
  <c r="G8" i="9"/>
  <c r="D43" i="1"/>
  <c r="D51" i="1"/>
  <c r="D23" i="16" l="1"/>
  <c r="B24" i="16"/>
  <c r="AU33" i="10"/>
  <c r="B106" i="10"/>
  <c r="B30" i="10"/>
  <c r="G108" i="10"/>
  <c r="D30" i="10"/>
  <c r="C30" i="10"/>
  <c r="K99" i="9"/>
  <c r="C24" i="9"/>
  <c r="C23" i="9" s="1"/>
  <c r="C22" i="9" s="1"/>
  <c r="C26" i="9"/>
  <c r="D22" i="9"/>
  <c r="J91" i="9"/>
  <c r="AU29" i="9"/>
  <c r="B25" i="16" l="1"/>
  <c r="D24" i="16"/>
  <c r="C31" i="10"/>
  <c r="D31" i="10"/>
  <c r="G109" i="10"/>
  <c r="AU34" i="10"/>
  <c r="B107" i="10"/>
  <c r="B31" i="10"/>
  <c r="C27" i="9"/>
  <c r="C28" i="9" s="1"/>
  <c r="D27" i="9"/>
  <c r="AU30" i="9"/>
  <c r="B26" i="16" l="1"/>
  <c r="D25" i="16"/>
  <c r="G110" i="10"/>
  <c r="AU35" i="10"/>
  <c r="D32" i="10"/>
  <c r="C32" i="10"/>
  <c r="B108" i="10"/>
  <c r="B32" i="10"/>
  <c r="D28" i="9"/>
  <c r="B26" i="9"/>
  <c r="B102" i="9"/>
  <c r="AU31" i="9"/>
  <c r="D29" i="9"/>
  <c r="C29" i="9"/>
  <c r="D26" i="16" l="1"/>
  <c r="B27" i="16"/>
  <c r="D33" i="10"/>
  <c r="C33" i="10"/>
  <c r="G111" i="10"/>
  <c r="B109" i="10"/>
  <c r="B33" i="10"/>
  <c r="AU36" i="10"/>
  <c r="D30" i="9"/>
  <c r="C30" i="9"/>
  <c r="AU32" i="9"/>
  <c r="R91" i="9"/>
  <c r="B103" i="9"/>
  <c r="B27" i="9"/>
  <c r="D27" i="16" l="1"/>
  <c r="B28" i="16"/>
  <c r="B110" i="10"/>
  <c r="B34" i="10"/>
  <c r="D34" i="10"/>
  <c r="C34" i="10"/>
  <c r="G112" i="10"/>
  <c r="AU37" i="10"/>
  <c r="D31" i="9"/>
  <c r="C31" i="9"/>
  <c r="B28" i="9"/>
  <c r="B104" i="9"/>
  <c r="AU33" i="9"/>
  <c r="B29" i="16" l="1"/>
  <c r="D28" i="16"/>
  <c r="G113" i="10"/>
  <c r="B111" i="10"/>
  <c r="B35" i="10"/>
  <c r="AU38" i="10"/>
  <c r="C35" i="10"/>
  <c r="D35" i="10"/>
  <c r="AU34" i="9"/>
  <c r="B105" i="9"/>
  <c r="B29" i="9"/>
  <c r="C32" i="9"/>
  <c r="D32" i="9"/>
  <c r="B30" i="16" l="1"/>
  <c r="D29" i="16"/>
  <c r="AU39" i="10"/>
  <c r="B112" i="10"/>
  <c r="B36" i="10"/>
  <c r="D36" i="10"/>
  <c r="C36" i="10"/>
  <c r="G114" i="10"/>
  <c r="D33" i="9"/>
  <c r="C33" i="9"/>
  <c r="B106" i="9"/>
  <c r="B30" i="9"/>
  <c r="AU35" i="9"/>
  <c r="D30" i="16" l="1"/>
  <c r="B31" i="16"/>
  <c r="C37" i="10"/>
  <c r="D37" i="10"/>
  <c r="B113" i="10"/>
  <c r="B37" i="10"/>
  <c r="G115" i="10"/>
  <c r="AU40" i="10"/>
  <c r="B31" i="9"/>
  <c r="B107" i="9"/>
  <c r="D34" i="9"/>
  <c r="C34" i="9"/>
  <c r="AU36" i="9"/>
  <c r="D31" i="16" l="1"/>
  <c r="B32" i="16"/>
  <c r="AU41" i="10"/>
  <c r="C38" i="10"/>
  <c r="D38" i="10"/>
  <c r="G116" i="10"/>
  <c r="B38" i="10"/>
  <c r="B114" i="10"/>
  <c r="B32" i="9"/>
  <c r="B108" i="9"/>
  <c r="AU37" i="9"/>
  <c r="D35" i="9"/>
  <c r="C35" i="9"/>
  <c r="B33" i="16" l="1"/>
  <c r="D32" i="16"/>
  <c r="B115" i="10"/>
  <c r="B39" i="10"/>
  <c r="D39" i="10"/>
  <c r="C39" i="10"/>
  <c r="G117" i="10"/>
  <c r="AU42" i="10"/>
  <c r="C36" i="9"/>
  <c r="D36" i="9"/>
  <c r="AU38" i="9"/>
  <c r="B109" i="9"/>
  <c r="B33" i="9"/>
  <c r="B34" i="16" l="1"/>
  <c r="D33" i="16"/>
  <c r="AU43" i="10"/>
  <c r="D40" i="10"/>
  <c r="C40" i="10"/>
  <c r="G118" i="10"/>
  <c r="B116" i="10"/>
  <c r="B40" i="10"/>
  <c r="B110" i="9"/>
  <c r="B34" i="9"/>
  <c r="AU39" i="9"/>
  <c r="C37" i="9"/>
  <c r="D37" i="9"/>
  <c r="D34" i="16" l="1"/>
  <c r="B35" i="16"/>
  <c r="B117" i="10"/>
  <c r="B41" i="10"/>
  <c r="G119" i="10"/>
  <c r="D41" i="10"/>
  <c r="C41" i="10"/>
  <c r="AU44" i="10"/>
  <c r="B35" i="9"/>
  <c r="B111" i="9"/>
  <c r="D38" i="9"/>
  <c r="C38" i="9"/>
  <c r="AU40" i="9"/>
  <c r="D35" i="16" l="1"/>
  <c r="B36" i="16"/>
  <c r="G120" i="10"/>
  <c r="C42" i="10"/>
  <c r="D42" i="10"/>
  <c r="B118" i="10"/>
  <c r="B42" i="10"/>
  <c r="AU45" i="10"/>
  <c r="D39" i="9"/>
  <c r="C39" i="9"/>
  <c r="AU41" i="9"/>
  <c r="B36" i="9"/>
  <c r="B112" i="9"/>
  <c r="B37" i="16" l="1"/>
  <c r="D36" i="16"/>
  <c r="D43" i="10"/>
  <c r="C43" i="10"/>
  <c r="AU46" i="10"/>
  <c r="G121" i="10"/>
  <c r="B43" i="10"/>
  <c r="B119" i="10"/>
  <c r="AU42" i="9"/>
  <c r="B37" i="9"/>
  <c r="B113" i="9"/>
  <c r="D40" i="9"/>
  <c r="C40" i="9"/>
  <c r="B38" i="16" l="1"/>
  <c r="D37" i="16"/>
  <c r="G122" i="10"/>
  <c r="D44" i="10"/>
  <c r="C44" i="10"/>
  <c r="B120" i="10"/>
  <c r="B44" i="10"/>
  <c r="AU47" i="10"/>
  <c r="C41" i="9"/>
  <c r="D41" i="9"/>
  <c r="AU43" i="9"/>
  <c r="B114" i="9"/>
  <c r="B38" i="9"/>
  <c r="D38" i="16" l="1"/>
  <c r="B39" i="16"/>
  <c r="AU48" i="10"/>
  <c r="B121" i="10"/>
  <c r="B45" i="10"/>
  <c r="D45" i="10"/>
  <c r="C45" i="10"/>
  <c r="G123" i="10"/>
  <c r="B115" i="9"/>
  <c r="B39" i="9"/>
  <c r="AU44" i="9"/>
  <c r="D42" i="9"/>
  <c r="C42" i="9"/>
  <c r="D39" i="16" l="1"/>
  <c r="B40" i="16"/>
  <c r="B122" i="10"/>
  <c r="B46" i="10"/>
  <c r="AU49" i="10"/>
  <c r="C46" i="10"/>
  <c r="D46" i="10"/>
  <c r="G124" i="10"/>
  <c r="B40" i="9"/>
  <c r="B116" i="9"/>
  <c r="AU45" i="9"/>
  <c r="D43" i="9"/>
  <c r="C43" i="9"/>
  <c r="B41" i="16" l="1"/>
  <c r="D40" i="16"/>
  <c r="G125" i="10"/>
  <c r="D47" i="10"/>
  <c r="C47" i="10"/>
  <c r="AU50" i="10"/>
  <c r="B123" i="10"/>
  <c r="B47" i="10"/>
  <c r="B41" i="9"/>
  <c r="B117" i="9"/>
  <c r="D44" i="9"/>
  <c r="C44" i="9"/>
  <c r="AU46" i="9"/>
  <c r="B42" i="16" l="1"/>
  <c r="D41" i="16"/>
  <c r="B124" i="10"/>
  <c r="B48" i="10"/>
  <c r="G126" i="10"/>
  <c r="AU51" i="10"/>
  <c r="D48" i="10"/>
  <c r="C48" i="10"/>
  <c r="AU47" i="9"/>
  <c r="B118" i="9"/>
  <c r="B42" i="9"/>
  <c r="C45" i="9"/>
  <c r="D45" i="9"/>
  <c r="D42" i="16" l="1"/>
  <c r="B43" i="16"/>
  <c r="D49" i="10"/>
  <c r="C49" i="10"/>
  <c r="AU52" i="10"/>
  <c r="B125" i="10"/>
  <c r="B49" i="10"/>
  <c r="G127" i="10"/>
  <c r="B119" i="9"/>
  <c r="B43" i="9"/>
  <c r="D46" i="9"/>
  <c r="C46" i="9"/>
  <c r="AU48" i="9"/>
  <c r="D43" i="16" l="1"/>
  <c r="B44" i="16"/>
  <c r="G128" i="10"/>
  <c r="B126" i="10"/>
  <c r="B50" i="10"/>
  <c r="AU53" i="10"/>
  <c r="C50" i="10"/>
  <c r="D50" i="10"/>
  <c r="D47" i="9"/>
  <c r="C47" i="9"/>
  <c r="AU49" i="9"/>
  <c r="B44" i="9"/>
  <c r="B120" i="9"/>
  <c r="B45" i="16" l="1"/>
  <c r="D44" i="16"/>
  <c r="G129" i="10"/>
  <c r="D51" i="10"/>
  <c r="C51" i="10"/>
  <c r="B127" i="10"/>
  <c r="B51" i="10"/>
  <c r="AU54" i="10"/>
  <c r="C48" i="9"/>
  <c r="D48" i="9"/>
  <c r="AU50" i="9"/>
  <c r="B45" i="9"/>
  <c r="B121" i="9"/>
  <c r="B46" i="16" l="1"/>
  <c r="D45" i="16"/>
  <c r="AU55" i="10"/>
  <c r="G130" i="10"/>
  <c r="B128" i="10"/>
  <c r="B52" i="10"/>
  <c r="D52" i="10"/>
  <c r="C52" i="10"/>
  <c r="AU51" i="9"/>
  <c r="B122" i="9"/>
  <c r="B46" i="9"/>
  <c r="C49" i="9"/>
  <c r="D49" i="9"/>
  <c r="D46" i="16" l="1"/>
  <c r="B47" i="16"/>
  <c r="AU56" i="10"/>
  <c r="B129" i="10"/>
  <c r="B53" i="10"/>
  <c r="D53" i="10"/>
  <c r="C53" i="10"/>
  <c r="G131" i="10"/>
  <c r="D50" i="9"/>
  <c r="C50" i="9"/>
  <c r="B47" i="9"/>
  <c r="B123" i="9"/>
  <c r="AU52" i="9"/>
  <c r="D47" i="16" l="1"/>
  <c r="B48" i="16"/>
  <c r="C54" i="10"/>
  <c r="D54" i="10"/>
  <c r="AU57" i="10"/>
  <c r="B130" i="10"/>
  <c r="B54" i="10"/>
  <c r="G132" i="10"/>
  <c r="B48" i="9"/>
  <c r="B124" i="9"/>
  <c r="D51" i="9"/>
  <c r="C51" i="9"/>
  <c r="AU53" i="9"/>
  <c r="B49" i="16" l="1"/>
  <c r="D48" i="16"/>
  <c r="B131" i="10"/>
  <c r="B55" i="10"/>
  <c r="AU58" i="10"/>
  <c r="G133" i="10"/>
  <c r="D55" i="10"/>
  <c r="C55" i="10"/>
  <c r="B49" i="9"/>
  <c r="B125" i="9"/>
  <c r="D52" i="9"/>
  <c r="C52" i="9"/>
  <c r="AU54" i="9"/>
  <c r="B50" i="16" l="1"/>
  <c r="D49" i="16"/>
  <c r="AU59" i="10"/>
  <c r="D56" i="10"/>
  <c r="C56" i="10"/>
  <c r="G134" i="10"/>
  <c r="B132" i="10"/>
  <c r="B56" i="10"/>
  <c r="B126" i="9"/>
  <c r="B50" i="9"/>
  <c r="C53" i="9"/>
  <c r="D53" i="9"/>
  <c r="AU55" i="9"/>
  <c r="D50" i="16" l="1"/>
  <c r="B51" i="16"/>
  <c r="D57" i="10"/>
  <c r="C57" i="10"/>
  <c r="G135" i="10"/>
  <c r="AU60" i="10"/>
  <c r="B133" i="10"/>
  <c r="B57" i="10"/>
  <c r="B127" i="9"/>
  <c r="B51" i="9"/>
  <c r="AU56" i="9"/>
  <c r="D54" i="9"/>
  <c r="C54" i="9"/>
  <c r="D51" i="16" l="1"/>
  <c r="B52" i="16"/>
  <c r="B134" i="10"/>
  <c r="B58" i="10"/>
  <c r="G136" i="10"/>
  <c r="AU61" i="10"/>
  <c r="C58" i="10"/>
  <c r="D58" i="10"/>
  <c r="B52" i="9"/>
  <c r="B128" i="9"/>
  <c r="D55" i="9"/>
  <c r="C55" i="9"/>
  <c r="AU57" i="9"/>
  <c r="B53" i="16" l="1"/>
  <c r="D52" i="16"/>
  <c r="B135" i="10"/>
  <c r="B59" i="10"/>
  <c r="D59" i="10"/>
  <c r="C59" i="10"/>
  <c r="G137" i="10"/>
  <c r="AU62" i="10"/>
  <c r="C56" i="9"/>
  <c r="D56" i="9"/>
  <c r="B129" i="9"/>
  <c r="B53" i="9"/>
  <c r="AU58" i="9"/>
  <c r="B54" i="16" l="1"/>
  <c r="D53" i="16"/>
  <c r="AU63" i="10"/>
  <c r="G138" i="10"/>
  <c r="B136" i="10"/>
  <c r="B60" i="10"/>
  <c r="D60" i="10"/>
  <c r="C60" i="10"/>
  <c r="AU59" i="9"/>
  <c r="B130" i="9"/>
  <c r="B54" i="9"/>
  <c r="C57" i="9"/>
  <c r="D57" i="9"/>
  <c r="D54" i="16" l="1"/>
  <c r="B55" i="16"/>
  <c r="G139" i="10"/>
  <c r="D61" i="10"/>
  <c r="C61" i="10"/>
  <c r="B137" i="10"/>
  <c r="B61" i="10"/>
  <c r="AU64" i="10"/>
  <c r="B131" i="9"/>
  <c r="B55" i="9"/>
  <c r="D58" i="9"/>
  <c r="C58" i="9"/>
  <c r="AU60" i="9"/>
  <c r="D55" i="16" l="1"/>
  <c r="B56" i="16"/>
  <c r="C62" i="10"/>
  <c r="D62" i="10"/>
  <c r="G140" i="10"/>
  <c r="AU65" i="10"/>
  <c r="B138" i="10"/>
  <c r="B62" i="10"/>
  <c r="AU61" i="9"/>
  <c r="D59" i="9"/>
  <c r="C59" i="9"/>
  <c r="B56" i="9"/>
  <c r="B132" i="9"/>
  <c r="B57" i="16" l="1"/>
  <c r="D56" i="16"/>
  <c r="AU66" i="10"/>
  <c r="G141" i="10"/>
  <c r="B139" i="10"/>
  <c r="B63" i="10"/>
  <c r="D63" i="10"/>
  <c r="C63" i="10"/>
  <c r="C60" i="9"/>
  <c r="D60" i="9"/>
  <c r="B57" i="9"/>
  <c r="B133" i="9"/>
  <c r="AU62" i="9"/>
  <c r="B58" i="16" l="1"/>
  <c r="D57" i="16"/>
  <c r="AU67" i="10"/>
  <c r="B140" i="10"/>
  <c r="B64" i="10"/>
  <c r="D64" i="10"/>
  <c r="C64" i="10"/>
  <c r="G142" i="10"/>
  <c r="B134" i="9"/>
  <c r="B58" i="9"/>
  <c r="C61" i="9"/>
  <c r="D61" i="9"/>
  <c r="AU63" i="9"/>
  <c r="D58" i="16" l="1"/>
  <c r="B59" i="16"/>
  <c r="D65" i="10"/>
  <c r="C65" i="10"/>
  <c r="G143" i="10"/>
  <c r="B141" i="10"/>
  <c r="B65" i="10"/>
  <c r="AU68" i="10"/>
  <c r="C62" i="9"/>
  <c r="D62" i="9"/>
  <c r="B59" i="9"/>
  <c r="B135" i="9"/>
  <c r="AU64" i="9"/>
  <c r="D59" i="16" l="1"/>
  <c r="B60" i="16"/>
  <c r="G144" i="10"/>
  <c r="C66" i="10"/>
  <c r="D66" i="10"/>
  <c r="AU69" i="10"/>
  <c r="B142" i="10"/>
  <c r="B66" i="10"/>
  <c r="AU65" i="9"/>
  <c r="D63" i="9"/>
  <c r="C63" i="9"/>
  <c r="B60" i="9"/>
  <c r="B136" i="9"/>
  <c r="B61" i="16" l="1"/>
  <c r="D60" i="16"/>
  <c r="G145" i="10"/>
  <c r="C67" i="10"/>
  <c r="D67" i="10"/>
  <c r="B143" i="10"/>
  <c r="B67" i="10"/>
  <c r="AU70" i="10"/>
  <c r="B61" i="9"/>
  <c r="B137" i="9"/>
  <c r="C64" i="9"/>
  <c r="D64" i="9"/>
  <c r="AU66" i="9"/>
  <c r="B62" i="16" l="1"/>
  <c r="D61" i="16"/>
  <c r="D62" i="16" s="1"/>
  <c r="G146" i="10"/>
  <c r="B144" i="10"/>
  <c r="B68" i="10"/>
  <c r="AU71" i="10"/>
  <c r="D68" i="10"/>
  <c r="C68" i="10"/>
  <c r="D65" i="9"/>
  <c r="C65" i="9"/>
  <c r="AU67" i="9"/>
  <c r="B62" i="9"/>
  <c r="B138" i="9"/>
  <c r="F62" i="16" l="1"/>
  <c r="H69" i="1"/>
  <c r="G69" i="1"/>
  <c r="G147" i="10"/>
  <c r="B69" i="10"/>
  <c r="B145" i="10"/>
  <c r="AU72" i="10"/>
  <c r="D69" i="10"/>
  <c r="C69" i="10"/>
  <c r="B139" i="9"/>
  <c r="B63" i="9"/>
  <c r="AU68" i="9"/>
  <c r="C66" i="9"/>
  <c r="D66" i="9"/>
  <c r="G66" i="1" l="1"/>
  <c r="H66" i="1" s="1"/>
  <c r="G67" i="1"/>
  <c r="H67" i="1" s="1"/>
  <c r="AU73" i="10"/>
  <c r="C70" i="10"/>
  <c r="D70" i="10"/>
  <c r="G148" i="10"/>
  <c r="B146" i="10"/>
  <c r="B70" i="10"/>
  <c r="AU69" i="9"/>
  <c r="D67" i="9"/>
  <c r="C67" i="9"/>
  <c r="B140" i="9"/>
  <c r="B64" i="9"/>
  <c r="AU74" i="10" l="1"/>
  <c r="B147" i="10"/>
  <c r="B71" i="10"/>
  <c r="D71" i="10"/>
  <c r="C71" i="10"/>
  <c r="G149" i="10"/>
  <c r="D68" i="9"/>
  <c r="C68" i="9"/>
  <c r="B65" i="9"/>
  <c r="B141" i="9"/>
  <c r="AU70" i="9"/>
  <c r="D72" i="10" l="1"/>
  <c r="C72" i="10"/>
  <c r="G150" i="10"/>
  <c r="AU75" i="10"/>
  <c r="B148" i="10"/>
  <c r="B72" i="10"/>
  <c r="B142" i="9"/>
  <c r="B66" i="9"/>
  <c r="AU71" i="9"/>
  <c r="D69" i="9"/>
  <c r="C69" i="9"/>
  <c r="AU76" i="10" l="1"/>
  <c r="B149" i="10"/>
  <c r="B73" i="10"/>
  <c r="D73" i="10"/>
  <c r="C73" i="10"/>
  <c r="G151" i="10"/>
  <c r="AU72" i="9"/>
  <c r="C70" i="9"/>
  <c r="D70" i="9"/>
  <c r="B143" i="9"/>
  <c r="B67" i="9"/>
  <c r="G152" i="10" l="1"/>
  <c r="C74" i="10"/>
  <c r="D74" i="10"/>
  <c r="B150" i="10"/>
  <c r="B74" i="10"/>
  <c r="AU77" i="10"/>
  <c r="B68" i="9"/>
  <c r="B144" i="9"/>
  <c r="AU73" i="9"/>
  <c r="C71" i="9"/>
  <c r="D71" i="9"/>
  <c r="D75" i="10" l="1"/>
  <c r="C75" i="10"/>
  <c r="G153" i="10"/>
  <c r="B151" i="10"/>
  <c r="B75" i="10"/>
  <c r="AU78" i="10"/>
  <c r="D72" i="9"/>
  <c r="C72" i="9"/>
  <c r="AU74" i="9"/>
  <c r="B69" i="9"/>
  <c r="B145" i="9"/>
  <c r="B152" i="10" l="1"/>
  <c r="B76" i="10"/>
  <c r="AU79" i="10"/>
  <c r="D76" i="10"/>
  <c r="C76" i="10"/>
  <c r="G154" i="10"/>
  <c r="B70" i="9"/>
  <c r="B146" i="9"/>
  <c r="AU75" i="9"/>
  <c r="D73" i="9"/>
  <c r="C73" i="9"/>
  <c r="G155" i="10" l="1"/>
  <c r="D77" i="10"/>
  <c r="C77" i="10"/>
  <c r="AU80" i="10"/>
  <c r="B153" i="10"/>
  <c r="B77" i="10"/>
  <c r="D74" i="9"/>
  <c r="C74" i="9"/>
  <c r="AU76" i="9"/>
  <c r="B71" i="9"/>
  <c r="B147" i="9"/>
  <c r="G156" i="10" l="1"/>
  <c r="B154" i="10"/>
  <c r="B78" i="10"/>
  <c r="C78" i="10"/>
  <c r="D78" i="10"/>
  <c r="AU81" i="10"/>
  <c r="B148" i="9"/>
  <c r="B72" i="9"/>
  <c r="C75" i="9"/>
  <c r="D75" i="9"/>
  <c r="AU77" i="9"/>
  <c r="B155" i="10" l="1"/>
  <c r="B79" i="10"/>
  <c r="G157" i="10"/>
  <c r="AU82" i="10"/>
  <c r="D79" i="10"/>
  <c r="C79" i="10"/>
  <c r="AU78" i="9"/>
  <c r="C76" i="9"/>
  <c r="D76" i="9"/>
  <c r="B149" i="9"/>
  <c r="B73" i="9"/>
  <c r="G158" i="10" l="1"/>
  <c r="AU83" i="10"/>
  <c r="B156" i="10"/>
  <c r="B80" i="10"/>
  <c r="D80" i="10"/>
  <c r="C80" i="10"/>
  <c r="C81" i="10" s="1"/>
  <c r="D77" i="9"/>
  <c r="C77" i="9"/>
  <c r="B150" i="9"/>
  <c r="B74" i="9"/>
  <c r="AU79" i="9"/>
  <c r="B157" i="10" l="1"/>
  <c r="B81" i="10"/>
  <c r="G159" i="10"/>
  <c r="D82" i="10"/>
  <c r="C82" i="10"/>
  <c r="AU84" i="10"/>
  <c r="AU80" i="9"/>
  <c r="B75" i="9"/>
  <c r="B151" i="9"/>
  <c r="D78" i="9"/>
  <c r="C78" i="9"/>
  <c r="B158" i="10" l="1"/>
  <c r="B82" i="10"/>
  <c r="G160" i="10"/>
  <c r="AU85" i="10"/>
  <c r="C83" i="10"/>
  <c r="D83" i="10"/>
  <c r="C79" i="9"/>
  <c r="D79" i="9"/>
  <c r="B76" i="9"/>
  <c r="B152" i="9"/>
  <c r="AU81" i="9"/>
  <c r="G161" i="10" l="1"/>
  <c r="B159" i="10"/>
  <c r="B83" i="10"/>
  <c r="AU86" i="10"/>
  <c r="D84" i="10"/>
  <c r="C84" i="10"/>
  <c r="D80" i="9"/>
  <c r="C80" i="9"/>
  <c r="AU82" i="9"/>
  <c r="B153" i="9"/>
  <c r="B77" i="9"/>
  <c r="D85" i="10" l="1"/>
  <c r="C85" i="10"/>
  <c r="AU87" i="10"/>
  <c r="G162" i="10"/>
  <c r="B160" i="10"/>
  <c r="B84" i="10"/>
  <c r="B78" i="9"/>
  <c r="B154" i="9"/>
  <c r="AU83" i="9"/>
  <c r="C81" i="9"/>
  <c r="D86" i="10" l="1"/>
  <c r="C86" i="10"/>
  <c r="AU88" i="10"/>
  <c r="B161" i="10"/>
  <c r="B85" i="10"/>
  <c r="AU84" i="9"/>
  <c r="C82" i="9"/>
  <c r="D82" i="9"/>
  <c r="B155" i="9"/>
  <c r="B79" i="9"/>
  <c r="AU89" i="10" l="1"/>
  <c r="B162" i="10"/>
  <c r="B86" i="10"/>
  <c r="D87" i="10"/>
  <c r="C87" i="10"/>
  <c r="G164" i="10"/>
  <c r="D83" i="9"/>
  <c r="C83" i="9"/>
  <c r="AU85" i="9"/>
  <c r="B156" i="9"/>
  <c r="B80" i="9"/>
  <c r="D88" i="10" l="1"/>
  <c r="C88" i="10"/>
  <c r="G165" i="10"/>
  <c r="B163" i="10"/>
  <c r="B87" i="10"/>
  <c r="AU90" i="10"/>
  <c r="B81" i="9"/>
  <c r="B157" i="9"/>
  <c r="C84" i="9"/>
  <c r="D84" i="9"/>
  <c r="AU86" i="9"/>
  <c r="G166" i="10" l="1"/>
  <c r="D89" i="10"/>
  <c r="C89" i="10"/>
  <c r="B164" i="10"/>
  <c r="B88" i="10"/>
  <c r="C85" i="9"/>
  <c r="D85" i="9"/>
  <c r="AU87" i="9"/>
  <c r="B82" i="9"/>
  <c r="B158" i="9"/>
  <c r="D90" i="10" l="1"/>
  <c r="C90" i="10"/>
  <c r="B165" i="10"/>
  <c r="B89" i="10"/>
  <c r="G167" i="10"/>
  <c r="W91" i="10"/>
  <c r="AU88" i="9"/>
  <c r="D86" i="9"/>
  <c r="C86" i="9"/>
  <c r="B83" i="9"/>
  <c r="B159" i="9"/>
  <c r="B166" i="10" l="1"/>
  <c r="B90" i="10"/>
  <c r="G168" i="10"/>
  <c r="AU89" i="9"/>
  <c r="B84" i="9"/>
  <c r="B160" i="9"/>
  <c r="C87" i="9"/>
  <c r="D87" i="9"/>
  <c r="B167" i="10" l="1"/>
  <c r="B161" i="9"/>
  <c r="B85" i="9"/>
  <c r="AU90" i="9"/>
  <c r="C88" i="9"/>
  <c r="D88" i="9"/>
  <c r="C89" i="9" l="1"/>
  <c r="D89" i="9"/>
  <c r="B162" i="9"/>
  <c r="B86" i="9"/>
  <c r="B87" i="9" l="1"/>
  <c r="B163" i="9"/>
  <c r="D90" i="9"/>
  <c r="C90" i="9"/>
  <c r="B88" i="9" l="1"/>
  <c r="B164" i="9"/>
  <c r="B89" i="9" l="1"/>
  <c r="B165" i="9"/>
  <c r="B166" i="9" l="1"/>
  <c r="B90" i="9"/>
  <c r="B167" i="9" l="1"/>
  <c r="AH16" i="9" l="1"/>
  <c r="C101" i="7" l="1"/>
  <c r="AA11" i="7" l="1"/>
  <c r="D37" i="1" s="1"/>
  <c r="C74" i="1" s="1"/>
  <c r="J10" i="7" l="1"/>
  <c r="J10" i="9" l="1"/>
  <c r="J10" i="10"/>
  <c r="G14" i="7"/>
  <c r="E5" i="8"/>
  <c r="I5" i="8" s="1"/>
  <c r="I3" i="8"/>
  <c r="E3" i="8"/>
  <c r="G14" i="10" l="1"/>
  <c r="G14" i="9"/>
  <c r="M14" i="10"/>
  <c r="M6" i="9"/>
  <c r="M6" i="10"/>
  <c r="M14" i="9"/>
  <c r="H4" i="8"/>
  <c r="H51" i="8" s="1"/>
  <c r="A12" i="8"/>
  <c r="G12" i="8" s="1"/>
  <c r="C11" i="8"/>
  <c r="J6" i="8"/>
  <c r="G6" i="8"/>
  <c r="K4" i="8"/>
  <c r="F3" i="8"/>
  <c r="L2" i="8"/>
  <c r="L4" i="8" s="1"/>
  <c r="D2" i="8"/>
  <c r="C2" i="8"/>
  <c r="C1" i="8" s="1"/>
  <c r="G10" i="9" l="1"/>
  <c r="G10" i="10"/>
  <c r="AG25" i="10"/>
  <c r="AH25" i="10" s="1"/>
  <c r="T99" i="10"/>
  <c r="N100" i="10" s="1"/>
  <c r="O100" i="10" s="1"/>
  <c r="P100" i="10" s="1"/>
  <c r="R100" i="10" s="1"/>
  <c r="B12" i="8"/>
  <c r="A13" i="8"/>
  <c r="C12" i="8"/>
  <c r="D12" i="8" s="1"/>
  <c r="Q101" i="10" l="1"/>
  <c r="S100" i="10"/>
  <c r="T100" i="10" s="1"/>
  <c r="N101" i="10" s="1"/>
  <c r="O101" i="10" s="1"/>
  <c r="P101" i="10" s="1"/>
  <c r="E12" i="8"/>
  <c r="F12" i="8" s="1"/>
  <c r="A14" i="8"/>
  <c r="C13" i="8"/>
  <c r="D13" i="8" s="1"/>
  <c r="B13" i="8"/>
  <c r="G13" i="8"/>
  <c r="R26" i="5"/>
  <c r="G13" i="7"/>
  <c r="G13" i="5"/>
  <c r="J7" i="7"/>
  <c r="J7" i="5"/>
  <c r="AB62" i="7" l="1"/>
  <c r="AB86" i="7"/>
  <c r="AB38" i="7"/>
  <c r="AB74" i="7"/>
  <c r="AB50" i="7"/>
  <c r="AB26" i="7"/>
  <c r="N49" i="7"/>
  <c r="M36" i="7"/>
  <c r="N25" i="7"/>
  <c r="V25" i="7" s="1"/>
  <c r="AF25" i="7" s="1"/>
  <c r="AH25" i="7" s="1"/>
  <c r="N73" i="7"/>
  <c r="N61" i="7"/>
  <c r="N37" i="7"/>
  <c r="N85" i="7"/>
  <c r="W25" i="7"/>
  <c r="AC25" i="7" s="1"/>
  <c r="W29" i="7"/>
  <c r="W33" i="7"/>
  <c r="W37" i="7"/>
  <c r="AC37" i="7" s="1"/>
  <c r="W41" i="7"/>
  <c r="W45" i="7"/>
  <c r="W49" i="7"/>
  <c r="AC49" i="7" s="1"/>
  <c r="W53" i="7"/>
  <c r="W57" i="7"/>
  <c r="W61" i="7"/>
  <c r="AC61" i="7" s="1"/>
  <c r="W65" i="7"/>
  <c r="W69" i="7"/>
  <c r="W73" i="7"/>
  <c r="AC73" i="7" s="1"/>
  <c r="W77" i="7"/>
  <c r="W81" i="7"/>
  <c r="W85" i="7"/>
  <c r="AC85" i="7" s="1"/>
  <c r="W90" i="7"/>
  <c r="W26" i="7"/>
  <c r="W30" i="7"/>
  <c r="W34" i="7"/>
  <c r="W38" i="7"/>
  <c r="W42" i="7"/>
  <c r="W46" i="7"/>
  <c r="W50" i="7"/>
  <c r="W54" i="7"/>
  <c r="W58" i="7"/>
  <c r="W62" i="7"/>
  <c r="W66" i="7"/>
  <c r="W70" i="7"/>
  <c r="W74" i="7"/>
  <c r="W78" i="7"/>
  <c r="W82" i="7"/>
  <c r="W87" i="7"/>
  <c r="W86" i="7"/>
  <c r="W27" i="7"/>
  <c r="W31" i="7"/>
  <c r="W35" i="7"/>
  <c r="W39" i="7"/>
  <c r="W43" i="7"/>
  <c r="W47" i="7"/>
  <c r="W51" i="7"/>
  <c r="W55" i="7"/>
  <c r="W59" i="7"/>
  <c r="W63" i="7"/>
  <c r="W67" i="7"/>
  <c r="W71" i="7"/>
  <c r="W75" i="7"/>
  <c r="W79" i="7"/>
  <c r="W83" i="7"/>
  <c r="W88" i="7"/>
  <c r="M84" i="7"/>
  <c r="W28" i="7"/>
  <c r="W32" i="7"/>
  <c r="W36" i="7"/>
  <c r="W40" i="7"/>
  <c r="W44" i="7"/>
  <c r="W48" i="7"/>
  <c r="W52" i="7"/>
  <c r="W56" i="7"/>
  <c r="W60" i="7"/>
  <c r="W64" i="7"/>
  <c r="W68" i="7"/>
  <c r="W72" i="7"/>
  <c r="W76" i="7"/>
  <c r="W80" i="7"/>
  <c r="W84" i="7"/>
  <c r="W89" i="7"/>
  <c r="T27" i="7"/>
  <c r="T26" i="7"/>
  <c r="P26" i="7"/>
  <c r="P27" i="7"/>
  <c r="J7" i="9"/>
  <c r="J7" i="10"/>
  <c r="G13" i="10"/>
  <c r="G15" i="10" s="1"/>
  <c r="G13" i="9"/>
  <c r="G15" i="9" s="1"/>
  <c r="R101" i="10"/>
  <c r="G15" i="7"/>
  <c r="E13" i="8"/>
  <c r="F13" i="8" s="1"/>
  <c r="C14" i="8"/>
  <c r="E14" i="8" s="1"/>
  <c r="A15" i="8"/>
  <c r="G14" i="8"/>
  <c r="B14" i="8"/>
  <c r="R27" i="5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E132" i="7" l="1"/>
  <c r="AC56" i="7"/>
  <c r="E151" i="7"/>
  <c r="AC75" i="7"/>
  <c r="E135" i="7"/>
  <c r="AC59" i="7"/>
  <c r="E119" i="7"/>
  <c r="AC43" i="7"/>
  <c r="E103" i="7"/>
  <c r="AC27" i="7"/>
  <c r="E154" i="7"/>
  <c r="AC78" i="7"/>
  <c r="E138" i="7"/>
  <c r="AC62" i="7"/>
  <c r="E122" i="7"/>
  <c r="AC46" i="7"/>
  <c r="E106" i="7"/>
  <c r="AC30" i="7"/>
  <c r="E157" i="7"/>
  <c r="AC81" i="7"/>
  <c r="E141" i="7"/>
  <c r="AC65" i="7"/>
  <c r="E109" i="7"/>
  <c r="AC33" i="7"/>
  <c r="E165" i="7"/>
  <c r="AC89" i="7"/>
  <c r="E116" i="7"/>
  <c r="AC40" i="7"/>
  <c r="E160" i="7"/>
  <c r="AC84" i="7"/>
  <c r="E144" i="7"/>
  <c r="AC68" i="7"/>
  <c r="E128" i="7"/>
  <c r="AC52" i="7"/>
  <c r="E112" i="7"/>
  <c r="AC36" i="7"/>
  <c r="E164" i="7"/>
  <c r="AC88" i="7"/>
  <c r="E147" i="7"/>
  <c r="AC71" i="7"/>
  <c r="E131" i="7"/>
  <c r="AC55" i="7"/>
  <c r="E115" i="7"/>
  <c r="AC39" i="7"/>
  <c r="E162" i="7"/>
  <c r="AC86" i="7"/>
  <c r="E150" i="7"/>
  <c r="AC74" i="7"/>
  <c r="E134" i="7"/>
  <c r="AC58" i="7"/>
  <c r="E118" i="7"/>
  <c r="AC42" i="7"/>
  <c r="E102" i="7"/>
  <c r="E153" i="7"/>
  <c r="AC77" i="7"/>
  <c r="E121" i="7"/>
  <c r="AC45" i="7"/>
  <c r="E105" i="7"/>
  <c r="AC29" i="7"/>
  <c r="E125" i="7"/>
  <c r="E137" i="7"/>
  <c r="E148" i="7"/>
  <c r="AC72" i="7"/>
  <c r="E156" i="7"/>
  <c r="AC80" i="7"/>
  <c r="E140" i="7"/>
  <c r="AC64" i="7"/>
  <c r="E124" i="7"/>
  <c r="AC48" i="7"/>
  <c r="E108" i="7"/>
  <c r="AC32" i="7"/>
  <c r="E159" i="7"/>
  <c r="AC83" i="7"/>
  <c r="E143" i="7"/>
  <c r="AC67" i="7"/>
  <c r="E127" i="7"/>
  <c r="AC51" i="7"/>
  <c r="E111" i="7"/>
  <c r="AC35" i="7"/>
  <c r="E163" i="7"/>
  <c r="AC87" i="7"/>
  <c r="E146" i="7"/>
  <c r="AC70" i="7"/>
  <c r="E130" i="7"/>
  <c r="AC54" i="7"/>
  <c r="E114" i="7"/>
  <c r="AC38" i="7"/>
  <c r="E166" i="7"/>
  <c r="AC90" i="7"/>
  <c r="E133" i="7"/>
  <c r="AC57" i="7"/>
  <c r="E117" i="7"/>
  <c r="AC41" i="7"/>
  <c r="E101" i="7"/>
  <c r="E113" i="7"/>
  <c r="E152" i="7"/>
  <c r="AC76" i="7"/>
  <c r="E136" i="7"/>
  <c r="AC60" i="7"/>
  <c r="E120" i="7"/>
  <c r="AC44" i="7"/>
  <c r="E104" i="7"/>
  <c r="AC28" i="7"/>
  <c r="E155" i="7"/>
  <c r="AC79" i="7"/>
  <c r="E139" i="7"/>
  <c r="AC63" i="7"/>
  <c r="E123" i="7"/>
  <c r="AC47" i="7"/>
  <c r="E107" i="7"/>
  <c r="AC31" i="7"/>
  <c r="E158" i="7"/>
  <c r="AC82" i="7"/>
  <c r="E142" i="7"/>
  <c r="AC66" i="7"/>
  <c r="E126" i="7"/>
  <c r="AC50" i="7"/>
  <c r="E110" i="7"/>
  <c r="AC34" i="7"/>
  <c r="E145" i="7"/>
  <c r="AC69" i="7"/>
  <c r="E129" i="7"/>
  <c r="AC53" i="7"/>
  <c r="E149" i="7"/>
  <c r="E161" i="7"/>
  <c r="V27" i="7"/>
  <c r="AF27" i="7" s="1"/>
  <c r="V26" i="7"/>
  <c r="AF26" i="7" s="1"/>
  <c r="W27" i="9"/>
  <c r="G104" i="9" s="1"/>
  <c r="Q87" i="9"/>
  <c r="Q90" i="9"/>
  <c r="Q88" i="9"/>
  <c r="Q89" i="9"/>
  <c r="Q86" i="9"/>
  <c r="W73" i="9"/>
  <c r="G150" i="9" s="1"/>
  <c r="W88" i="9"/>
  <c r="G165" i="9" s="1"/>
  <c r="W56" i="9"/>
  <c r="G133" i="9" s="1"/>
  <c r="W40" i="9"/>
  <c r="G117" i="9" s="1"/>
  <c r="W85" i="9"/>
  <c r="G162" i="9" s="1"/>
  <c r="W81" i="9"/>
  <c r="G158" i="9" s="1"/>
  <c r="W65" i="9"/>
  <c r="G142" i="9" s="1"/>
  <c r="W48" i="9"/>
  <c r="G125" i="9" s="1"/>
  <c r="W32" i="9"/>
  <c r="G109" i="9" s="1"/>
  <c r="W69" i="9"/>
  <c r="G146" i="9" s="1"/>
  <c r="W52" i="9"/>
  <c r="G129" i="9" s="1"/>
  <c r="W36" i="9"/>
  <c r="G113" i="9" s="1"/>
  <c r="AI90" i="9"/>
  <c r="AL89" i="9" s="1"/>
  <c r="E166" i="9" s="1"/>
  <c r="W77" i="9"/>
  <c r="G154" i="9" s="1"/>
  <c r="W60" i="9"/>
  <c r="G137" i="9" s="1"/>
  <c r="W44" i="9"/>
  <c r="G121" i="9" s="1"/>
  <c r="W28" i="9"/>
  <c r="G105" i="9" s="1"/>
  <c r="AI89" i="9"/>
  <c r="AL88" i="9" s="1"/>
  <c r="E165" i="9" s="1"/>
  <c r="AI87" i="9"/>
  <c r="AL86" i="9" s="1"/>
  <c r="E163" i="9" s="1"/>
  <c r="W84" i="9"/>
  <c r="G161" i="9" s="1"/>
  <c r="W80" i="9"/>
  <c r="G157" i="9" s="1"/>
  <c r="W76" i="9"/>
  <c r="G153" i="9" s="1"/>
  <c r="W72" i="9"/>
  <c r="G149" i="9" s="1"/>
  <c r="W68" i="9"/>
  <c r="G145" i="9" s="1"/>
  <c r="W64" i="9"/>
  <c r="G141" i="9" s="1"/>
  <c r="W59" i="9"/>
  <c r="G136" i="9" s="1"/>
  <c r="W55" i="9"/>
  <c r="G132" i="9" s="1"/>
  <c r="W51" i="9"/>
  <c r="G128" i="9" s="1"/>
  <c r="W47" i="9"/>
  <c r="G124" i="9" s="1"/>
  <c r="W43" i="9"/>
  <c r="G120" i="9" s="1"/>
  <c r="W39" i="9"/>
  <c r="G116" i="9" s="1"/>
  <c r="W35" i="9"/>
  <c r="G112" i="9" s="1"/>
  <c r="W31" i="9"/>
  <c r="G108" i="9" s="1"/>
  <c r="W25" i="9"/>
  <c r="G102" i="9" s="1"/>
  <c r="W89" i="9"/>
  <c r="G166" i="9" s="1"/>
  <c r="W87" i="9"/>
  <c r="G164" i="9" s="1"/>
  <c r="W83" i="9"/>
  <c r="G160" i="9" s="1"/>
  <c r="W79" i="9"/>
  <c r="G156" i="9" s="1"/>
  <c r="W75" i="9"/>
  <c r="G152" i="9" s="1"/>
  <c r="W71" i="9"/>
  <c r="G148" i="9" s="1"/>
  <c r="W67" i="9"/>
  <c r="G144" i="9" s="1"/>
  <c r="W63" i="9"/>
  <c r="G140" i="9" s="1"/>
  <c r="W58" i="9"/>
  <c r="G135" i="9" s="1"/>
  <c r="W54" i="9"/>
  <c r="G131" i="9" s="1"/>
  <c r="W46" i="9"/>
  <c r="G123" i="9" s="1"/>
  <c r="W42" i="9"/>
  <c r="G119" i="9" s="1"/>
  <c r="W34" i="9"/>
  <c r="G111" i="9" s="1"/>
  <c r="W30" i="9"/>
  <c r="G107" i="9" s="1"/>
  <c r="W26" i="9"/>
  <c r="G103" i="9" s="1"/>
  <c r="Q102" i="10"/>
  <c r="S101" i="10"/>
  <c r="T101" i="10" s="1"/>
  <c r="N102" i="10" s="1"/>
  <c r="O102" i="10" s="1"/>
  <c r="P102" i="10" s="1"/>
  <c r="W90" i="9"/>
  <c r="G167" i="9" s="1"/>
  <c r="AI88" i="9"/>
  <c r="AL87" i="9" s="1"/>
  <c r="E164" i="9" s="1"/>
  <c r="AI86" i="9"/>
  <c r="W82" i="9"/>
  <c r="G159" i="9" s="1"/>
  <c r="W78" i="9"/>
  <c r="G155" i="9" s="1"/>
  <c r="W70" i="9"/>
  <c r="G147" i="9" s="1"/>
  <c r="W66" i="9"/>
  <c r="G143" i="9" s="1"/>
  <c r="W61" i="9"/>
  <c r="G138" i="9" s="1"/>
  <c r="W57" i="9"/>
  <c r="G134" i="9" s="1"/>
  <c r="W53" i="9"/>
  <c r="G130" i="9" s="1"/>
  <c r="W49" i="9"/>
  <c r="G126" i="9" s="1"/>
  <c r="W45" i="9"/>
  <c r="G122" i="9" s="1"/>
  <c r="W41" i="9"/>
  <c r="G118" i="9" s="1"/>
  <c r="W37" i="9"/>
  <c r="G114" i="9" s="1"/>
  <c r="W33" i="9"/>
  <c r="G110" i="9" s="1"/>
  <c r="W29" i="9"/>
  <c r="G106" i="9" s="1"/>
  <c r="AI86" i="10"/>
  <c r="AL86" i="10" s="1"/>
  <c r="AI87" i="10"/>
  <c r="AL87" i="10" s="1"/>
  <c r="AI88" i="10"/>
  <c r="AL88" i="10" s="1"/>
  <c r="AI89" i="10"/>
  <c r="AL89" i="10" s="1"/>
  <c r="AB86" i="10"/>
  <c r="AC86" i="10" s="1"/>
  <c r="AE86" i="10" s="1"/>
  <c r="S163" i="10"/>
  <c r="AI90" i="10"/>
  <c r="AL90" i="10" s="1"/>
  <c r="AB87" i="10"/>
  <c r="AC87" i="10" s="1"/>
  <c r="S164" i="10"/>
  <c r="AB88" i="10"/>
  <c r="U88" i="10"/>
  <c r="S165" i="10"/>
  <c r="AB89" i="10"/>
  <c r="AC89" i="10" s="1"/>
  <c r="S166" i="10"/>
  <c r="AB90" i="10"/>
  <c r="AC90" i="10" s="1"/>
  <c r="S167" i="10"/>
  <c r="F14" i="8"/>
  <c r="D14" i="8"/>
  <c r="B15" i="8"/>
  <c r="A16" i="8"/>
  <c r="G15" i="8"/>
  <c r="C15" i="8"/>
  <c r="D15" i="8" s="1"/>
  <c r="AB25" i="9" l="1"/>
  <c r="E166" i="10"/>
  <c r="K166" i="10" s="1"/>
  <c r="R102" i="10"/>
  <c r="Q103" i="10" s="1"/>
  <c r="E165" i="10"/>
  <c r="K165" i="10" s="1"/>
  <c r="AE89" i="10"/>
  <c r="AG89" i="10" s="1"/>
  <c r="AH89" i="10" s="1"/>
  <c r="E163" i="10"/>
  <c r="K163" i="10" s="1"/>
  <c r="AE87" i="10"/>
  <c r="AG87" i="10" s="1"/>
  <c r="AH87" i="10" s="1"/>
  <c r="AE90" i="10"/>
  <c r="AG90" i="10" s="1"/>
  <c r="AH90" i="10" s="1"/>
  <c r="L165" i="10"/>
  <c r="AC88" i="10"/>
  <c r="AE88" i="10" s="1"/>
  <c r="E167" i="10"/>
  <c r="K167" i="10" s="1"/>
  <c r="E164" i="10"/>
  <c r="K164" i="10" s="1"/>
  <c r="E15" i="8"/>
  <c r="F15" i="8" s="1"/>
  <c r="G16" i="8"/>
  <c r="C16" i="8"/>
  <c r="D16" i="8" s="1"/>
  <c r="B16" i="8"/>
  <c r="A17" i="8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AT28" i="7"/>
  <c r="G103" i="7"/>
  <c r="Y26" i="7"/>
  <c r="U26" i="7"/>
  <c r="G101" i="7"/>
  <c r="I101" i="7" s="1"/>
  <c r="O91" i="7"/>
  <c r="L91" i="7"/>
  <c r="K91" i="7"/>
  <c r="D48" i="1" s="1"/>
  <c r="D25" i="7"/>
  <c r="C25" i="7"/>
  <c r="G100" i="7"/>
  <c r="E100" i="7"/>
  <c r="C100" i="7"/>
  <c r="G99" i="7"/>
  <c r="E99" i="7"/>
  <c r="C99" i="7"/>
  <c r="G98" i="7"/>
  <c r="E98" i="7"/>
  <c r="C98" i="7"/>
  <c r="M13" i="7"/>
  <c r="M12" i="7"/>
  <c r="U11" i="7"/>
  <c r="U10" i="7"/>
  <c r="P10" i="7"/>
  <c r="G10" i="7"/>
  <c r="U9" i="7"/>
  <c r="U8" i="7"/>
  <c r="AG7" i="7"/>
  <c r="E22" i="7" s="1"/>
  <c r="E25" i="7" s="1"/>
  <c r="G8" i="7"/>
  <c r="U7" i="7"/>
  <c r="S22" i="7" l="1"/>
  <c r="S24" i="7"/>
  <c r="G25" i="7"/>
  <c r="I98" i="7"/>
  <c r="I100" i="7"/>
  <c r="I99" i="7"/>
  <c r="N91" i="7"/>
  <c r="M13" i="10"/>
  <c r="M13" i="9"/>
  <c r="P28" i="7"/>
  <c r="T28" i="7"/>
  <c r="M12" i="10"/>
  <c r="M12" i="9"/>
  <c r="Y26" i="9" s="1"/>
  <c r="P10" i="10"/>
  <c r="J102" i="7"/>
  <c r="S102" i="10"/>
  <c r="T102" i="10" s="1"/>
  <c r="N103" i="10" s="1"/>
  <c r="AF87" i="10"/>
  <c r="AF89" i="10"/>
  <c r="U9" i="10"/>
  <c r="U9" i="9"/>
  <c r="U10" i="10"/>
  <c r="U10" i="9"/>
  <c r="M15" i="9"/>
  <c r="W50" i="9" s="1"/>
  <c r="G127" i="9" s="1"/>
  <c r="M15" i="10"/>
  <c r="M8" i="10"/>
  <c r="AF7" i="10" s="1"/>
  <c r="U8" i="10"/>
  <c r="U8" i="9"/>
  <c r="U11" i="9"/>
  <c r="U11" i="10"/>
  <c r="AF90" i="10"/>
  <c r="U7" i="10"/>
  <c r="U7" i="9"/>
  <c r="AF88" i="10"/>
  <c r="AG88" i="10"/>
  <c r="AH88" i="10" s="1"/>
  <c r="M9" i="10"/>
  <c r="M8" i="9"/>
  <c r="AF7" i="9" s="1"/>
  <c r="AA91" i="7"/>
  <c r="C26" i="7"/>
  <c r="D26" i="7"/>
  <c r="F91" i="7"/>
  <c r="E16" i="8"/>
  <c r="F16" i="8" s="1"/>
  <c r="A18" i="8"/>
  <c r="C17" i="8"/>
  <c r="D17" i="8" s="1"/>
  <c r="B17" i="8"/>
  <c r="G17" i="8"/>
  <c r="U27" i="7"/>
  <c r="AD27" i="7" s="1"/>
  <c r="I25" i="7"/>
  <c r="I91" i="7" s="1"/>
  <c r="Y91" i="7"/>
  <c r="G167" i="7"/>
  <c r="D22" i="7"/>
  <c r="C24" i="7"/>
  <c r="AC26" i="7"/>
  <c r="AT29" i="7"/>
  <c r="J91" i="7"/>
  <c r="AD26" i="7" l="1"/>
  <c r="AE26" i="7"/>
  <c r="W74" i="9"/>
  <c r="G151" i="9" s="1"/>
  <c r="W86" i="9"/>
  <c r="G163" i="9" s="1"/>
  <c r="V28" i="7"/>
  <c r="AF28" i="7" s="1"/>
  <c r="J103" i="7"/>
  <c r="AE27" i="7"/>
  <c r="G91" i="7"/>
  <c r="Y91" i="9"/>
  <c r="I168" i="9"/>
  <c r="T29" i="7"/>
  <c r="P29" i="7"/>
  <c r="P11" i="10"/>
  <c r="H91" i="9"/>
  <c r="H91" i="7"/>
  <c r="W62" i="9"/>
  <c r="W38" i="9"/>
  <c r="G115" i="9" s="1"/>
  <c r="U22" i="9"/>
  <c r="AC22" i="9" s="1"/>
  <c r="M9" i="9"/>
  <c r="F25" i="9" s="1"/>
  <c r="D27" i="7"/>
  <c r="C27" i="7"/>
  <c r="C23" i="7"/>
  <c r="E17" i="8"/>
  <c r="F17" i="8" s="1"/>
  <c r="E6" i="8"/>
  <c r="G18" i="8"/>
  <c r="C18" i="8"/>
  <c r="E18" i="8" s="1"/>
  <c r="B18" i="8"/>
  <c r="A19" i="8"/>
  <c r="U28" i="7"/>
  <c r="S23" i="7"/>
  <c r="U22" i="7"/>
  <c r="AT30" i="7"/>
  <c r="Z91" i="7"/>
  <c r="AD22" i="9" l="1"/>
  <c r="AG22" i="9"/>
  <c r="AH22" i="9" s="1"/>
  <c r="AD22" i="7"/>
  <c r="AE22" i="7"/>
  <c r="AG22" i="7" s="1"/>
  <c r="AI22" i="7" s="1"/>
  <c r="AE28" i="7"/>
  <c r="V29" i="7"/>
  <c r="AF29" i="7" s="1"/>
  <c r="T30" i="7"/>
  <c r="P30" i="7"/>
  <c r="W91" i="9"/>
  <c r="G139" i="9"/>
  <c r="G168" i="9" s="1"/>
  <c r="E91" i="7"/>
  <c r="D44" i="1" s="1"/>
  <c r="L99" i="9"/>
  <c r="U23" i="9"/>
  <c r="F91" i="9"/>
  <c r="S91" i="9"/>
  <c r="B100" i="9"/>
  <c r="B99" i="9"/>
  <c r="U24" i="9"/>
  <c r="C28" i="7"/>
  <c r="D28" i="7"/>
  <c r="C22" i="7"/>
  <c r="U23" i="7"/>
  <c r="U24" i="7"/>
  <c r="J98" i="7"/>
  <c r="L98" i="7" s="1"/>
  <c r="M98" i="7" s="1"/>
  <c r="O98" i="7" s="1"/>
  <c r="F18" i="8"/>
  <c r="D18" i="8"/>
  <c r="AB91" i="7"/>
  <c r="F6" i="8"/>
  <c r="D6" i="8"/>
  <c r="B19" i="8"/>
  <c r="A20" i="8"/>
  <c r="G19" i="8"/>
  <c r="C19" i="8"/>
  <c r="E19" i="8" s="1"/>
  <c r="J104" i="7"/>
  <c r="AD28" i="7"/>
  <c r="S91" i="7"/>
  <c r="D47" i="1" s="1"/>
  <c r="AT31" i="7"/>
  <c r="B99" i="7"/>
  <c r="B98" i="7"/>
  <c r="R25" i="7" l="1"/>
  <c r="U25" i="7" s="1"/>
  <c r="AE22" i="9"/>
  <c r="N99" i="7"/>
  <c r="P98" i="7"/>
  <c r="C29" i="7"/>
  <c r="J99" i="7"/>
  <c r="AE23" i="7"/>
  <c r="AG23" i="7" s="1"/>
  <c r="AI23" i="7" s="1"/>
  <c r="J100" i="7"/>
  <c r="AE24" i="7"/>
  <c r="AG24" i="7" s="1"/>
  <c r="AI24" i="7" s="1"/>
  <c r="V30" i="7"/>
  <c r="AF30" i="7" s="1"/>
  <c r="P31" i="7"/>
  <c r="T31" i="7"/>
  <c r="AD24" i="7"/>
  <c r="B101" i="9"/>
  <c r="O99" i="9"/>
  <c r="P99" i="9" s="1"/>
  <c r="R99" i="9" s="1"/>
  <c r="L101" i="9"/>
  <c r="AC24" i="9"/>
  <c r="AG24" i="9" s="1"/>
  <c r="AH24" i="9" s="1"/>
  <c r="AC23" i="9"/>
  <c r="AG23" i="9" s="1"/>
  <c r="AH23" i="9" s="1"/>
  <c r="L100" i="9"/>
  <c r="D29" i="7"/>
  <c r="AD23" i="7"/>
  <c r="D19" i="8"/>
  <c r="F19" i="8"/>
  <c r="G20" i="8"/>
  <c r="C20" i="8"/>
  <c r="E20" i="8" s="1"/>
  <c r="B20" i="8"/>
  <c r="A21" i="8"/>
  <c r="B100" i="7"/>
  <c r="U29" i="7"/>
  <c r="AE29" i="7" s="1"/>
  <c r="AT32" i="7"/>
  <c r="D30" i="7"/>
  <c r="C30" i="7"/>
  <c r="AD23" i="9" l="1"/>
  <c r="AD25" i="7"/>
  <c r="AE25" i="7"/>
  <c r="AG25" i="7" s="1"/>
  <c r="J101" i="7"/>
  <c r="V31" i="7"/>
  <c r="AF31" i="7" s="1"/>
  <c r="T32" i="7"/>
  <c r="P32" i="7"/>
  <c r="Q100" i="9"/>
  <c r="S99" i="9"/>
  <c r="T99" i="9" s="1"/>
  <c r="N100" i="9" s="1"/>
  <c r="O100" i="9" s="1"/>
  <c r="R91" i="7"/>
  <c r="D45" i="1" s="1"/>
  <c r="D20" i="8"/>
  <c r="F20" i="8"/>
  <c r="A22" i="8"/>
  <c r="C21" i="8"/>
  <c r="D21" i="8" s="1"/>
  <c r="B21" i="8"/>
  <c r="G21" i="8"/>
  <c r="AT33" i="7"/>
  <c r="D31" i="7"/>
  <c r="C31" i="7"/>
  <c r="U30" i="7"/>
  <c r="J105" i="7"/>
  <c r="AD29" i="7"/>
  <c r="AE23" i="9" l="1"/>
  <c r="D100" i="9" s="1"/>
  <c r="K100" i="9" s="1"/>
  <c r="P100" i="9" s="1"/>
  <c r="R100" i="9" s="1"/>
  <c r="S100" i="9" s="1"/>
  <c r="T100" i="9" s="1"/>
  <c r="N101" i="9" s="1"/>
  <c r="O101" i="9" s="1"/>
  <c r="AD24" i="9"/>
  <c r="AI25" i="7"/>
  <c r="V32" i="7"/>
  <c r="AF32" i="7" s="1"/>
  <c r="T33" i="7"/>
  <c r="P33" i="7"/>
  <c r="B101" i="7"/>
  <c r="E21" i="8"/>
  <c r="F21" i="8" s="1"/>
  <c r="B26" i="7"/>
  <c r="A23" i="8"/>
  <c r="G22" i="8"/>
  <c r="C22" i="8"/>
  <c r="E22" i="8" s="1"/>
  <c r="B22" i="8"/>
  <c r="U31" i="7"/>
  <c r="J106" i="7"/>
  <c r="AT34" i="7"/>
  <c r="D32" i="7"/>
  <c r="C32" i="7"/>
  <c r="AE24" i="9" l="1"/>
  <c r="D101" i="9" s="1"/>
  <c r="K101" i="9" s="1"/>
  <c r="P101" i="9" s="1"/>
  <c r="V33" i="7"/>
  <c r="AF33" i="7" s="1"/>
  <c r="AH26" i="7"/>
  <c r="AG26" i="7"/>
  <c r="AD31" i="7"/>
  <c r="AE31" i="7"/>
  <c r="T34" i="7"/>
  <c r="P34" i="7"/>
  <c r="Q101" i="9"/>
  <c r="B27" i="7"/>
  <c r="B102" i="7"/>
  <c r="J107" i="7"/>
  <c r="F22" i="8"/>
  <c r="D22" i="8"/>
  <c r="B23" i="8"/>
  <c r="A24" i="8"/>
  <c r="G23" i="8"/>
  <c r="C23" i="8"/>
  <c r="D23" i="8" s="1"/>
  <c r="D33" i="7"/>
  <c r="C33" i="7"/>
  <c r="Q98" i="7"/>
  <c r="K99" i="7" s="1"/>
  <c r="L99" i="7" s="1"/>
  <c r="M99" i="7" s="1"/>
  <c r="U32" i="7"/>
  <c r="AE32" i="7" s="1"/>
  <c r="AT35" i="7"/>
  <c r="O99" i="7" l="1"/>
  <c r="N100" i="7" s="1"/>
  <c r="R101" i="9"/>
  <c r="Q102" i="9" s="1"/>
  <c r="AI26" i="7"/>
  <c r="AH27" i="7"/>
  <c r="AG27" i="7"/>
  <c r="V34" i="7"/>
  <c r="AF34" i="7" s="1"/>
  <c r="T35" i="7"/>
  <c r="P35" i="7"/>
  <c r="B103" i="7"/>
  <c r="B28" i="7"/>
  <c r="E23" i="8"/>
  <c r="F23" i="8" s="1"/>
  <c r="G24" i="8"/>
  <c r="C24" i="8"/>
  <c r="E24" i="8" s="1"/>
  <c r="A25" i="8"/>
  <c r="B24" i="8"/>
  <c r="AT36" i="7"/>
  <c r="U33" i="7"/>
  <c r="AE33" i="7" s="1"/>
  <c r="J108" i="7"/>
  <c r="AD32" i="7"/>
  <c r="D34" i="7"/>
  <c r="C34" i="7"/>
  <c r="S101" i="9" l="1"/>
  <c r="T101" i="9" s="1"/>
  <c r="N102" i="9" s="1"/>
  <c r="AH28" i="7"/>
  <c r="AG28" i="7"/>
  <c r="AI27" i="7"/>
  <c r="V35" i="7"/>
  <c r="AF35" i="7" s="1"/>
  <c r="T36" i="7"/>
  <c r="P36" i="7"/>
  <c r="B104" i="7"/>
  <c r="B29" i="7"/>
  <c r="F24" i="8"/>
  <c r="D24" i="8"/>
  <c r="A26" i="8"/>
  <c r="C25" i="8"/>
  <c r="D25" i="8" s="1"/>
  <c r="B25" i="8"/>
  <c r="G25" i="8"/>
  <c r="U34" i="7"/>
  <c r="J109" i="7"/>
  <c r="AD33" i="7"/>
  <c r="AT37" i="7"/>
  <c r="D35" i="7"/>
  <c r="C35" i="7"/>
  <c r="AI28" i="7" l="1"/>
  <c r="AH29" i="7"/>
  <c r="AG29" i="7"/>
  <c r="AD34" i="7"/>
  <c r="AE34" i="7"/>
  <c r="P37" i="7"/>
  <c r="T37" i="7"/>
  <c r="B30" i="7"/>
  <c r="B105" i="7"/>
  <c r="J110" i="7"/>
  <c r="E25" i="8"/>
  <c r="F25" i="8" s="1"/>
  <c r="G26" i="8"/>
  <c r="C26" i="8"/>
  <c r="E26" i="8" s="1"/>
  <c r="B26" i="8"/>
  <c r="A27" i="8"/>
  <c r="AT38" i="7"/>
  <c r="D36" i="7"/>
  <c r="C36" i="7"/>
  <c r="U35" i="7"/>
  <c r="AE35" i="7" s="1"/>
  <c r="AI29" i="7" l="1"/>
  <c r="AH30" i="7"/>
  <c r="V37" i="7"/>
  <c r="AF37" i="7" s="1"/>
  <c r="T38" i="7"/>
  <c r="P38" i="7"/>
  <c r="B106" i="7"/>
  <c r="B31" i="7"/>
  <c r="F26" i="8"/>
  <c r="B27" i="8"/>
  <c r="A28" i="8"/>
  <c r="G27" i="8"/>
  <c r="C27" i="8"/>
  <c r="D27" i="8" s="1"/>
  <c r="D26" i="8"/>
  <c r="J111" i="7"/>
  <c r="AD35" i="7"/>
  <c r="C37" i="7"/>
  <c r="D37" i="7"/>
  <c r="AT39" i="7"/>
  <c r="V38" i="7" l="1"/>
  <c r="AF38" i="7" s="1"/>
  <c r="AH31" i="7"/>
  <c r="AG31" i="7"/>
  <c r="T39" i="7"/>
  <c r="P39" i="7"/>
  <c r="B107" i="7"/>
  <c r="B32" i="7"/>
  <c r="E27" i="8"/>
  <c r="F27" i="8" s="1"/>
  <c r="G28" i="8"/>
  <c r="C28" i="8"/>
  <c r="D28" i="8" s="1"/>
  <c r="B28" i="8"/>
  <c r="A29" i="8"/>
  <c r="U37" i="7"/>
  <c r="C38" i="7"/>
  <c r="D38" i="7"/>
  <c r="P99" i="7"/>
  <c r="Q99" i="7" s="1"/>
  <c r="K100" i="7" s="1"/>
  <c r="L100" i="7" s="1"/>
  <c r="AT40" i="7"/>
  <c r="AI31" i="7" l="1"/>
  <c r="AH32" i="7"/>
  <c r="AG32" i="7"/>
  <c r="AD37" i="7"/>
  <c r="AE37" i="7"/>
  <c r="V39" i="7"/>
  <c r="AF39" i="7" s="1"/>
  <c r="P40" i="7"/>
  <c r="T40" i="7"/>
  <c r="B33" i="7"/>
  <c r="B108" i="7"/>
  <c r="A30" i="8"/>
  <c r="C29" i="8"/>
  <c r="D29" i="8" s="1"/>
  <c r="B29" i="8"/>
  <c r="G29" i="8"/>
  <c r="E28" i="8"/>
  <c r="F28" i="8" s="1"/>
  <c r="J113" i="7"/>
  <c r="AT41" i="7"/>
  <c r="C39" i="7"/>
  <c r="D39" i="7"/>
  <c r="U38" i="7"/>
  <c r="AE38" i="7" s="1"/>
  <c r="AI32" i="7" l="1"/>
  <c r="B109" i="7"/>
  <c r="AH33" i="7"/>
  <c r="AG33" i="7"/>
  <c r="V40" i="7"/>
  <c r="AF40" i="7" s="1"/>
  <c r="P41" i="7"/>
  <c r="T41" i="7"/>
  <c r="B34" i="7"/>
  <c r="E29" i="8"/>
  <c r="F29" i="8" s="1"/>
  <c r="A31" i="8"/>
  <c r="G30" i="8"/>
  <c r="C30" i="8"/>
  <c r="D30" i="8" s="1"/>
  <c r="B30" i="8"/>
  <c r="U39" i="7"/>
  <c r="AT42" i="7"/>
  <c r="C40" i="7"/>
  <c r="D40" i="7"/>
  <c r="J114" i="7"/>
  <c r="AD38" i="7"/>
  <c r="AI33" i="7" l="1"/>
  <c r="V41" i="7"/>
  <c r="AF41" i="7" s="1"/>
  <c r="B35" i="7"/>
  <c r="B111" i="7" s="1"/>
  <c r="AH34" i="7"/>
  <c r="AG34" i="7"/>
  <c r="AD39" i="7"/>
  <c r="AE39" i="7"/>
  <c r="P42" i="7"/>
  <c r="T42" i="7"/>
  <c r="B110" i="7"/>
  <c r="B31" i="8"/>
  <c r="A32" i="8"/>
  <c r="G31" i="8"/>
  <c r="C31" i="8"/>
  <c r="D31" i="8" s="1"/>
  <c r="E30" i="8"/>
  <c r="F30" i="8" s="1"/>
  <c r="J115" i="7"/>
  <c r="M100" i="7"/>
  <c r="C41" i="7"/>
  <c r="D41" i="7"/>
  <c r="U40" i="7"/>
  <c r="AE40" i="7" s="1"/>
  <c r="AT43" i="7"/>
  <c r="B36" i="7" l="1"/>
  <c r="B112" i="7" s="1"/>
  <c r="V42" i="7"/>
  <c r="AF42" i="7" s="1"/>
  <c r="AI34" i="7"/>
  <c r="AH35" i="7"/>
  <c r="AG35" i="7"/>
  <c r="T43" i="7"/>
  <c r="P43" i="7"/>
  <c r="E31" i="8"/>
  <c r="F31" i="8" s="1"/>
  <c r="G32" i="8"/>
  <c r="C32" i="8"/>
  <c r="D32" i="8" s="1"/>
  <c r="B32" i="8"/>
  <c r="A33" i="8"/>
  <c r="J116" i="7"/>
  <c r="AD40" i="7"/>
  <c r="AT44" i="7"/>
  <c r="O100" i="7"/>
  <c r="N101" i="7" s="1"/>
  <c r="U41" i="7"/>
  <c r="AE41" i="7" s="1"/>
  <c r="C42" i="7"/>
  <c r="D42" i="7"/>
  <c r="B37" i="7" l="1"/>
  <c r="V36" i="7"/>
  <c r="AF36" i="7" s="1"/>
  <c r="AH36" i="7" s="1"/>
  <c r="AI35" i="7"/>
  <c r="AH37" i="7"/>
  <c r="AG37" i="7"/>
  <c r="V43" i="7"/>
  <c r="AF43" i="7" s="1"/>
  <c r="T44" i="7"/>
  <c r="P44" i="7"/>
  <c r="E32" i="8"/>
  <c r="F32" i="8" s="1"/>
  <c r="A34" i="8"/>
  <c r="G33" i="8"/>
  <c r="C33" i="8"/>
  <c r="D33" i="8" s="1"/>
  <c r="B33" i="8"/>
  <c r="C43" i="7"/>
  <c r="D43" i="7"/>
  <c r="J117" i="7"/>
  <c r="AD41" i="7"/>
  <c r="P100" i="7"/>
  <c r="Q100" i="7" s="1"/>
  <c r="K101" i="7" s="1"/>
  <c r="L101" i="7" s="1"/>
  <c r="B113" i="7"/>
  <c r="B38" i="7"/>
  <c r="U42" i="7"/>
  <c r="AE42" i="7" s="1"/>
  <c r="AT45" i="7"/>
  <c r="U36" i="7" l="1"/>
  <c r="J112" i="7" s="1"/>
  <c r="AI37" i="7"/>
  <c r="AH38" i="7"/>
  <c r="AG38" i="7"/>
  <c r="V44" i="7"/>
  <c r="AF44" i="7" s="1"/>
  <c r="T45" i="7"/>
  <c r="P45" i="7"/>
  <c r="E33" i="8"/>
  <c r="F33" i="8" s="1"/>
  <c r="A35" i="8"/>
  <c r="G34" i="8"/>
  <c r="C34" i="8"/>
  <c r="D34" i="8" s="1"/>
  <c r="B34" i="8"/>
  <c r="J118" i="7"/>
  <c r="AD42" i="7"/>
  <c r="AT46" i="7"/>
  <c r="B114" i="7"/>
  <c r="B39" i="7"/>
  <c r="U43" i="7"/>
  <c r="AE43" i="7" s="1"/>
  <c r="C44" i="7"/>
  <c r="D44" i="7"/>
  <c r="AE36" i="7" l="1"/>
  <c r="AG36" i="7" s="1"/>
  <c r="AI36" i="7" s="1"/>
  <c r="AD36" i="7"/>
  <c r="AI38" i="7"/>
  <c r="AH39" i="7"/>
  <c r="AG39" i="7"/>
  <c r="V45" i="7"/>
  <c r="AF45" i="7" s="1"/>
  <c r="T46" i="7"/>
  <c r="P46" i="7"/>
  <c r="B35" i="8"/>
  <c r="A36" i="8"/>
  <c r="G35" i="8"/>
  <c r="C35" i="8"/>
  <c r="D35" i="8" s="1"/>
  <c r="E34" i="8"/>
  <c r="F34" i="8" s="1"/>
  <c r="U44" i="7"/>
  <c r="B115" i="7"/>
  <c r="B40" i="7"/>
  <c r="AT47" i="7"/>
  <c r="M101" i="7"/>
  <c r="C45" i="7"/>
  <c r="D45" i="7"/>
  <c r="J119" i="7"/>
  <c r="AD43" i="7"/>
  <c r="AI39" i="7" l="1"/>
  <c r="AH40" i="7"/>
  <c r="AG40" i="7"/>
  <c r="AD44" i="7"/>
  <c r="AE44" i="7"/>
  <c r="V46" i="7"/>
  <c r="AF46" i="7" s="1"/>
  <c r="P47" i="7"/>
  <c r="T47" i="7"/>
  <c r="O101" i="7"/>
  <c r="E35" i="8"/>
  <c r="F35" i="8" s="1"/>
  <c r="G36" i="8"/>
  <c r="C36" i="8"/>
  <c r="D36" i="8" s="1"/>
  <c r="B36" i="8"/>
  <c r="A37" i="8"/>
  <c r="J120" i="7"/>
  <c r="U45" i="7"/>
  <c r="B116" i="7"/>
  <c r="B41" i="7"/>
  <c r="C46" i="7"/>
  <c r="D46" i="7"/>
  <c r="AT48" i="7"/>
  <c r="P101" i="7" l="1"/>
  <c r="N102" i="7"/>
  <c r="AI40" i="7"/>
  <c r="AH41" i="7"/>
  <c r="AG41" i="7"/>
  <c r="J121" i="7"/>
  <c r="AE45" i="7"/>
  <c r="V47" i="7"/>
  <c r="AF47" i="7" s="1"/>
  <c r="T48" i="7"/>
  <c r="P48" i="7"/>
  <c r="E36" i="8"/>
  <c r="F36" i="8" s="1"/>
  <c r="A38" i="8"/>
  <c r="G37" i="8"/>
  <c r="C37" i="8"/>
  <c r="D37" i="8" s="1"/>
  <c r="B37" i="8"/>
  <c r="AD45" i="7"/>
  <c r="U46" i="7"/>
  <c r="AE46" i="7" s="1"/>
  <c r="AT49" i="7"/>
  <c r="B42" i="7"/>
  <c r="B117" i="7"/>
  <c r="C47" i="7"/>
  <c r="D47" i="7"/>
  <c r="AI41" i="7" l="1"/>
  <c r="AH42" i="7"/>
  <c r="AG42" i="7"/>
  <c r="T49" i="7"/>
  <c r="P49" i="7"/>
  <c r="E37" i="8"/>
  <c r="F37" i="8" s="1"/>
  <c r="A39" i="8"/>
  <c r="G38" i="8"/>
  <c r="C38" i="8"/>
  <c r="E38" i="8" s="1"/>
  <c r="F38" i="8" s="1"/>
  <c r="B38" i="8"/>
  <c r="C48" i="7"/>
  <c r="D48" i="7"/>
  <c r="B43" i="7"/>
  <c r="B118" i="7"/>
  <c r="AT50" i="7"/>
  <c r="Q101" i="7"/>
  <c r="K102" i="7" s="1"/>
  <c r="L102" i="7" s="1"/>
  <c r="U47" i="7"/>
  <c r="AE47" i="7" s="1"/>
  <c r="J122" i="7"/>
  <c r="AD46" i="7"/>
  <c r="AI42" i="7" l="1"/>
  <c r="AH43" i="7"/>
  <c r="AG43" i="7"/>
  <c r="V49" i="7"/>
  <c r="AF49" i="7" s="1"/>
  <c r="T50" i="7"/>
  <c r="P50" i="7"/>
  <c r="D38" i="8"/>
  <c r="B39" i="8"/>
  <c r="A40" i="8"/>
  <c r="G39" i="8"/>
  <c r="C39" i="8"/>
  <c r="D39" i="8" s="1"/>
  <c r="J123" i="7"/>
  <c r="AD47" i="7"/>
  <c r="B44" i="7"/>
  <c r="B119" i="7"/>
  <c r="AT51" i="7"/>
  <c r="D49" i="7"/>
  <c r="C49" i="7"/>
  <c r="AI43" i="7" l="1"/>
  <c r="AH44" i="7"/>
  <c r="AG44" i="7"/>
  <c r="V50" i="7"/>
  <c r="AF50" i="7" s="1"/>
  <c r="T51" i="7"/>
  <c r="P51" i="7"/>
  <c r="E39" i="8"/>
  <c r="F39" i="8" s="1"/>
  <c r="G40" i="8"/>
  <c r="C40" i="8"/>
  <c r="D40" i="8" s="1"/>
  <c r="B40" i="8"/>
  <c r="A41" i="8"/>
  <c r="U49" i="7"/>
  <c r="AT52" i="7"/>
  <c r="D50" i="7"/>
  <c r="C50" i="7"/>
  <c r="B45" i="7"/>
  <c r="B120" i="7"/>
  <c r="AI44" i="7" l="1"/>
  <c r="AH45" i="7"/>
  <c r="AG45" i="7"/>
  <c r="AD49" i="7"/>
  <c r="AE49" i="7"/>
  <c r="V51" i="7"/>
  <c r="AF51" i="7" s="1"/>
  <c r="T52" i="7"/>
  <c r="P52" i="7"/>
  <c r="E40" i="8"/>
  <c r="F40" i="8" s="1"/>
  <c r="A42" i="8"/>
  <c r="G41" i="8"/>
  <c r="C41" i="8"/>
  <c r="D41" i="8" s="1"/>
  <c r="B41" i="8"/>
  <c r="J125" i="7"/>
  <c r="AT53" i="7"/>
  <c r="B46" i="7"/>
  <c r="B121" i="7"/>
  <c r="C51" i="7"/>
  <c r="D51" i="7"/>
  <c r="U50" i="7"/>
  <c r="AE50" i="7" s="1"/>
  <c r="AI45" i="7" l="1"/>
  <c r="AH46" i="7"/>
  <c r="AG46" i="7"/>
  <c r="V52" i="7"/>
  <c r="AF52" i="7" s="1"/>
  <c r="P53" i="7"/>
  <c r="T53" i="7"/>
  <c r="E41" i="8"/>
  <c r="F41" i="8" s="1"/>
  <c r="A43" i="8"/>
  <c r="G42" i="8"/>
  <c r="C42" i="8"/>
  <c r="E42" i="8" s="1"/>
  <c r="B42" i="8"/>
  <c r="U51" i="7"/>
  <c r="J126" i="7"/>
  <c r="AD50" i="7"/>
  <c r="AT54" i="7"/>
  <c r="D52" i="7"/>
  <c r="C52" i="7"/>
  <c r="B47" i="7"/>
  <c r="B122" i="7"/>
  <c r="AI46" i="7" l="1"/>
  <c r="AH47" i="7"/>
  <c r="AG47" i="7"/>
  <c r="V53" i="7"/>
  <c r="AF53" i="7" s="1"/>
  <c r="AD51" i="7"/>
  <c r="AE51" i="7"/>
  <c r="T54" i="7"/>
  <c r="P54" i="7"/>
  <c r="J127" i="7"/>
  <c r="F42" i="8"/>
  <c r="B43" i="8"/>
  <c r="A44" i="8"/>
  <c r="G43" i="8"/>
  <c r="C43" i="8"/>
  <c r="D43" i="8" s="1"/>
  <c r="D42" i="8"/>
  <c r="C53" i="7"/>
  <c r="D53" i="7"/>
  <c r="U52" i="7"/>
  <c r="AE52" i="7" s="1"/>
  <c r="B48" i="7"/>
  <c r="B123" i="7"/>
  <c r="AT55" i="7"/>
  <c r="AI47" i="7" l="1"/>
  <c r="M48" i="7"/>
  <c r="V48" i="7" s="1"/>
  <c r="AF48" i="7" s="1"/>
  <c r="AH48" i="7" s="1"/>
  <c r="V54" i="7"/>
  <c r="AF54" i="7" s="1"/>
  <c r="T55" i="7"/>
  <c r="P55" i="7"/>
  <c r="G44" i="8"/>
  <c r="C44" i="8"/>
  <c r="D44" i="8" s="1"/>
  <c r="B44" i="8"/>
  <c r="A45" i="8"/>
  <c r="E43" i="8"/>
  <c r="F43" i="8" s="1"/>
  <c r="U53" i="7"/>
  <c r="AT56" i="7"/>
  <c r="B49" i="7"/>
  <c r="B124" i="7"/>
  <c r="J128" i="7"/>
  <c r="AD52" i="7"/>
  <c r="D54" i="7"/>
  <c r="C54" i="7"/>
  <c r="U48" i="7" l="1"/>
  <c r="AE48" i="7" s="1"/>
  <c r="AG48" i="7" s="1"/>
  <c r="AI48" i="7" s="1"/>
  <c r="AH49" i="7"/>
  <c r="AG49" i="7"/>
  <c r="V55" i="7"/>
  <c r="AF55" i="7" s="1"/>
  <c r="J129" i="7"/>
  <c r="AE53" i="7"/>
  <c r="T56" i="7"/>
  <c r="P56" i="7"/>
  <c r="AD53" i="7"/>
  <c r="E44" i="8"/>
  <c r="F44" i="8" s="1"/>
  <c r="A46" i="8"/>
  <c r="G45" i="8"/>
  <c r="C45" i="8"/>
  <c r="D45" i="8" s="1"/>
  <c r="B45" i="8"/>
  <c r="U54" i="7"/>
  <c r="C55" i="7"/>
  <c r="D55" i="7"/>
  <c r="AT57" i="7"/>
  <c r="B125" i="7"/>
  <c r="B50" i="7"/>
  <c r="J124" i="7" l="1"/>
  <c r="AD48" i="7"/>
  <c r="AI49" i="7"/>
  <c r="AH50" i="7"/>
  <c r="AG50" i="7"/>
  <c r="AD54" i="7"/>
  <c r="AE54" i="7"/>
  <c r="V56" i="7"/>
  <c r="AF56" i="7" s="1"/>
  <c r="T57" i="7"/>
  <c r="P57" i="7"/>
  <c r="J130" i="7"/>
  <c r="E45" i="8"/>
  <c r="F45" i="8" s="1"/>
  <c r="A47" i="8"/>
  <c r="G46" i="8"/>
  <c r="C46" i="8"/>
  <c r="D46" i="8" s="1"/>
  <c r="B46" i="8"/>
  <c r="U55" i="7"/>
  <c r="B51" i="7"/>
  <c r="B126" i="7"/>
  <c r="AT58" i="7"/>
  <c r="D56" i="7"/>
  <c r="C56" i="7"/>
  <c r="AI50" i="7" l="1"/>
  <c r="V57" i="7"/>
  <c r="AF57" i="7" s="1"/>
  <c r="AH51" i="7"/>
  <c r="AG51" i="7"/>
  <c r="AD55" i="7"/>
  <c r="AE55" i="7"/>
  <c r="T58" i="7"/>
  <c r="P58" i="7"/>
  <c r="J131" i="7"/>
  <c r="B47" i="8"/>
  <c r="G47" i="8"/>
  <c r="G48" i="8" s="1"/>
  <c r="C47" i="8"/>
  <c r="D47" i="8" s="1"/>
  <c r="E46" i="8"/>
  <c r="F46" i="8" s="1"/>
  <c r="U56" i="7"/>
  <c r="C57" i="7"/>
  <c r="D57" i="7"/>
  <c r="AT59" i="7"/>
  <c r="B127" i="7"/>
  <c r="B52" i="7"/>
  <c r="AI51" i="7" l="1"/>
  <c r="AH52" i="7"/>
  <c r="AG52" i="7"/>
  <c r="V58" i="7"/>
  <c r="AF58" i="7" s="1"/>
  <c r="AD56" i="7"/>
  <c r="AE56" i="7"/>
  <c r="P59" i="7"/>
  <c r="T59" i="7"/>
  <c r="J132" i="7"/>
  <c r="E47" i="8"/>
  <c r="E48" i="8" s="1"/>
  <c r="B53" i="7"/>
  <c r="B128" i="7"/>
  <c r="U57" i="7"/>
  <c r="AE57" i="7" s="1"/>
  <c r="AT60" i="7"/>
  <c r="D58" i="7"/>
  <c r="C58" i="7"/>
  <c r="AI52" i="7" l="1"/>
  <c r="AH53" i="7"/>
  <c r="AG53" i="7"/>
  <c r="V59" i="7"/>
  <c r="AF59" i="7" s="1"/>
  <c r="P60" i="7"/>
  <c r="T60" i="7"/>
  <c r="F47" i="8"/>
  <c r="F48" i="8" s="1"/>
  <c r="C59" i="7"/>
  <c r="D59" i="7"/>
  <c r="AT61" i="7"/>
  <c r="J133" i="7"/>
  <c r="AD57" i="7"/>
  <c r="U58" i="7"/>
  <c r="AE58" i="7" s="1"/>
  <c r="B129" i="7"/>
  <c r="B54" i="7"/>
  <c r="AI53" i="7" l="1"/>
  <c r="AH54" i="7"/>
  <c r="AG54" i="7"/>
  <c r="T61" i="7"/>
  <c r="P61" i="7"/>
  <c r="AT62" i="7"/>
  <c r="B55" i="7"/>
  <c r="B130" i="7"/>
  <c r="J134" i="7"/>
  <c r="AD58" i="7"/>
  <c r="U59" i="7"/>
  <c r="AE59" i="7" s="1"/>
  <c r="D60" i="7"/>
  <c r="C60" i="7"/>
  <c r="AI54" i="7" l="1"/>
  <c r="AH55" i="7"/>
  <c r="AG55" i="7"/>
  <c r="V61" i="7"/>
  <c r="AF61" i="7" s="1"/>
  <c r="T62" i="7"/>
  <c r="P62" i="7"/>
  <c r="B131" i="7"/>
  <c r="B56" i="7"/>
  <c r="AT63" i="7"/>
  <c r="D61" i="7"/>
  <c r="C61" i="7"/>
  <c r="J135" i="7"/>
  <c r="AD59" i="7"/>
  <c r="AI55" i="7" l="1"/>
  <c r="AH56" i="7"/>
  <c r="AG56" i="7"/>
  <c r="V62" i="7"/>
  <c r="AF62" i="7" s="1"/>
  <c r="AH62" i="7" s="1"/>
  <c r="T63" i="7"/>
  <c r="P63" i="7"/>
  <c r="U61" i="7"/>
  <c r="B57" i="7"/>
  <c r="B132" i="7"/>
  <c r="AT64" i="7"/>
  <c r="C62" i="7"/>
  <c r="D62" i="7"/>
  <c r="AI56" i="7" l="1"/>
  <c r="AH57" i="7"/>
  <c r="AG57" i="7"/>
  <c r="J137" i="7"/>
  <c r="AE61" i="7"/>
  <c r="V63" i="7"/>
  <c r="AF63" i="7" s="1"/>
  <c r="T64" i="7"/>
  <c r="P64" i="7"/>
  <c r="AD61" i="7"/>
  <c r="AT65" i="7"/>
  <c r="B133" i="7"/>
  <c r="B58" i="7"/>
  <c r="D63" i="7"/>
  <c r="C63" i="7"/>
  <c r="U62" i="7"/>
  <c r="AE62" i="7" s="1"/>
  <c r="AG62" i="7" s="1"/>
  <c r="AI62" i="7" s="1"/>
  <c r="AI57" i="7" l="1"/>
  <c r="V64" i="7"/>
  <c r="AF64" i="7" s="1"/>
  <c r="AH58" i="7"/>
  <c r="AG58" i="7"/>
  <c r="P65" i="7"/>
  <c r="T65" i="7"/>
  <c r="U63" i="7"/>
  <c r="B59" i="7"/>
  <c r="B134" i="7"/>
  <c r="J138" i="7"/>
  <c r="AD62" i="7"/>
  <c r="D64" i="7"/>
  <c r="C64" i="7"/>
  <c r="AT66" i="7"/>
  <c r="AI58" i="7" l="1"/>
  <c r="AH59" i="7"/>
  <c r="AG59" i="7"/>
  <c r="V65" i="7"/>
  <c r="AF65" i="7" s="1"/>
  <c r="AD63" i="7"/>
  <c r="AE63" i="7"/>
  <c r="T66" i="7"/>
  <c r="P66" i="7"/>
  <c r="J139" i="7"/>
  <c r="U64" i="7"/>
  <c r="C65" i="7"/>
  <c r="D65" i="7"/>
  <c r="B135" i="7"/>
  <c r="B60" i="7"/>
  <c r="AT67" i="7"/>
  <c r="AI59" i="7" l="1"/>
  <c r="M60" i="7"/>
  <c r="V60" i="7" s="1"/>
  <c r="AF60" i="7" s="1"/>
  <c r="AH60" i="7" s="1"/>
  <c r="AD64" i="7"/>
  <c r="AE64" i="7"/>
  <c r="V66" i="7"/>
  <c r="AF66" i="7" s="1"/>
  <c r="T67" i="7"/>
  <c r="P67" i="7"/>
  <c r="J140" i="7"/>
  <c r="U65" i="7"/>
  <c r="AT68" i="7"/>
  <c r="B61" i="7"/>
  <c r="B136" i="7"/>
  <c r="D66" i="7"/>
  <c r="C66" i="7"/>
  <c r="U60" i="7" l="1"/>
  <c r="AE60" i="7" s="1"/>
  <c r="AG60" i="7" s="1"/>
  <c r="AI60" i="7" s="1"/>
  <c r="AH61" i="7"/>
  <c r="AG61" i="7"/>
  <c r="V67" i="7"/>
  <c r="AF67" i="7" s="1"/>
  <c r="J141" i="7"/>
  <c r="AE65" i="7"/>
  <c r="P68" i="7"/>
  <c r="T68" i="7"/>
  <c r="AD65" i="7"/>
  <c r="U66" i="7"/>
  <c r="C67" i="7"/>
  <c r="D67" i="7"/>
  <c r="AT69" i="7"/>
  <c r="B137" i="7"/>
  <c r="AD60" i="7" l="1"/>
  <c r="J136" i="7"/>
  <c r="V68" i="7"/>
  <c r="AF68" i="7" s="1"/>
  <c r="AI61" i="7"/>
  <c r="AD66" i="7"/>
  <c r="AE66" i="7"/>
  <c r="P69" i="7"/>
  <c r="T69" i="7"/>
  <c r="J142" i="7"/>
  <c r="U67" i="7"/>
  <c r="B63" i="7"/>
  <c r="B138" i="7"/>
  <c r="C68" i="7"/>
  <c r="D68" i="7"/>
  <c r="AT70" i="7"/>
  <c r="V69" i="7" l="1"/>
  <c r="AF69" i="7" s="1"/>
  <c r="AH63" i="7"/>
  <c r="AG63" i="7"/>
  <c r="J143" i="7"/>
  <c r="AE67" i="7"/>
  <c r="T70" i="7"/>
  <c r="P70" i="7"/>
  <c r="AD67" i="7"/>
  <c r="C69" i="7"/>
  <c r="D69" i="7"/>
  <c r="B139" i="7"/>
  <c r="B64" i="7"/>
  <c r="AT71" i="7"/>
  <c r="U68" i="7"/>
  <c r="AE68" i="7" s="1"/>
  <c r="AI63" i="7" l="1"/>
  <c r="AH64" i="7"/>
  <c r="AG64" i="7"/>
  <c r="V70" i="7"/>
  <c r="AF70" i="7" s="1"/>
  <c r="T71" i="7"/>
  <c r="P71" i="7"/>
  <c r="U69" i="7"/>
  <c r="B140" i="7"/>
  <c r="B65" i="7"/>
  <c r="J144" i="7"/>
  <c r="AD68" i="7"/>
  <c r="AT72" i="7"/>
  <c r="C70" i="7"/>
  <c r="D70" i="7"/>
  <c r="V71" i="7" l="1"/>
  <c r="AF71" i="7" s="1"/>
  <c r="AI64" i="7"/>
  <c r="AH65" i="7"/>
  <c r="AG65" i="7"/>
  <c r="J145" i="7"/>
  <c r="AE69" i="7"/>
  <c r="P72" i="7"/>
  <c r="T72" i="7"/>
  <c r="AD69" i="7"/>
  <c r="B141" i="7"/>
  <c r="B66" i="7"/>
  <c r="C71" i="7"/>
  <c r="D71" i="7"/>
  <c r="AT73" i="7"/>
  <c r="U70" i="7"/>
  <c r="AE70" i="7" s="1"/>
  <c r="AI65" i="7" l="1"/>
  <c r="AH66" i="7"/>
  <c r="AG66" i="7"/>
  <c r="T73" i="7"/>
  <c r="P73" i="7"/>
  <c r="U71" i="7"/>
  <c r="AT74" i="7"/>
  <c r="J146" i="7"/>
  <c r="AD70" i="7"/>
  <c r="D72" i="7"/>
  <c r="C72" i="7"/>
  <c r="B142" i="7"/>
  <c r="B67" i="7"/>
  <c r="AI66" i="7" l="1"/>
  <c r="AH67" i="7"/>
  <c r="AG67" i="7"/>
  <c r="V73" i="7"/>
  <c r="AF73" i="7" s="1"/>
  <c r="AD71" i="7"/>
  <c r="AE71" i="7"/>
  <c r="P74" i="7"/>
  <c r="T74" i="7"/>
  <c r="J147" i="7"/>
  <c r="B143" i="7"/>
  <c r="B68" i="7"/>
  <c r="AT75" i="7"/>
  <c r="D73" i="7"/>
  <c r="C73" i="7"/>
  <c r="AI67" i="7" l="1"/>
  <c r="AH68" i="7"/>
  <c r="AG68" i="7"/>
  <c r="V74" i="7"/>
  <c r="AF74" i="7" s="1"/>
  <c r="T75" i="7"/>
  <c r="P75" i="7"/>
  <c r="AT76" i="7"/>
  <c r="U73" i="7"/>
  <c r="AE73" i="7" s="1"/>
  <c r="D74" i="7"/>
  <c r="C74" i="7"/>
  <c r="B144" i="7"/>
  <c r="B69" i="7"/>
  <c r="AI68" i="7" l="1"/>
  <c r="V75" i="7"/>
  <c r="AF75" i="7" s="1"/>
  <c r="AH69" i="7"/>
  <c r="AG69" i="7"/>
  <c r="P76" i="7"/>
  <c r="T76" i="7"/>
  <c r="C75" i="7"/>
  <c r="U74" i="7"/>
  <c r="AT77" i="7"/>
  <c r="B70" i="7"/>
  <c r="B145" i="7"/>
  <c r="D75" i="7"/>
  <c r="J149" i="7"/>
  <c r="AD73" i="7"/>
  <c r="AI69" i="7" l="1"/>
  <c r="AH70" i="7"/>
  <c r="AG70" i="7"/>
  <c r="V76" i="7"/>
  <c r="AF76" i="7" s="1"/>
  <c r="J150" i="7"/>
  <c r="AE74" i="7"/>
  <c r="T77" i="7"/>
  <c r="P77" i="7"/>
  <c r="AD74" i="7"/>
  <c r="AT78" i="7"/>
  <c r="B71" i="7"/>
  <c r="B146" i="7"/>
  <c r="D76" i="7"/>
  <c r="C76" i="7"/>
  <c r="U75" i="7"/>
  <c r="AE75" i="7" s="1"/>
  <c r="AI70" i="7" l="1"/>
  <c r="V77" i="7"/>
  <c r="AF77" i="7" s="1"/>
  <c r="AH71" i="7"/>
  <c r="AG71" i="7"/>
  <c r="T78" i="7"/>
  <c r="P78" i="7"/>
  <c r="B72" i="7"/>
  <c r="B147" i="7"/>
  <c r="AT79" i="7"/>
  <c r="D77" i="7"/>
  <c r="C77" i="7"/>
  <c r="J151" i="7"/>
  <c r="AD75" i="7"/>
  <c r="U76" i="7"/>
  <c r="AE76" i="7" s="1"/>
  <c r="V78" i="7" l="1"/>
  <c r="AF78" i="7" s="1"/>
  <c r="AI71" i="7"/>
  <c r="M72" i="7"/>
  <c r="V72" i="7" s="1"/>
  <c r="AF72" i="7" s="1"/>
  <c r="AH72" i="7" s="1"/>
  <c r="T79" i="7"/>
  <c r="P79" i="7"/>
  <c r="J152" i="7"/>
  <c r="AD76" i="7"/>
  <c r="U77" i="7"/>
  <c r="AE77" i="7" s="1"/>
  <c r="D78" i="7"/>
  <c r="C78" i="7"/>
  <c r="B148" i="7"/>
  <c r="B73" i="7"/>
  <c r="AT80" i="7"/>
  <c r="U72" i="7" l="1"/>
  <c r="AE72" i="7" s="1"/>
  <c r="AG72" i="7" s="1"/>
  <c r="AI72" i="7" s="1"/>
  <c r="V79" i="7"/>
  <c r="AF79" i="7" s="1"/>
  <c r="AH73" i="7"/>
  <c r="AG73" i="7"/>
  <c r="T80" i="7"/>
  <c r="P80" i="7"/>
  <c r="U78" i="7"/>
  <c r="J153" i="7"/>
  <c r="AD77" i="7"/>
  <c r="D79" i="7"/>
  <c r="C79" i="7"/>
  <c r="AT81" i="7"/>
  <c r="B74" i="7"/>
  <c r="B149" i="7"/>
  <c r="J148" i="7" l="1"/>
  <c r="AD72" i="7"/>
  <c r="AI73" i="7"/>
  <c r="AH74" i="7"/>
  <c r="AG74" i="7"/>
  <c r="V80" i="7"/>
  <c r="AF80" i="7" s="1"/>
  <c r="AD78" i="7"/>
  <c r="AE78" i="7"/>
  <c r="T81" i="7"/>
  <c r="P81" i="7"/>
  <c r="B75" i="7"/>
  <c r="J154" i="7"/>
  <c r="B150" i="7"/>
  <c r="C80" i="7"/>
  <c r="D80" i="7"/>
  <c r="U79" i="7"/>
  <c r="AE79" i="7" s="1"/>
  <c r="AT82" i="7"/>
  <c r="AI74" i="7" l="1"/>
  <c r="AH75" i="7"/>
  <c r="AG75" i="7"/>
  <c r="V81" i="7"/>
  <c r="AF81" i="7" s="1"/>
  <c r="U81" i="7"/>
  <c r="T82" i="7"/>
  <c r="P82" i="7"/>
  <c r="AT83" i="7"/>
  <c r="U80" i="7"/>
  <c r="AE80" i="7" s="1"/>
  <c r="B76" i="7"/>
  <c r="B151" i="7"/>
  <c r="J155" i="7"/>
  <c r="AD79" i="7"/>
  <c r="C81" i="7"/>
  <c r="AI75" i="7" l="1"/>
  <c r="AE81" i="7"/>
  <c r="AH76" i="7"/>
  <c r="AG76" i="7"/>
  <c r="V82" i="7"/>
  <c r="AF82" i="7" s="1"/>
  <c r="T83" i="7"/>
  <c r="P83" i="7"/>
  <c r="AD81" i="7"/>
  <c r="C82" i="7"/>
  <c r="D82" i="7"/>
  <c r="B152" i="7"/>
  <c r="B77" i="7"/>
  <c r="AT84" i="7"/>
  <c r="J156" i="7"/>
  <c r="AD80" i="7"/>
  <c r="AI76" i="7" l="1"/>
  <c r="AH77" i="7"/>
  <c r="AG77" i="7"/>
  <c r="V83" i="7"/>
  <c r="AF83" i="7" s="1"/>
  <c r="T84" i="7"/>
  <c r="P84" i="7"/>
  <c r="J157" i="7"/>
  <c r="U82" i="7"/>
  <c r="AE82" i="7" s="1"/>
  <c r="B78" i="7"/>
  <c r="B153" i="7"/>
  <c r="D83" i="7"/>
  <c r="C83" i="7"/>
  <c r="AT85" i="7"/>
  <c r="AI77" i="7" l="1"/>
  <c r="AH78" i="7"/>
  <c r="AG78" i="7"/>
  <c r="P85" i="7"/>
  <c r="T85" i="7"/>
  <c r="U83" i="7"/>
  <c r="AT86" i="7"/>
  <c r="C84" i="7"/>
  <c r="D84" i="7"/>
  <c r="J158" i="7"/>
  <c r="AD82" i="7"/>
  <c r="B154" i="7"/>
  <c r="B79" i="7"/>
  <c r="AI78" i="7" l="1"/>
  <c r="AH79" i="7"/>
  <c r="AG79" i="7"/>
  <c r="V85" i="7"/>
  <c r="AF85" i="7" s="1"/>
  <c r="AD83" i="7"/>
  <c r="AE83" i="7"/>
  <c r="T86" i="7"/>
  <c r="P86" i="7"/>
  <c r="J159" i="7"/>
  <c r="B80" i="7"/>
  <c r="B155" i="7"/>
  <c r="AJ86" i="7"/>
  <c r="AT87" i="7"/>
  <c r="C85" i="7"/>
  <c r="D85" i="7"/>
  <c r="AI79" i="7" l="1"/>
  <c r="V86" i="7"/>
  <c r="AF86" i="7" s="1"/>
  <c r="AH80" i="7"/>
  <c r="AG80" i="7"/>
  <c r="P87" i="7"/>
  <c r="T87" i="7"/>
  <c r="U86" i="9"/>
  <c r="L163" i="9" s="1"/>
  <c r="AL86" i="7"/>
  <c r="Z86" i="9"/>
  <c r="U85" i="7"/>
  <c r="AE85" i="7" s="1"/>
  <c r="D86" i="7"/>
  <c r="C86" i="7"/>
  <c r="AT88" i="7"/>
  <c r="U87" i="9"/>
  <c r="L164" i="9" s="1"/>
  <c r="AJ87" i="7"/>
  <c r="B156" i="7"/>
  <c r="B81" i="7"/>
  <c r="AI80" i="7" l="1"/>
  <c r="V87" i="7"/>
  <c r="AF87" i="7" s="1"/>
  <c r="AH81" i="7"/>
  <c r="AG81" i="7"/>
  <c r="T88" i="7"/>
  <c r="P88" i="7"/>
  <c r="AB86" i="9"/>
  <c r="AC86" i="9" s="1"/>
  <c r="AL87" i="7"/>
  <c r="Z87" i="9"/>
  <c r="AJ88" i="7"/>
  <c r="U88" i="9"/>
  <c r="L165" i="9" s="1"/>
  <c r="AT89" i="7"/>
  <c r="C162" i="7"/>
  <c r="I162" i="7" s="1"/>
  <c r="U86" i="7"/>
  <c r="C87" i="7"/>
  <c r="D87" i="7"/>
  <c r="B82" i="7"/>
  <c r="B157" i="7"/>
  <c r="J161" i="7"/>
  <c r="AD85" i="7"/>
  <c r="AI81" i="7" l="1"/>
  <c r="AH82" i="7"/>
  <c r="AG82" i="7"/>
  <c r="AE86" i="7"/>
  <c r="AD86" i="7"/>
  <c r="V88" i="7"/>
  <c r="AF88" i="7" s="1"/>
  <c r="T89" i="7"/>
  <c r="P89" i="7"/>
  <c r="AL88" i="7"/>
  <c r="Z88" i="9"/>
  <c r="AB87" i="9"/>
  <c r="AC87" i="9" s="1"/>
  <c r="AE87" i="9" s="1"/>
  <c r="D164" i="9" s="1"/>
  <c r="C163" i="7"/>
  <c r="I163" i="7" s="1"/>
  <c r="AT90" i="7"/>
  <c r="AJ89" i="7"/>
  <c r="U87" i="7"/>
  <c r="AE87" i="7" s="1"/>
  <c r="D88" i="7"/>
  <c r="C88" i="7"/>
  <c r="B158" i="7"/>
  <c r="B83" i="7"/>
  <c r="J162" i="7"/>
  <c r="AI82" i="7" l="1"/>
  <c r="V89" i="7"/>
  <c r="AF89" i="7" s="1"/>
  <c r="AH83" i="7"/>
  <c r="AG83" i="7"/>
  <c r="T90" i="7"/>
  <c r="T91" i="7" s="1"/>
  <c r="P90" i="7"/>
  <c r="U89" i="9"/>
  <c r="L166" i="9" s="1"/>
  <c r="AL89" i="7"/>
  <c r="Z89" i="9"/>
  <c r="AB88" i="9"/>
  <c r="AC88" i="9" s="1"/>
  <c r="AE88" i="9" s="1"/>
  <c r="D165" i="9" s="1"/>
  <c r="C89" i="7"/>
  <c r="D89" i="7"/>
  <c r="AJ90" i="7"/>
  <c r="U88" i="7"/>
  <c r="AE88" i="7" s="1"/>
  <c r="J163" i="7"/>
  <c r="AD87" i="7"/>
  <c r="B84" i="7"/>
  <c r="B159" i="7"/>
  <c r="C164" i="7"/>
  <c r="I164" i="7" s="1"/>
  <c r="AI83" i="7" l="1"/>
  <c r="V84" i="7"/>
  <c r="AF84" i="7" s="1"/>
  <c r="AH84" i="7" s="1"/>
  <c r="V90" i="7"/>
  <c r="AF90" i="7" s="1"/>
  <c r="AB89" i="9"/>
  <c r="AC89" i="9" s="1"/>
  <c r="AE89" i="9" s="1"/>
  <c r="D166" i="9" s="1"/>
  <c r="AL90" i="7"/>
  <c r="Z90" i="9"/>
  <c r="P91" i="7"/>
  <c r="C165" i="7"/>
  <c r="I165" i="7" s="1"/>
  <c r="E167" i="7"/>
  <c r="W91" i="7"/>
  <c r="C90" i="7"/>
  <c r="D90" i="7"/>
  <c r="U89" i="7"/>
  <c r="AE89" i="7" s="1"/>
  <c r="B160" i="7"/>
  <c r="B85" i="7"/>
  <c r="U90" i="7"/>
  <c r="J164" i="7"/>
  <c r="AD88" i="7"/>
  <c r="F167" i="7"/>
  <c r="U84" i="7" l="1"/>
  <c r="AE84" i="7" s="1"/>
  <c r="AG84" i="7" s="1"/>
  <c r="AI84" i="7" s="1"/>
  <c r="Q21" i="9"/>
  <c r="Q32" i="9" s="1"/>
  <c r="U32" i="9" s="1"/>
  <c r="D49" i="1"/>
  <c r="AF91" i="7"/>
  <c r="M91" i="7"/>
  <c r="D46" i="1" s="1"/>
  <c r="E54" i="8" s="1"/>
  <c r="AH85" i="7"/>
  <c r="AG85" i="7"/>
  <c r="AE90" i="7"/>
  <c r="V91" i="7"/>
  <c r="U25" i="9"/>
  <c r="AC25" i="9" s="1"/>
  <c r="AD25" i="9" s="1"/>
  <c r="Q29" i="9"/>
  <c r="U29" i="9" s="1"/>
  <c r="Q37" i="9"/>
  <c r="U37" i="9" s="1"/>
  <c r="Q49" i="9"/>
  <c r="U49" i="9" s="1"/>
  <c r="Q53" i="9"/>
  <c r="U53" i="9" s="1"/>
  <c r="Q57" i="9"/>
  <c r="U57" i="9" s="1"/>
  <c r="Q61" i="9"/>
  <c r="U61" i="9" s="1"/>
  <c r="Q65" i="9"/>
  <c r="U65" i="9" s="1"/>
  <c r="Q69" i="9"/>
  <c r="U69" i="9" s="1"/>
  <c r="Q73" i="9"/>
  <c r="U73" i="9" s="1"/>
  <c r="Q77" i="9"/>
  <c r="U77" i="9" s="1"/>
  <c r="Q81" i="9"/>
  <c r="U81" i="9" s="1"/>
  <c r="Q85" i="9"/>
  <c r="U85" i="9" s="1"/>
  <c r="Q27" i="9"/>
  <c r="U27" i="9" s="1"/>
  <c r="Q35" i="9"/>
  <c r="U35" i="9" s="1"/>
  <c r="Q47" i="9"/>
  <c r="U47" i="9" s="1"/>
  <c r="Q59" i="9"/>
  <c r="U59" i="9" s="1"/>
  <c r="Q67" i="9"/>
  <c r="U67" i="9" s="1"/>
  <c r="Q79" i="9"/>
  <c r="U79" i="9" s="1"/>
  <c r="Q26" i="9"/>
  <c r="U26" i="9" s="1"/>
  <c r="Q30" i="9"/>
  <c r="U30" i="9" s="1"/>
  <c r="Q34" i="9"/>
  <c r="U34" i="9" s="1"/>
  <c r="Q38" i="9"/>
  <c r="U38" i="9" s="1"/>
  <c r="Q42" i="9"/>
  <c r="U42" i="9" s="1"/>
  <c r="Q46" i="9"/>
  <c r="U46" i="9" s="1"/>
  <c r="Q50" i="9"/>
  <c r="U50" i="9" s="1"/>
  <c r="Q54" i="9"/>
  <c r="U54" i="9" s="1"/>
  <c r="Q58" i="9"/>
  <c r="U58" i="9" s="1"/>
  <c r="Q62" i="9"/>
  <c r="U62" i="9" s="1"/>
  <c r="Q66" i="9"/>
  <c r="U66" i="9" s="1"/>
  <c r="Q70" i="9"/>
  <c r="U70" i="9" s="1"/>
  <c r="Q74" i="9"/>
  <c r="U74" i="9" s="1"/>
  <c r="Q78" i="9"/>
  <c r="U78" i="9" s="1"/>
  <c r="Q82" i="9"/>
  <c r="U82" i="9" s="1"/>
  <c r="Q31" i="9"/>
  <c r="U31" i="9" s="1"/>
  <c r="Q43" i="9"/>
  <c r="U43" i="9" s="1"/>
  <c r="Q55" i="9"/>
  <c r="U55" i="9" s="1"/>
  <c r="Q71" i="9"/>
  <c r="U71" i="9" s="1"/>
  <c r="Q83" i="9"/>
  <c r="U83" i="9" s="1"/>
  <c r="U90" i="9"/>
  <c r="C166" i="7"/>
  <c r="I166" i="7" s="1"/>
  <c r="AB90" i="9"/>
  <c r="J166" i="7"/>
  <c r="AD90" i="7"/>
  <c r="J165" i="7"/>
  <c r="AD89" i="7"/>
  <c r="B161" i="7"/>
  <c r="B86" i="7"/>
  <c r="AG86" i="7" s="1"/>
  <c r="AP91" i="7"/>
  <c r="Q91" i="7"/>
  <c r="Q41" i="9" l="1"/>
  <c r="U41" i="9" s="1"/>
  <c r="Q84" i="9"/>
  <c r="U84" i="9" s="1"/>
  <c r="Q68" i="9"/>
  <c r="U68" i="9" s="1"/>
  <c r="Q45" i="9"/>
  <c r="U45" i="9" s="1"/>
  <c r="Q75" i="9"/>
  <c r="U75" i="9" s="1"/>
  <c r="AE25" i="9"/>
  <c r="D102" i="9" s="1"/>
  <c r="K102" i="9" s="1"/>
  <c r="AG25" i="9"/>
  <c r="AH25" i="9" s="1"/>
  <c r="Q33" i="9"/>
  <c r="U33" i="9" s="1"/>
  <c r="Q51" i="9"/>
  <c r="U51" i="9" s="1"/>
  <c r="Q76" i="9"/>
  <c r="U76" i="9" s="1"/>
  <c r="Q60" i="9"/>
  <c r="U60" i="9" s="1"/>
  <c r="Q39" i="9"/>
  <c r="U39" i="9" s="1"/>
  <c r="Q72" i="9"/>
  <c r="U72" i="9" s="1"/>
  <c r="Q44" i="9"/>
  <c r="U44" i="9" s="1"/>
  <c r="Q63" i="9"/>
  <c r="U63" i="9" s="1"/>
  <c r="Q80" i="9"/>
  <c r="U80" i="9" s="1"/>
  <c r="Q64" i="9"/>
  <c r="U64" i="9" s="1"/>
  <c r="Q52" i="9"/>
  <c r="U52" i="9" s="1"/>
  <c r="Q36" i="9"/>
  <c r="U36" i="9" s="1"/>
  <c r="Q48" i="9"/>
  <c r="U48" i="9" s="1"/>
  <c r="Q28" i="9"/>
  <c r="U28" i="9" s="1"/>
  <c r="Q56" i="9"/>
  <c r="U56" i="9" s="1"/>
  <c r="Q40" i="9"/>
  <c r="U40" i="9" s="1"/>
  <c r="AD84" i="7"/>
  <c r="U91" i="7"/>
  <c r="J160" i="7"/>
  <c r="J167" i="7" s="1"/>
  <c r="AI85" i="7"/>
  <c r="AH86" i="7"/>
  <c r="L102" i="9"/>
  <c r="O102" i="9" s="1"/>
  <c r="AC90" i="9"/>
  <c r="AE90" i="9" s="1"/>
  <c r="D167" i="9" s="1"/>
  <c r="L167" i="9"/>
  <c r="B162" i="7"/>
  <c r="B87" i="7"/>
  <c r="P102" i="9" l="1"/>
  <c r="R102" i="9" s="1"/>
  <c r="Q103" i="9" s="1"/>
  <c r="U91" i="9"/>
  <c r="Q91" i="9"/>
  <c r="AI86" i="7"/>
  <c r="AH87" i="7"/>
  <c r="AG87" i="7"/>
  <c r="L168" i="9"/>
  <c r="E52" i="8"/>
  <c r="B163" i="7"/>
  <c r="B88" i="7"/>
  <c r="S102" i="9" l="1"/>
  <c r="T102" i="9" s="1"/>
  <c r="N103" i="9" s="1"/>
  <c r="O103" i="9" s="1"/>
  <c r="AI87" i="7"/>
  <c r="AH88" i="7"/>
  <c r="AG88" i="7"/>
  <c r="B164" i="7"/>
  <c r="B89" i="7"/>
  <c r="AI88" i="7" l="1"/>
  <c r="AH89" i="7"/>
  <c r="AG89" i="7"/>
  <c r="B165" i="7"/>
  <c r="B90" i="7"/>
  <c r="AI89" i="7" l="1"/>
  <c r="AH90" i="7"/>
  <c r="AH91" i="7" s="1"/>
  <c r="AG90" i="7"/>
  <c r="B166" i="7"/>
  <c r="AI90" i="7" l="1"/>
  <c r="AS91" i="7" l="1"/>
  <c r="AN91" i="7"/>
  <c r="D167" i="7"/>
  <c r="AM91" i="7"/>
  <c r="AO91" i="7" l="1"/>
  <c r="K163" i="9" l="1"/>
  <c r="AG86" i="9"/>
  <c r="AH86" i="9" s="1"/>
  <c r="K164" i="9" l="1"/>
  <c r="AF87" i="9"/>
  <c r="AG87" i="9"/>
  <c r="K165" i="9" l="1"/>
  <c r="AF88" i="9"/>
  <c r="AH87" i="9"/>
  <c r="AG88" i="9"/>
  <c r="AH88" i="9" s="1"/>
  <c r="K166" i="9" l="1"/>
  <c r="AF89" i="9"/>
  <c r="AG89" i="9"/>
  <c r="AF90" i="9" l="1"/>
  <c r="AH89" i="9"/>
  <c r="AQ91" i="7"/>
  <c r="AG90" i="9" l="1"/>
  <c r="K167" i="9" l="1"/>
  <c r="AH90" i="9"/>
  <c r="R6" i="5" l="1"/>
  <c r="O6" i="5"/>
  <c r="AB8" i="5" l="1"/>
  <c r="O14" i="5"/>
  <c r="E8" i="6"/>
  <c r="E4" i="6"/>
  <c r="G15" i="5" l="1"/>
  <c r="I97" i="5"/>
  <c r="T98" i="5"/>
  <c r="I98" i="5"/>
  <c r="BA90" i="5"/>
  <c r="AZ90" i="5"/>
  <c r="BA89" i="5"/>
  <c r="AZ89" i="5"/>
  <c r="BA88" i="5"/>
  <c r="AZ88" i="5"/>
  <c r="BA87" i="5"/>
  <c r="AZ87" i="5"/>
  <c r="BA86" i="5"/>
  <c r="AZ86" i="5"/>
  <c r="BA85" i="5"/>
  <c r="AZ85" i="5"/>
  <c r="BA84" i="5"/>
  <c r="AZ84" i="5"/>
  <c r="BA83" i="5"/>
  <c r="AZ83" i="5"/>
  <c r="BA82" i="5"/>
  <c r="AZ82" i="5"/>
  <c r="BA81" i="5"/>
  <c r="AZ81" i="5"/>
  <c r="BA80" i="5"/>
  <c r="AZ80" i="5"/>
  <c r="BA79" i="5"/>
  <c r="AZ79" i="5"/>
  <c r="BA78" i="5"/>
  <c r="AZ78" i="5"/>
  <c r="BA77" i="5"/>
  <c r="AZ77" i="5"/>
  <c r="BA76" i="5"/>
  <c r="AZ76" i="5"/>
  <c r="BA75" i="5"/>
  <c r="AZ75" i="5"/>
  <c r="BA74" i="5"/>
  <c r="AZ74" i="5"/>
  <c r="BA73" i="5"/>
  <c r="AZ73" i="5"/>
  <c r="BA72" i="5"/>
  <c r="AZ72" i="5"/>
  <c r="BB71" i="5"/>
  <c r="BA71" i="5"/>
  <c r="AZ71" i="5"/>
  <c r="BA70" i="5"/>
  <c r="AZ70" i="5"/>
  <c r="BA69" i="5"/>
  <c r="AZ69" i="5"/>
  <c r="BA68" i="5"/>
  <c r="AZ68" i="5"/>
  <c r="BA67" i="5"/>
  <c r="AZ67" i="5"/>
  <c r="BA66" i="5"/>
  <c r="AZ66" i="5"/>
  <c r="BA65" i="5"/>
  <c r="AZ65" i="5"/>
  <c r="BA64" i="5"/>
  <c r="AZ64" i="5"/>
  <c r="BA63" i="5"/>
  <c r="AZ63" i="5"/>
  <c r="BA62" i="5"/>
  <c r="AZ62" i="5"/>
  <c r="BA61" i="5"/>
  <c r="AZ61" i="5"/>
  <c r="BA60" i="5"/>
  <c r="AZ60" i="5"/>
  <c r="BA59" i="5"/>
  <c r="AZ59" i="5"/>
  <c r="BA58" i="5"/>
  <c r="AZ58" i="5"/>
  <c r="BA57" i="5"/>
  <c r="AZ57" i="5"/>
  <c r="BA56" i="5"/>
  <c r="AZ56" i="5"/>
  <c r="BA55" i="5"/>
  <c r="AZ55" i="5"/>
  <c r="BA54" i="5"/>
  <c r="AZ54" i="5"/>
  <c r="BA53" i="5"/>
  <c r="AZ53" i="5"/>
  <c r="BA52" i="5"/>
  <c r="AZ52" i="5"/>
  <c r="BA51" i="5"/>
  <c r="AZ51" i="5"/>
  <c r="BA50" i="5"/>
  <c r="AZ50" i="5"/>
  <c r="BA49" i="5"/>
  <c r="AZ49" i="5"/>
  <c r="BA48" i="5"/>
  <c r="AZ48" i="5"/>
  <c r="BA47" i="5"/>
  <c r="AZ47" i="5"/>
  <c r="BA46" i="5"/>
  <c r="AZ46" i="5"/>
  <c r="BA45" i="5"/>
  <c r="AZ45" i="5"/>
  <c r="BA44" i="5"/>
  <c r="AZ44" i="5"/>
  <c r="BA43" i="5"/>
  <c r="AZ43" i="5"/>
  <c r="BA42" i="5"/>
  <c r="AZ42" i="5"/>
  <c r="BA41" i="5"/>
  <c r="AZ41" i="5"/>
  <c r="BA40" i="5"/>
  <c r="AZ40" i="5"/>
  <c r="BA39" i="5"/>
  <c r="AZ39" i="5"/>
  <c r="BA38" i="5"/>
  <c r="AZ38" i="5"/>
  <c r="BA37" i="5"/>
  <c r="AZ37" i="5"/>
  <c r="BA36" i="5"/>
  <c r="AZ36" i="5"/>
  <c r="O36" i="5"/>
  <c r="O48" i="5" s="1"/>
  <c r="BA35" i="5"/>
  <c r="AZ35" i="5"/>
  <c r="BA34" i="5"/>
  <c r="AZ34" i="5"/>
  <c r="BA33" i="5"/>
  <c r="AZ33" i="5"/>
  <c r="BA32" i="5"/>
  <c r="AZ32" i="5"/>
  <c r="BA31" i="5"/>
  <c r="AZ31" i="5"/>
  <c r="BA30" i="5"/>
  <c r="AZ30" i="5"/>
  <c r="BA29" i="5"/>
  <c r="AZ29" i="5"/>
  <c r="AX29" i="5"/>
  <c r="BA28" i="5"/>
  <c r="AZ28" i="5"/>
  <c r="AS28" i="5"/>
  <c r="AS29" i="5" s="1"/>
  <c r="Y28" i="5"/>
  <c r="AY28" i="5" s="1"/>
  <c r="AX28" i="5"/>
  <c r="BA27" i="5"/>
  <c r="AZ27" i="5"/>
  <c r="AH27" i="5"/>
  <c r="Y27" i="5"/>
  <c r="AX27" i="5"/>
  <c r="AH26" i="5"/>
  <c r="Z26" i="5"/>
  <c r="Z91" i="5" s="1"/>
  <c r="Y26" i="5"/>
  <c r="AY26" i="5" s="1"/>
  <c r="AX26" i="5"/>
  <c r="BE25" i="5"/>
  <c r="BB25" i="5"/>
  <c r="BA25" i="5"/>
  <c r="AZ25" i="5"/>
  <c r="AW25" i="5"/>
  <c r="AV25" i="5"/>
  <c r="Y25" i="5"/>
  <c r="X25" i="5"/>
  <c r="V25" i="5"/>
  <c r="V91" i="5" s="1"/>
  <c r="Q25" i="5"/>
  <c r="Q91" i="5" s="1"/>
  <c r="N25" i="5"/>
  <c r="N91" i="5" s="1"/>
  <c r="M25" i="5"/>
  <c r="M91" i="5" s="1"/>
  <c r="D25" i="5"/>
  <c r="C25" i="5"/>
  <c r="C26" i="5" s="1"/>
  <c r="BE24" i="5"/>
  <c r="BB24" i="5"/>
  <c r="BA24" i="5"/>
  <c r="AZ24" i="5"/>
  <c r="AY24" i="5"/>
  <c r="AX24" i="5"/>
  <c r="AW24" i="5"/>
  <c r="AV24" i="5"/>
  <c r="J24" i="5"/>
  <c r="J25" i="5" s="1"/>
  <c r="I24" i="5"/>
  <c r="H24" i="5"/>
  <c r="G24" i="5"/>
  <c r="F24" i="5"/>
  <c r="F25" i="5" s="1"/>
  <c r="E24" i="5"/>
  <c r="BE23" i="5"/>
  <c r="BB23" i="5"/>
  <c r="BA23" i="5"/>
  <c r="AZ23" i="5"/>
  <c r="AY23" i="5"/>
  <c r="AX23" i="5"/>
  <c r="AW23" i="5"/>
  <c r="AV23" i="5"/>
  <c r="I23" i="5"/>
  <c r="G23" i="5"/>
  <c r="E23" i="5"/>
  <c r="BE22" i="5"/>
  <c r="BB22" i="5"/>
  <c r="BA22" i="5"/>
  <c r="AZ22" i="5"/>
  <c r="AY22" i="5"/>
  <c r="AX22" i="5"/>
  <c r="AW22" i="5"/>
  <c r="BC22" i="5" s="1"/>
  <c r="AV22" i="5"/>
  <c r="O13" i="5"/>
  <c r="AB26" i="5" s="1"/>
  <c r="AB91" i="5" s="1"/>
  <c r="O12" i="5"/>
  <c r="W11" i="5"/>
  <c r="W10" i="5"/>
  <c r="R10" i="5"/>
  <c r="G10" i="5"/>
  <c r="AH9" i="5"/>
  <c r="I22" i="5" s="1"/>
  <c r="AH8" i="5"/>
  <c r="G22" i="5" s="1"/>
  <c r="W8" i="5"/>
  <c r="O8" i="5"/>
  <c r="AH7" i="5" s="1"/>
  <c r="E22" i="5" s="1"/>
  <c r="G8" i="5"/>
  <c r="W7" i="5"/>
  <c r="AZ26" i="5" l="1"/>
  <c r="AH28" i="5"/>
  <c r="BC23" i="5"/>
  <c r="D26" i="5"/>
  <c r="AS30" i="5"/>
  <c r="Y29" i="5"/>
  <c r="AY29" i="5" s="1"/>
  <c r="BC24" i="5"/>
  <c r="D22" i="5"/>
  <c r="C24" i="5"/>
  <c r="C23" i="5" s="1"/>
  <c r="C22" i="5" s="1"/>
  <c r="P25" i="5"/>
  <c r="P91" i="5" s="1"/>
  <c r="AB11" i="5"/>
  <c r="AC25" i="5" s="1"/>
  <c r="AC91" i="5" s="1"/>
  <c r="T99" i="5" s="1"/>
  <c r="H25" i="5"/>
  <c r="AM25" i="5" s="1"/>
  <c r="W28" i="5"/>
  <c r="AM28" i="5"/>
  <c r="W27" i="5"/>
  <c r="BD27" i="5" s="1"/>
  <c r="AM24" i="5"/>
  <c r="AO24" i="5" s="1"/>
  <c r="AD28" i="5"/>
  <c r="O15" i="5"/>
  <c r="T97" i="5"/>
  <c r="I25" i="5"/>
  <c r="I91" i="5" s="1"/>
  <c r="D27" i="5"/>
  <c r="AP26" i="5"/>
  <c r="C27" i="5"/>
  <c r="U24" i="5"/>
  <c r="W24" i="5" s="1"/>
  <c r="U23" i="5"/>
  <c r="W23" i="5" s="1"/>
  <c r="B22" i="5"/>
  <c r="U22" i="5"/>
  <c r="G25" i="5"/>
  <c r="G91" i="5" s="1"/>
  <c r="E25" i="5"/>
  <c r="E91" i="5" s="1"/>
  <c r="T102" i="5" s="1"/>
  <c r="AM26" i="5"/>
  <c r="AH29" i="5"/>
  <c r="J91" i="5"/>
  <c r="AY25" i="5"/>
  <c r="AD27" i="5"/>
  <c r="AH30" i="5"/>
  <c r="AZ91" i="5"/>
  <c r="T108" i="5"/>
  <c r="I108" i="5"/>
  <c r="AX31" i="5"/>
  <c r="T106" i="5"/>
  <c r="I106" i="5"/>
  <c r="Y30" i="5"/>
  <c r="AX25" i="5"/>
  <c r="F91" i="5"/>
  <c r="I103" i="5"/>
  <c r="T103" i="5"/>
  <c r="AL25" i="5"/>
  <c r="AA26" i="5"/>
  <c r="AM27" i="5"/>
  <c r="AY27" i="5"/>
  <c r="O60" i="5"/>
  <c r="AD29" i="5" l="1"/>
  <c r="I105" i="5"/>
  <c r="T105" i="5"/>
  <c r="AX30" i="5"/>
  <c r="AS31" i="5"/>
  <c r="W26" i="5"/>
  <c r="BD26" i="5" s="1"/>
  <c r="AE27" i="5"/>
  <c r="I99" i="5"/>
  <c r="AD25" i="5"/>
  <c r="H91" i="5"/>
  <c r="AE28" i="5"/>
  <c r="BD28" i="5"/>
  <c r="AM31" i="5"/>
  <c r="BC25" i="5"/>
  <c r="BD24" i="5"/>
  <c r="AE24" i="5"/>
  <c r="AM29" i="5"/>
  <c r="AA91" i="5"/>
  <c r="BA26" i="5"/>
  <c r="BA91" i="5" s="1"/>
  <c r="AD26" i="5"/>
  <c r="AE26" i="5" s="1"/>
  <c r="AD30" i="5"/>
  <c r="AY30" i="5"/>
  <c r="U91" i="5"/>
  <c r="W22" i="5"/>
  <c r="B23" i="5"/>
  <c r="AU23" i="5" s="1"/>
  <c r="AU22" i="5"/>
  <c r="I102" i="5"/>
  <c r="AX32" i="5"/>
  <c r="AP27" i="5"/>
  <c r="BB27" i="5" s="1"/>
  <c r="C28" i="5"/>
  <c r="D28" i="5"/>
  <c r="AO25" i="5"/>
  <c r="O91" i="5"/>
  <c r="AM30" i="5"/>
  <c r="BD23" i="5"/>
  <c r="AE23" i="5"/>
  <c r="BB26" i="5"/>
  <c r="Y31" i="5" l="1"/>
  <c r="AS32" i="5"/>
  <c r="AH31" i="5"/>
  <c r="W29" i="5"/>
  <c r="BD29" i="5" s="1"/>
  <c r="B24" i="5"/>
  <c r="AU24" i="5" s="1"/>
  <c r="AR23" i="5"/>
  <c r="AQ23" i="5"/>
  <c r="AF23" i="5"/>
  <c r="W30" i="5"/>
  <c r="T25" i="5"/>
  <c r="BD22" i="5"/>
  <c r="AE22" i="5"/>
  <c r="T104" i="5"/>
  <c r="I104" i="5"/>
  <c r="C29" i="5"/>
  <c r="AP28" i="5"/>
  <c r="D29" i="5"/>
  <c r="AR24" i="5"/>
  <c r="AQ24" i="5"/>
  <c r="AF24" i="5"/>
  <c r="W31" i="5"/>
  <c r="AM32" i="5"/>
  <c r="I111" i="5"/>
  <c r="T111" i="5"/>
  <c r="Y32" i="5" l="1"/>
  <c r="AH32" i="5"/>
  <c r="AS33" i="5"/>
  <c r="AY31" i="5"/>
  <c r="AD31" i="5"/>
  <c r="AE31" i="5" s="1"/>
  <c r="AE29" i="5"/>
  <c r="W32" i="5"/>
  <c r="BD32" i="5" s="1"/>
  <c r="AM33" i="5"/>
  <c r="BB28" i="5"/>
  <c r="AE30" i="5"/>
  <c r="BD30" i="5"/>
  <c r="B25" i="5"/>
  <c r="AQ22" i="5"/>
  <c r="AR22" i="5"/>
  <c r="AF22" i="5"/>
  <c r="BG22" i="5"/>
  <c r="T91" i="5"/>
  <c r="T110" i="5" s="1"/>
  <c r="W25" i="5"/>
  <c r="AX34" i="5"/>
  <c r="BD31" i="5"/>
  <c r="C30" i="5"/>
  <c r="AP29" i="5"/>
  <c r="BB29" i="5" s="1"/>
  <c r="D30" i="5"/>
  <c r="AX33" i="5"/>
  <c r="AS34" i="5" l="1"/>
  <c r="AH33" i="5"/>
  <c r="Y33" i="5"/>
  <c r="AD32" i="5"/>
  <c r="AE32" i="5" s="1"/>
  <c r="AY32" i="5"/>
  <c r="B26" i="5"/>
  <c r="AU25" i="5"/>
  <c r="W33" i="5"/>
  <c r="BH22" i="5"/>
  <c r="C31" i="5"/>
  <c r="D31" i="5"/>
  <c r="AP30" i="5"/>
  <c r="BB30" i="5" s="1"/>
  <c r="AE25" i="5"/>
  <c r="I110" i="5"/>
  <c r="AD33" i="5" l="1"/>
  <c r="AE33" i="5" s="1"/>
  <c r="AY33" i="5"/>
  <c r="AH34" i="5"/>
  <c r="Y34" i="5"/>
  <c r="AS35" i="5"/>
  <c r="AQ25" i="5"/>
  <c r="AR25" i="5"/>
  <c r="AM35" i="5"/>
  <c r="AF25" i="5"/>
  <c r="BD25" i="5" s="1"/>
  <c r="BD33" i="5"/>
  <c r="B27" i="5"/>
  <c r="AF26" i="5"/>
  <c r="AU26" i="5"/>
  <c r="AX35" i="5"/>
  <c r="AX36" i="5"/>
  <c r="D32" i="5"/>
  <c r="C32" i="5"/>
  <c r="AP31" i="5"/>
  <c r="BB31" i="5" s="1"/>
  <c r="AM34" i="5"/>
  <c r="BJ22" i="5"/>
  <c r="W34" i="5"/>
  <c r="AD34" i="5" l="1"/>
  <c r="AE34" i="5" s="1"/>
  <c r="AY34" i="5"/>
  <c r="Y35" i="5"/>
  <c r="AS36" i="5"/>
  <c r="AH35" i="5"/>
  <c r="W35" i="5"/>
  <c r="BD35" i="5" s="1"/>
  <c r="C33" i="5"/>
  <c r="D33" i="5"/>
  <c r="AP32" i="5"/>
  <c r="BB32" i="5" s="1"/>
  <c r="BK22" i="5"/>
  <c r="BL22" i="5" s="1"/>
  <c r="BI23" i="5"/>
  <c r="AX37" i="5"/>
  <c r="BD34" i="5"/>
  <c r="B28" i="5"/>
  <c r="AF27" i="5"/>
  <c r="AU27" i="5"/>
  <c r="AM36" i="5"/>
  <c r="L52" i="4"/>
  <c r="H52" i="4"/>
  <c r="H20" i="4"/>
  <c r="H51" i="4"/>
  <c r="L38" i="4"/>
  <c r="D49" i="4"/>
  <c r="AD35" i="5" l="1"/>
  <c r="AE35" i="5" s="1"/>
  <c r="AY35" i="5"/>
  <c r="Y36" i="5"/>
  <c r="AS37" i="5"/>
  <c r="AH36" i="5"/>
  <c r="AM37" i="5"/>
  <c r="AX38" i="5"/>
  <c r="BF23" i="5"/>
  <c r="AU28" i="5"/>
  <c r="B29" i="5"/>
  <c r="AF28" i="5"/>
  <c r="C34" i="5"/>
  <c r="AP33" i="5"/>
  <c r="BB33" i="5" s="1"/>
  <c r="D34" i="5"/>
  <c r="W36" i="5"/>
  <c r="L56" i="4"/>
  <c r="L62" i="4" s="1"/>
  <c r="H56" i="4"/>
  <c r="H62" i="4" s="1"/>
  <c r="T52" i="4"/>
  <c r="T58" i="4" s="1"/>
  <c r="P52" i="4"/>
  <c r="P58" i="4" s="1"/>
  <c r="D52" i="4"/>
  <c r="D58" i="4" s="1"/>
  <c r="T40" i="4"/>
  <c r="T41" i="4" s="1"/>
  <c r="P40" i="4"/>
  <c r="P41" i="4" s="1"/>
  <c r="D40" i="4"/>
  <c r="D41" i="4" s="1"/>
  <c r="L42" i="4"/>
  <c r="L43" i="4" s="1"/>
  <c r="L57" i="4" s="1"/>
  <c r="H38" i="4"/>
  <c r="H14" i="4"/>
  <c r="H25" i="4" s="1"/>
  <c r="D14" i="4"/>
  <c r="D22" i="4" s="1"/>
  <c r="H10" i="4"/>
  <c r="H11" i="4" s="1"/>
  <c r="H26" i="4" s="1"/>
  <c r="D10" i="4"/>
  <c r="D11" i="4" s="1"/>
  <c r="D23" i="4" s="1"/>
  <c r="AD36" i="5" l="1"/>
  <c r="AE36" i="5" s="1"/>
  <c r="AY36" i="5"/>
  <c r="AS38" i="5"/>
  <c r="AH37" i="5"/>
  <c r="Y37" i="5"/>
  <c r="W37" i="5"/>
  <c r="AX39" i="5"/>
  <c r="C35" i="5"/>
  <c r="D35" i="5"/>
  <c r="AP34" i="5"/>
  <c r="BB34" i="5" s="1"/>
  <c r="BG23" i="5"/>
  <c r="BD36" i="5"/>
  <c r="AM38" i="5"/>
  <c r="B30" i="5"/>
  <c r="AU29" i="5"/>
  <c r="AF29" i="5"/>
  <c r="P53" i="4"/>
  <c r="P54" i="4" s="1"/>
  <c r="P43" i="4"/>
  <c r="H42" i="4"/>
  <c r="H43" i="4" s="1"/>
  <c r="D43" i="4"/>
  <c r="D53" i="4"/>
  <c r="D54" i="4" s="1"/>
  <c r="D47" i="4"/>
  <c r="D50" i="4" s="1"/>
  <c r="H13" i="4"/>
  <c r="D17" i="4"/>
  <c r="H19" i="4"/>
  <c r="H17" i="4"/>
  <c r="D13" i="4"/>
  <c r="D24" i="4"/>
  <c r="T49" i="4"/>
  <c r="L51" i="4"/>
  <c r="T47" i="4"/>
  <c r="T43" i="4"/>
  <c r="T53" i="4"/>
  <c r="T54" i="4" s="1"/>
  <c r="P47" i="4"/>
  <c r="L49" i="4"/>
  <c r="L45" i="4"/>
  <c r="H27" i="4"/>
  <c r="L58" i="4"/>
  <c r="P49" i="4"/>
  <c r="D19" i="4"/>
  <c r="AS39" i="5" l="1"/>
  <c r="Y38" i="5"/>
  <c r="AH38" i="5"/>
  <c r="AY37" i="5"/>
  <c r="AD37" i="5"/>
  <c r="AE37" i="5" s="1"/>
  <c r="H22" i="4"/>
  <c r="H28" i="4" s="1"/>
  <c r="BD37" i="5"/>
  <c r="W38" i="5"/>
  <c r="BD38" i="5" s="1"/>
  <c r="AM39" i="5"/>
  <c r="B31" i="5"/>
  <c r="AF30" i="5"/>
  <c r="AU30" i="5"/>
  <c r="BH23" i="5"/>
  <c r="C36" i="5"/>
  <c r="D36" i="5"/>
  <c r="AX40" i="5"/>
  <c r="H49" i="4"/>
  <c r="H54" i="4" s="1"/>
  <c r="H57" i="4"/>
  <c r="H58" i="4" s="1"/>
  <c r="H45" i="4"/>
  <c r="P50" i="4"/>
  <c r="P55" i="4" s="1"/>
  <c r="L54" i="4"/>
  <c r="T50" i="4"/>
  <c r="T55" i="4" s="1"/>
  <c r="D55" i="4"/>
  <c r="D20" i="4"/>
  <c r="D25" i="4" s="1"/>
  <c r="AH39" i="5" l="1"/>
  <c r="Y39" i="5"/>
  <c r="AS40" i="5"/>
  <c r="AD38" i="5"/>
  <c r="AE38" i="5" s="1"/>
  <c r="AY38" i="5"/>
  <c r="AM40" i="5"/>
  <c r="AX41" i="5"/>
  <c r="D37" i="5"/>
  <c r="AP36" i="5"/>
  <c r="BB36" i="5" s="1"/>
  <c r="C37" i="5"/>
  <c r="W39" i="5"/>
  <c r="BJ23" i="5"/>
  <c r="B32" i="5"/>
  <c r="AU31" i="5"/>
  <c r="AF31" i="5"/>
  <c r="L59" i="4"/>
  <c r="H59" i="4"/>
  <c r="AH40" i="5" l="1"/>
  <c r="Y40" i="5"/>
  <c r="AS41" i="5"/>
  <c r="AY39" i="5"/>
  <c r="AD39" i="5"/>
  <c r="AE39" i="5" s="1"/>
  <c r="BD39" i="5"/>
  <c r="AX42" i="5"/>
  <c r="B33" i="5"/>
  <c r="AF32" i="5"/>
  <c r="AU32" i="5"/>
  <c r="D38" i="5"/>
  <c r="AP37" i="5"/>
  <c r="BB37" i="5" s="1"/>
  <c r="C38" i="5"/>
  <c r="AM41" i="5"/>
  <c r="BI24" i="5"/>
  <c r="BK23" i="5"/>
  <c r="BL23" i="5" s="1"/>
  <c r="W40" i="5"/>
  <c r="AD40" i="5" l="1"/>
  <c r="AE40" i="5" s="1"/>
  <c r="AY40" i="5"/>
  <c r="Y41" i="5"/>
  <c r="AS42" i="5"/>
  <c r="AH41" i="5"/>
  <c r="B34" i="5"/>
  <c r="AU33" i="5"/>
  <c r="AF33" i="5"/>
  <c r="AM42" i="5"/>
  <c r="BD40" i="5"/>
  <c r="W41" i="5"/>
  <c r="AX43" i="5"/>
  <c r="BF24" i="5"/>
  <c r="D39" i="5"/>
  <c r="C39" i="5"/>
  <c r="AP38" i="5"/>
  <c r="BB38" i="5" s="1"/>
  <c r="Y42" i="5" l="1"/>
  <c r="AS43" i="5"/>
  <c r="AH42" i="5"/>
  <c r="AY41" i="5"/>
  <c r="AD41" i="5"/>
  <c r="AE41" i="5" s="1"/>
  <c r="W42" i="5"/>
  <c r="BD42" i="5" s="1"/>
  <c r="BG24" i="5"/>
  <c r="D40" i="5"/>
  <c r="AP39" i="5"/>
  <c r="BB39" i="5" s="1"/>
  <c r="C40" i="5"/>
  <c r="AM43" i="5"/>
  <c r="AX44" i="5"/>
  <c r="B35" i="5"/>
  <c r="AF34" i="5"/>
  <c r="AU34" i="5"/>
  <c r="BD41" i="5"/>
  <c r="Y43" i="5" l="1"/>
  <c r="AS44" i="5"/>
  <c r="AH43" i="5"/>
  <c r="AD42" i="5"/>
  <c r="AE42" i="5" s="1"/>
  <c r="AY42" i="5"/>
  <c r="W43" i="5"/>
  <c r="AM44" i="5"/>
  <c r="AX45" i="5"/>
  <c r="D41" i="5"/>
  <c r="AP40" i="5"/>
  <c r="BB40" i="5" s="1"/>
  <c r="C41" i="5"/>
  <c r="B36" i="5"/>
  <c r="AU35" i="5"/>
  <c r="AF35" i="5"/>
  <c r="BH24" i="5"/>
  <c r="Y44" i="5" l="1"/>
  <c r="AH44" i="5"/>
  <c r="AS45" i="5"/>
  <c r="AY43" i="5"/>
  <c r="AD43" i="5"/>
  <c r="AE43" i="5" s="1"/>
  <c r="BD43" i="5"/>
  <c r="BJ24" i="5"/>
  <c r="AM45" i="5"/>
  <c r="AX46" i="5"/>
  <c r="D42" i="5"/>
  <c r="AP41" i="5"/>
  <c r="BB41" i="5" s="1"/>
  <c r="C42" i="5"/>
  <c r="B37" i="5"/>
  <c r="AF36" i="5"/>
  <c r="AU36" i="5"/>
  <c r="W44" i="5"/>
  <c r="AS46" i="5" l="1"/>
  <c r="Y45" i="5"/>
  <c r="AH45" i="5"/>
  <c r="AD44" i="5"/>
  <c r="AE44" i="5" s="1"/>
  <c r="AY44" i="5"/>
  <c r="BD44" i="5"/>
  <c r="AU37" i="5"/>
  <c r="AF37" i="5"/>
  <c r="B38" i="5"/>
  <c r="AX47" i="5"/>
  <c r="D43" i="5"/>
  <c r="C43" i="5"/>
  <c r="AP42" i="5"/>
  <c r="BB42" i="5" s="1"/>
  <c r="BI25" i="5"/>
  <c r="BK24" i="5"/>
  <c r="BL24" i="5" s="1"/>
  <c r="AM46" i="5"/>
  <c r="W45" i="5"/>
  <c r="AY45" i="5" l="1"/>
  <c r="AD45" i="5"/>
  <c r="AE45" i="5" s="1"/>
  <c r="AH46" i="5"/>
  <c r="AS47" i="5"/>
  <c r="Y46" i="5"/>
  <c r="W46" i="5"/>
  <c r="BD46" i="5" s="1"/>
  <c r="BF25" i="5"/>
  <c r="AM47" i="5"/>
  <c r="BD45" i="5"/>
  <c r="D44" i="5"/>
  <c r="AP43" i="5"/>
  <c r="BB43" i="5" s="1"/>
  <c r="C44" i="5"/>
  <c r="AX48" i="5"/>
  <c r="B39" i="5"/>
  <c r="AF38" i="5"/>
  <c r="AU38" i="5"/>
  <c r="AS48" i="5" l="1"/>
  <c r="Y47" i="5"/>
  <c r="AH47" i="5"/>
  <c r="AY46" i="5"/>
  <c r="AD46" i="5"/>
  <c r="AE46" i="5" s="1"/>
  <c r="W47" i="5"/>
  <c r="BD47" i="5" s="1"/>
  <c r="AX49" i="5"/>
  <c r="D45" i="5"/>
  <c r="AP44" i="5"/>
  <c r="BB44" i="5" s="1"/>
  <c r="C45" i="5"/>
  <c r="BG25" i="5"/>
  <c r="AU39" i="5"/>
  <c r="AF39" i="5"/>
  <c r="B40" i="5"/>
  <c r="AM48" i="5"/>
  <c r="AY47" i="5" l="1"/>
  <c r="AD47" i="5"/>
  <c r="AE47" i="5" s="1"/>
  <c r="Y48" i="5"/>
  <c r="AH48" i="5"/>
  <c r="AS49" i="5"/>
  <c r="D46" i="5"/>
  <c r="AP45" i="5"/>
  <c r="BB45" i="5" s="1"/>
  <c r="C46" i="5"/>
  <c r="W48" i="5"/>
  <c r="B41" i="5"/>
  <c r="AF40" i="5"/>
  <c r="AU40" i="5"/>
  <c r="BH25" i="5"/>
  <c r="AX50" i="5"/>
  <c r="AM49" i="5"/>
  <c r="AY48" i="5" l="1"/>
  <c r="AD48" i="5"/>
  <c r="AE48" i="5" s="1"/>
  <c r="AS50" i="5"/>
  <c r="Y49" i="5"/>
  <c r="AH49" i="5"/>
  <c r="W49" i="5"/>
  <c r="BD49" i="5" s="1"/>
  <c r="AM50" i="5"/>
  <c r="AU41" i="5"/>
  <c r="AF41" i="5"/>
  <c r="B42" i="5"/>
  <c r="BJ25" i="5"/>
  <c r="BD48" i="5"/>
  <c r="C47" i="5"/>
  <c r="D47" i="5"/>
  <c r="AP46" i="5"/>
  <c r="BB46" i="5" s="1"/>
  <c r="AX51" i="5"/>
  <c r="AY49" i="5" l="1"/>
  <c r="AD49" i="5"/>
  <c r="AE49" i="5" s="1"/>
  <c r="Y50" i="5"/>
  <c r="AH50" i="5"/>
  <c r="AS51" i="5"/>
  <c r="AM51" i="5"/>
  <c r="B43" i="5"/>
  <c r="AF42" i="5"/>
  <c r="AU42" i="5"/>
  <c r="D48" i="5"/>
  <c r="C48" i="5"/>
  <c r="BI26" i="5"/>
  <c r="BK25" i="5"/>
  <c r="AX52" i="5"/>
  <c r="W50" i="5"/>
  <c r="AD50" i="5" l="1"/>
  <c r="AE50" i="5" s="1"/>
  <c r="AY50" i="5"/>
  <c r="Y51" i="5"/>
  <c r="AH51" i="5"/>
  <c r="AS52" i="5"/>
  <c r="BL25" i="5"/>
  <c r="BD50" i="5"/>
  <c r="AM52" i="5"/>
  <c r="C49" i="5"/>
  <c r="D49" i="5"/>
  <c r="AP48" i="5"/>
  <c r="BB48" i="5" s="1"/>
  <c r="AU43" i="5"/>
  <c r="B44" i="5"/>
  <c r="AF43" i="5"/>
  <c r="AX53" i="5"/>
  <c r="W51" i="5"/>
  <c r="AD51" i="5" l="1"/>
  <c r="AE51" i="5" s="1"/>
  <c r="AY51" i="5"/>
  <c r="Y52" i="5"/>
  <c r="AH52" i="5"/>
  <c r="AS53" i="5"/>
  <c r="BF26" i="5"/>
  <c r="W52" i="5"/>
  <c r="AM53" i="5"/>
  <c r="BD51" i="5"/>
  <c r="AX54" i="5"/>
  <c r="B45" i="5"/>
  <c r="AF44" i="5"/>
  <c r="AU44" i="5"/>
  <c r="C50" i="5"/>
  <c r="D50" i="5"/>
  <c r="AP49" i="5"/>
  <c r="BB49" i="5" s="1"/>
  <c r="AD52" i="5" l="1"/>
  <c r="AE52" i="5" s="1"/>
  <c r="AY52" i="5"/>
  <c r="AS54" i="5"/>
  <c r="AH53" i="5"/>
  <c r="Y53" i="5"/>
  <c r="BD52" i="5"/>
  <c r="AX55" i="5"/>
  <c r="AU45" i="5"/>
  <c r="AF45" i="5"/>
  <c r="B46" i="5"/>
  <c r="W53" i="5"/>
  <c r="D51" i="5"/>
  <c r="C51" i="5"/>
  <c r="AP50" i="5"/>
  <c r="BB50" i="5" s="1"/>
  <c r="AM54" i="5"/>
  <c r="AH54" i="5" l="1"/>
  <c r="AS55" i="5"/>
  <c r="Y54" i="5"/>
  <c r="AD53" i="5"/>
  <c r="AE53" i="5" s="1"/>
  <c r="AY53" i="5"/>
  <c r="W54" i="5"/>
  <c r="C52" i="5"/>
  <c r="D52" i="5"/>
  <c r="AP51" i="5"/>
  <c r="BB51" i="5" s="1"/>
  <c r="BD54" i="5"/>
  <c r="AM55" i="5"/>
  <c r="B47" i="5"/>
  <c r="AF46" i="5"/>
  <c r="AU46" i="5"/>
  <c r="AX56" i="5"/>
  <c r="BD53" i="5"/>
  <c r="AD54" i="5" l="1"/>
  <c r="AE54" i="5" s="1"/>
  <c r="AY54" i="5"/>
  <c r="Y55" i="5"/>
  <c r="AH55" i="5"/>
  <c r="AS56" i="5"/>
  <c r="W55" i="5"/>
  <c r="AM56" i="5"/>
  <c r="AU47" i="5"/>
  <c r="AF47" i="5"/>
  <c r="B48" i="5"/>
  <c r="AX57" i="5"/>
  <c r="D53" i="5"/>
  <c r="AP52" i="5"/>
  <c r="BB52" i="5" s="1"/>
  <c r="C53" i="5"/>
  <c r="AD55" i="5" l="1"/>
  <c r="AE55" i="5" s="1"/>
  <c r="AY55" i="5"/>
  <c r="AS57" i="5"/>
  <c r="AH56" i="5"/>
  <c r="Y56" i="5"/>
  <c r="BD55" i="5"/>
  <c r="AX58" i="5"/>
  <c r="C54" i="5"/>
  <c r="D54" i="5"/>
  <c r="AP53" i="5"/>
  <c r="BB53" i="5" s="1"/>
  <c r="AM57" i="5"/>
  <c r="B49" i="5"/>
  <c r="AU48" i="5"/>
  <c r="AF48" i="5"/>
  <c r="W56" i="5"/>
  <c r="Y57" i="5" l="1"/>
  <c r="AS58" i="5"/>
  <c r="AH57" i="5"/>
  <c r="AD56" i="5"/>
  <c r="AE56" i="5" s="1"/>
  <c r="AY56" i="5"/>
  <c r="BD56" i="5"/>
  <c r="W57" i="5"/>
  <c r="D55" i="5"/>
  <c r="C55" i="5"/>
  <c r="AP54" i="5"/>
  <c r="BB54" i="5" s="1"/>
  <c r="AM58" i="5"/>
  <c r="AF49" i="5"/>
  <c r="AU49" i="5"/>
  <c r="B50" i="5"/>
  <c r="AX59" i="5"/>
  <c r="Y58" i="5" l="1"/>
  <c r="AH58" i="5"/>
  <c r="AS59" i="5"/>
  <c r="AY57" i="5"/>
  <c r="AD57" i="5"/>
  <c r="AE57" i="5" s="1"/>
  <c r="W58" i="5"/>
  <c r="BD58" i="5" s="1"/>
  <c r="BD57" i="5"/>
  <c r="AX60" i="5"/>
  <c r="AU50" i="5"/>
  <c r="B51" i="5"/>
  <c r="AF50" i="5"/>
  <c r="AM59" i="5"/>
  <c r="C56" i="5"/>
  <c r="AP55" i="5"/>
  <c r="BB55" i="5" s="1"/>
  <c r="D56" i="5"/>
  <c r="AH59" i="5" l="1"/>
  <c r="Y59" i="5"/>
  <c r="AS60" i="5"/>
  <c r="AY58" i="5"/>
  <c r="AD58" i="5"/>
  <c r="AE58" i="5" s="1"/>
  <c r="W59" i="5"/>
  <c r="D57" i="5"/>
  <c r="AP56" i="5"/>
  <c r="BB56" i="5" s="1"/>
  <c r="C57" i="5"/>
  <c r="AM60" i="5"/>
  <c r="AU51" i="5"/>
  <c r="B52" i="5"/>
  <c r="AF51" i="5"/>
  <c r="AX61" i="5"/>
  <c r="AS61" i="5" l="1"/>
  <c r="AH60" i="5"/>
  <c r="Y60" i="5"/>
  <c r="AD59" i="5"/>
  <c r="AE59" i="5" s="1"/>
  <c r="AY59" i="5"/>
  <c r="BD59" i="5"/>
  <c r="AM61" i="5"/>
  <c r="AU52" i="5"/>
  <c r="AF52" i="5"/>
  <c r="B53" i="5"/>
  <c r="C58" i="5"/>
  <c r="D58" i="5"/>
  <c r="AP57" i="5"/>
  <c r="BB57" i="5" s="1"/>
  <c r="W60" i="5"/>
  <c r="AD60" i="5" l="1"/>
  <c r="AE60" i="5" s="1"/>
  <c r="AY60" i="5"/>
  <c r="AS62" i="5"/>
  <c r="AH61" i="5"/>
  <c r="Y61" i="5"/>
  <c r="W61" i="5"/>
  <c r="BD61" i="5" s="1"/>
  <c r="BD60" i="5"/>
  <c r="D59" i="5"/>
  <c r="AP58" i="5"/>
  <c r="BB58" i="5" s="1"/>
  <c r="C59" i="5"/>
  <c r="AU53" i="5"/>
  <c r="AF53" i="5"/>
  <c r="B54" i="5"/>
  <c r="X62" i="5" l="1"/>
  <c r="AX62" i="5" s="1"/>
  <c r="R62" i="5"/>
  <c r="S62" i="5" s="1"/>
  <c r="AM62" i="5" s="1"/>
  <c r="AS63" i="5"/>
  <c r="AG62" i="5"/>
  <c r="AH62" i="5"/>
  <c r="Y62" i="5"/>
  <c r="AD61" i="5"/>
  <c r="AE61" i="5" s="1"/>
  <c r="AY61" i="5"/>
  <c r="C60" i="5"/>
  <c r="D60" i="5"/>
  <c r="AU54" i="5"/>
  <c r="B55" i="5"/>
  <c r="AF54" i="5"/>
  <c r="AI62" i="5" l="1"/>
  <c r="W62" i="5"/>
  <c r="BD62" i="5" s="1"/>
  <c r="AS64" i="5"/>
  <c r="Y63" i="5"/>
  <c r="X63" i="5"/>
  <c r="AX63" i="5" s="1"/>
  <c r="AH63" i="5"/>
  <c r="AG63" i="5"/>
  <c r="R63" i="5"/>
  <c r="S63" i="5" s="1"/>
  <c r="AM63" i="5" s="1"/>
  <c r="AY62" i="5"/>
  <c r="AD62" i="5"/>
  <c r="AE62" i="5" s="1"/>
  <c r="AU55" i="5"/>
  <c r="B56" i="5"/>
  <c r="AF55" i="5"/>
  <c r="D61" i="5"/>
  <c r="AP60" i="5"/>
  <c r="BB60" i="5" s="1"/>
  <c r="C61" i="5"/>
  <c r="W63" i="5" l="1"/>
  <c r="BD63" i="5" s="1"/>
  <c r="AK62" i="5"/>
  <c r="AV62" i="5" s="1"/>
  <c r="AJ62" i="5"/>
  <c r="AD63" i="5"/>
  <c r="AY63" i="5"/>
  <c r="AI63" i="5"/>
  <c r="AG64" i="5"/>
  <c r="R64" i="5"/>
  <c r="S64" i="5" s="1"/>
  <c r="AM64" i="5" s="1"/>
  <c r="X64" i="5"/>
  <c r="AX64" i="5" s="1"/>
  <c r="AH64" i="5"/>
  <c r="AS65" i="5"/>
  <c r="Y64" i="5"/>
  <c r="D62" i="5"/>
  <c r="C62" i="5"/>
  <c r="AP61" i="5"/>
  <c r="BB61" i="5" s="1"/>
  <c r="AU56" i="5"/>
  <c r="B57" i="5"/>
  <c r="AF56" i="5"/>
  <c r="AE63" i="5" l="1"/>
  <c r="W64" i="5"/>
  <c r="BD64" i="5" s="1"/>
  <c r="AI64" i="5"/>
  <c r="AW62" i="5"/>
  <c r="AL62" i="5"/>
  <c r="AG65" i="5"/>
  <c r="X65" i="5"/>
  <c r="AX65" i="5" s="1"/>
  <c r="R65" i="5"/>
  <c r="S65" i="5" s="1"/>
  <c r="AM65" i="5" s="1"/>
  <c r="AS66" i="5"/>
  <c r="Y65" i="5"/>
  <c r="AH65" i="5"/>
  <c r="AK63" i="5"/>
  <c r="AV63" i="5" s="1"/>
  <c r="AJ63" i="5"/>
  <c r="AD64" i="5"/>
  <c r="AY64" i="5"/>
  <c r="C63" i="5"/>
  <c r="AP62" i="5"/>
  <c r="D63" i="5"/>
  <c r="AU57" i="5"/>
  <c r="AF57" i="5"/>
  <c r="B58" i="5"/>
  <c r="AE64" i="5" l="1"/>
  <c r="W65" i="5"/>
  <c r="BD65" i="5" s="1"/>
  <c r="AJ64" i="5"/>
  <c r="AK64" i="5"/>
  <c r="AV64" i="5" s="1"/>
  <c r="AW63" i="5"/>
  <c r="AL63" i="5"/>
  <c r="X66" i="5"/>
  <c r="AX66" i="5" s="1"/>
  <c r="AG66" i="5"/>
  <c r="AH66" i="5"/>
  <c r="Y66" i="5"/>
  <c r="AS67" i="5"/>
  <c r="R66" i="5"/>
  <c r="S66" i="5" s="1"/>
  <c r="AM66" i="5" s="1"/>
  <c r="AY65" i="5"/>
  <c r="AD65" i="5"/>
  <c r="AI65" i="5"/>
  <c r="AU58" i="5"/>
  <c r="B59" i="5"/>
  <c r="AF58" i="5"/>
  <c r="BB62" i="5"/>
  <c r="BC62" i="5" s="1"/>
  <c r="AQ62" i="5"/>
  <c r="D64" i="5"/>
  <c r="AP63" i="5"/>
  <c r="C64" i="5"/>
  <c r="AE65" i="5" l="1"/>
  <c r="W66" i="5"/>
  <c r="BD66" i="5" s="1"/>
  <c r="AW64" i="5"/>
  <c r="AL64" i="5"/>
  <c r="AY66" i="5"/>
  <c r="AD66" i="5"/>
  <c r="AK65" i="5"/>
  <c r="AV65" i="5" s="1"/>
  <c r="AJ65" i="5"/>
  <c r="AG67" i="5"/>
  <c r="Y67" i="5"/>
  <c r="R67" i="5"/>
  <c r="S67" i="5" s="1"/>
  <c r="AM67" i="5" s="1"/>
  <c r="AH67" i="5"/>
  <c r="X67" i="5"/>
  <c r="AX67" i="5" s="1"/>
  <c r="AS68" i="5"/>
  <c r="AI66" i="5"/>
  <c r="BB63" i="5"/>
  <c r="BC63" i="5" s="1"/>
  <c r="AQ63" i="5"/>
  <c r="AU59" i="5"/>
  <c r="AF59" i="5"/>
  <c r="B60" i="5"/>
  <c r="C65" i="5"/>
  <c r="AP64" i="5"/>
  <c r="D65" i="5"/>
  <c r="AE66" i="5" l="1"/>
  <c r="W67" i="5"/>
  <c r="BD67" i="5" s="1"/>
  <c r="AL65" i="5"/>
  <c r="AW65" i="5"/>
  <c r="AJ66" i="5"/>
  <c r="AK66" i="5"/>
  <c r="AV66" i="5" s="1"/>
  <c r="AS69" i="5"/>
  <c r="AG68" i="5"/>
  <c r="AH68" i="5"/>
  <c r="X68" i="5"/>
  <c r="AX68" i="5" s="1"/>
  <c r="Y68" i="5"/>
  <c r="R68" i="5"/>
  <c r="S68" i="5" s="1"/>
  <c r="AM68" i="5" s="1"/>
  <c r="AD67" i="5"/>
  <c r="AY67" i="5"/>
  <c r="AI67" i="5"/>
  <c r="BB64" i="5"/>
  <c r="BC64" i="5" s="1"/>
  <c r="AQ64" i="5"/>
  <c r="D66" i="5"/>
  <c r="AP65" i="5"/>
  <c r="C66" i="5"/>
  <c r="AU60" i="5"/>
  <c r="AF60" i="5"/>
  <c r="B61" i="5"/>
  <c r="AE67" i="5" l="1"/>
  <c r="W68" i="5"/>
  <c r="BD68" i="5" s="1"/>
  <c r="AW66" i="5"/>
  <c r="AL66" i="5"/>
  <c r="AI68" i="5"/>
  <c r="AJ67" i="5"/>
  <c r="AK67" i="5"/>
  <c r="AV67" i="5" s="1"/>
  <c r="AD68" i="5"/>
  <c r="AY68" i="5"/>
  <c r="Y69" i="5"/>
  <c r="R69" i="5"/>
  <c r="S69" i="5" s="1"/>
  <c r="AM69" i="5" s="1"/>
  <c r="AS70" i="5"/>
  <c r="X69" i="5"/>
  <c r="AX69" i="5" s="1"/>
  <c r="AG69" i="5"/>
  <c r="AH69" i="5"/>
  <c r="BB65" i="5"/>
  <c r="BC65" i="5" s="1"/>
  <c r="AQ65" i="5"/>
  <c r="AU61" i="5"/>
  <c r="AF61" i="5"/>
  <c r="B62" i="5"/>
  <c r="C67" i="5"/>
  <c r="AP66" i="5"/>
  <c r="D67" i="5"/>
  <c r="AE68" i="5" l="1"/>
  <c r="AI69" i="5"/>
  <c r="AJ69" i="5" s="1"/>
  <c r="W69" i="5"/>
  <c r="BD69" i="5" s="1"/>
  <c r="R70" i="5"/>
  <c r="S70" i="5" s="1"/>
  <c r="AM70" i="5" s="1"/>
  <c r="AG70" i="5"/>
  <c r="AH70" i="5"/>
  <c r="AS71" i="5"/>
  <c r="Y70" i="5"/>
  <c r="X70" i="5"/>
  <c r="AX70" i="5" s="1"/>
  <c r="AJ68" i="5"/>
  <c r="AK68" i="5"/>
  <c r="AV68" i="5" s="1"/>
  <c r="AY69" i="5"/>
  <c r="AD69" i="5"/>
  <c r="AW67" i="5"/>
  <c r="AL67" i="5"/>
  <c r="BB66" i="5"/>
  <c r="BC66" i="5" s="1"/>
  <c r="AQ66" i="5"/>
  <c r="D68" i="5"/>
  <c r="AP67" i="5"/>
  <c r="C68" i="5"/>
  <c r="B63" i="5"/>
  <c r="AF62" i="5"/>
  <c r="AU62" i="5"/>
  <c r="AE69" i="5" l="1"/>
  <c r="AK69" i="5"/>
  <c r="AV69" i="5" s="1"/>
  <c r="AD70" i="5"/>
  <c r="AY70" i="5"/>
  <c r="W70" i="5"/>
  <c r="BD70" i="5" s="1"/>
  <c r="AW68" i="5"/>
  <c r="AL68" i="5"/>
  <c r="AW69" i="5"/>
  <c r="AL69" i="5"/>
  <c r="AS72" i="5"/>
  <c r="X71" i="5"/>
  <c r="AX71" i="5" s="1"/>
  <c r="AH71" i="5"/>
  <c r="R71" i="5"/>
  <c r="S71" i="5" s="1"/>
  <c r="AM71" i="5" s="1"/>
  <c r="Y71" i="5"/>
  <c r="AG71" i="5"/>
  <c r="AI70" i="5"/>
  <c r="AU63" i="5"/>
  <c r="AF63" i="5"/>
  <c r="B64" i="5"/>
  <c r="D69" i="5"/>
  <c r="C69" i="5"/>
  <c r="AP68" i="5"/>
  <c r="BB67" i="5"/>
  <c r="BC67" i="5" s="1"/>
  <c r="AQ67" i="5"/>
  <c r="AE70" i="5" l="1"/>
  <c r="W71" i="5"/>
  <c r="BD71" i="5" s="1"/>
  <c r="AI71" i="5"/>
  <c r="AJ71" i="5" s="1"/>
  <c r="AW71" i="5" s="1"/>
  <c r="AD71" i="5"/>
  <c r="AY71" i="5"/>
  <c r="Y72" i="5"/>
  <c r="R72" i="5"/>
  <c r="S72" i="5" s="1"/>
  <c r="AM72" i="5" s="1"/>
  <c r="AH72" i="5"/>
  <c r="AS73" i="5"/>
  <c r="AG72" i="5"/>
  <c r="X72" i="5"/>
  <c r="AX72" i="5" s="1"/>
  <c r="AJ70" i="5"/>
  <c r="AK70" i="5"/>
  <c r="AV70" i="5" s="1"/>
  <c r="B65" i="5"/>
  <c r="AF64" i="5"/>
  <c r="AU64" i="5"/>
  <c r="BB68" i="5"/>
  <c r="BC68" i="5" s="1"/>
  <c r="AQ68" i="5"/>
  <c r="D70" i="5"/>
  <c r="AP69" i="5"/>
  <c r="C70" i="5"/>
  <c r="AL71" i="5" l="1"/>
  <c r="AE71" i="5"/>
  <c r="AK71" i="5"/>
  <c r="AV71" i="5" s="1"/>
  <c r="BC71" i="5" s="1"/>
  <c r="AI72" i="5"/>
  <c r="AY72" i="5"/>
  <c r="AD72" i="5"/>
  <c r="W72" i="5"/>
  <c r="BD72" i="5" s="1"/>
  <c r="AL70" i="5"/>
  <c r="AW70" i="5"/>
  <c r="R73" i="5"/>
  <c r="S73" i="5" s="1"/>
  <c r="AM73" i="5" s="1"/>
  <c r="AG73" i="5"/>
  <c r="AH73" i="5"/>
  <c r="Y73" i="5"/>
  <c r="AS74" i="5"/>
  <c r="X73" i="5"/>
  <c r="AX73" i="5" s="1"/>
  <c r="BB69" i="5"/>
  <c r="BC69" i="5" s="1"/>
  <c r="AQ69" i="5"/>
  <c r="AU65" i="5"/>
  <c r="AF65" i="5"/>
  <c r="B66" i="5"/>
  <c r="D71" i="5"/>
  <c r="C71" i="5"/>
  <c r="AP70" i="5"/>
  <c r="AQ71" i="5" l="1"/>
  <c r="W73" i="5"/>
  <c r="BD73" i="5" s="1"/>
  <c r="AI73" i="5"/>
  <c r="AJ73" i="5" s="1"/>
  <c r="AK72" i="5"/>
  <c r="AV72" i="5" s="1"/>
  <c r="AJ72" i="5"/>
  <c r="AE72" i="5"/>
  <c r="AH74" i="5"/>
  <c r="R74" i="5"/>
  <c r="S74" i="5" s="1"/>
  <c r="AM74" i="5" s="1"/>
  <c r="X74" i="5"/>
  <c r="AX74" i="5" s="1"/>
  <c r="Y74" i="5"/>
  <c r="AG74" i="5"/>
  <c r="AS75" i="5"/>
  <c r="AD73" i="5"/>
  <c r="AY73" i="5"/>
  <c r="D72" i="5"/>
  <c r="C72" i="5"/>
  <c r="BB70" i="5"/>
  <c r="BC70" i="5" s="1"/>
  <c r="AQ70" i="5"/>
  <c r="B67" i="5"/>
  <c r="AF66" i="5"/>
  <c r="AU66" i="5"/>
  <c r="AI74" i="5" l="1"/>
  <c r="AK74" i="5" s="1"/>
  <c r="AV74" i="5" s="1"/>
  <c r="AE73" i="5"/>
  <c r="AK73" i="5"/>
  <c r="AV73" i="5" s="1"/>
  <c r="AL72" i="5"/>
  <c r="AW72" i="5"/>
  <c r="W74" i="5"/>
  <c r="BD74" i="5" s="1"/>
  <c r="X75" i="5"/>
  <c r="AX75" i="5" s="1"/>
  <c r="AH75" i="5"/>
  <c r="Y75" i="5"/>
  <c r="AS76" i="5"/>
  <c r="AG75" i="5"/>
  <c r="R75" i="5"/>
  <c r="S75" i="5" s="1"/>
  <c r="AM75" i="5" s="1"/>
  <c r="AW73" i="5"/>
  <c r="AL73" i="5"/>
  <c r="AD74" i="5"/>
  <c r="AY74" i="5"/>
  <c r="C73" i="5"/>
  <c r="D73" i="5"/>
  <c r="AP72" i="5"/>
  <c r="AU67" i="5"/>
  <c r="B68" i="5"/>
  <c r="AF67" i="5"/>
  <c r="AJ74" i="5" l="1"/>
  <c r="AW74" i="5" s="1"/>
  <c r="W75" i="5"/>
  <c r="BD75" i="5" s="1"/>
  <c r="AE74" i="5"/>
  <c r="AH76" i="5"/>
  <c r="AS77" i="5"/>
  <c r="Y76" i="5"/>
  <c r="X76" i="5"/>
  <c r="AX76" i="5" s="1"/>
  <c r="AG76" i="5"/>
  <c r="R76" i="5"/>
  <c r="S76" i="5" s="1"/>
  <c r="AM76" i="5" s="1"/>
  <c r="AD75" i="5"/>
  <c r="AY75" i="5"/>
  <c r="AI75" i="5"/>
  <c r="BB72" i="5"/>
  <c r="BC72" i="5" s="1"/>
  <c r="AQ72" i="5"/>
  <c r="B69" i="5"/>
  <c r="AF68" i="5"/>
  <c r="AU68" i="5"/>
  <c r="D74" i="5"/>
  <c r="C74" i="5"/>
  <c r="AP73" i="5"/>
  <c r="AL74" i="5" l="1"/>
  <c r="AE75" i="5"/>
  <c r="AI76" i="5"/>
  <c r="AJ76" i="5" s="1"/>
  <c r="AW76" i="5" s="1"/>
  <c r="AG86" i="10"/>
  <c r="W76" i="5"/>
  <c r="BD76" i="5" s="1"/>
  <c r="AY76" i="5"/>
  <c r="AD76" i="5"/>
  <c r="X77" i="5"/>
  <c r="AX77" i="5" s="1"/>
  <c r="AH77" i="5"/>
  <c r="Y77" i="5"/>
  <c r="AS78" i="5"/>
  <c r="R77" i="5"/>
  <c r="S77" i="5" s="1"/>
  <c r="AM77" i="5" s="1"/>
  <c r="AG77" i="5"/>
  <c r="AK75" i="5"/>
  <c r="AV75" i="5" s="1"/>
  <c r="AJ75" i="5"/>
  <c r="AU69" i="5"/>
  <c r="AF69" i="5"/>
  <c r="B70" i="5"/>
  <c r="BB73" i="5"/>
  <c r="BC73" i="5" s="1"/>
  <c r="AQ73" i="5"/>
  <c r="C75" i="5"/>
  <c r="AP74" i="5"/>
  <c r="D75" i="5"/>
  <c r="AK76" i="5" l="1"/>
  <c r="AV76" i="5" s="1"/>
  <c r="AL76" i="5"/>
  <c r="AF86" i="10"/>
  <c r="AH86" i="10"/>
  <c r="AE76" i="5"/>
  <c r="AI77" i="5"/>
  <c r="W77" i="5"/>
  <c r="BD77" i="5" s="1"/>
  <c r="AW75" i="5"/>
  <c r="AL75" i="5"/>
  <c r="Y78" i="5"/>
  <c r="AG78" i="5"/>
  <c r="R78" i="5"/>
  <c r="S78" i="5" s="1"/>
  <c r="AM78" i="5" s="1"/>
  <c r="AH78" i="5"/>
  <c r="X78" i="5"/>
  <c r="AX78" i="5" s="1"/>
  <c r="AS79" i="5"/>
  <c r="AD77" i="5"/>
  <c r="AY77" i="5"/>
  <c r="BB74" i="5"/>
  <c r="BC74" i="5" s="1"/>
  <c r="AQ74" i="5"/>
  <c r="B71" i="5"/>
  <c r="AF70" i="5"/>
  <c r="AU70" i="5"/>
  <c r="D76" i="5"/>
  <c r="AP75" i="5"/>
  <c r="C76" i="5"/>
  <c r="AE77" i="5" l="1"/>
  <c r="W78" i="5"/>
  <c r="BD78" i="5" s="1"/>
  <c r="AK77" i="5"/>
  <c r="AV77" i="5" s="1"/>
  <c r="AJ77" i="5"/>
  <c r="AS80" i="5"/>
  <c r="R79" i="5"/>
  <c r="S79" i="5" s="1"/>
  <c r="AM79" i="5" s="1"/>
  <c r="AG79" i="5"/>
  <c r="X79" i="5"/>
  <c r="AX79" i="5" s="1"/>
  <c r="AH79" i="5"/>
  <c r="Y79" i="5"/>
  <c r="AI78" i="5"/>
  <c r="AY78" i="5"/>
  <c r="AD78" i="5"/>
  <c r="BB75" i="5"/>
  <c r="BC75" i="5" s="1"/>
  <c r="AQ75" i="5"/>
  <c r="C77" i="5"/>
  <c r="AP76" i="5"/>
  <c r="D77" i="5"/>
  <c r="AU71" i="5"/>
  <c r="B72" i="5"/>
  <c r="AF71" i="5"/>
  <c r="AE78" i="5" l="1"/>
  <c r="AW77" i="5"/>
  <c r="AL77" i="5"/>
  <c r="AI79" i="5"/>
  <c r="AJ79" i="5" s="1"/>
  <c r="AW79" i="5" s="1"/>
  <c r="AK78" i="5"/>
  <c r="AV78" i="5" s="1"/>
  <c r="AJ78" i="5"/>
  <c r="AY79" i="5"/>
  <c r="AD79" i="5"/>
  <c r="W79" i="5"/>
  <c r="BD79" i="5" s="1"/>
  <c r="AH80" i="5"/>
  <c r="X80" i="5"/>
  <c r="AX80" i="5" s="1"/>
  <c r="AS81" i="5"/>
  <c r="AG80" i="5"/>
  <c r="R80" i="5"/>
  <c r="S80" i="5" s="1"/>
  <c r="AM80" i="5" s="1"/>
  <c r="Y80" i="5"/>
  <c r="D78" i="5"/>
  <c r="AP77" i="5"/>
  <c r="C78" i="5"/>
  <c r="AU72" i="5"/>
  <c r="AF72" i="5"/>
  <c r="B73" i="5"/>
  <c r="BB76" i="5"/>
  <c r="BC76" i="5" s="1"/>
  <c r="AQ76" i="5"/>
  <c r="AL79" i="5" l="1"/>
  <c r="AK79" i="5"/>
  <c r="AV79" i="5" s="1"/>
  <c r="AE79" i="5"/>
  <c r="AY80" i="5"/>
  <c r="AD80" i="5"/>
  <c r="AG81" i="5"/>
  <c r="Y81" i="5"/>
  <c r="X81" i="5"/>
  <c r="AX81" i="5" s="1"/>
  <c r="AH81" i="5"/>
  <c r="AS82" i="5"/>
  <c r="R81" i="5"/>
  <c r="S81" i="5" s="1"/>
  <c r="AM81" i="5" s="1"/>
  <c r="AW78" i="5"/>
  <c r="AL78" i="5"/>
  <c r="W80" i="5"/>
  <c r="AI80" i="5"/>
  <c r="AU73" i="5"/>
  <c r="AF73" i="5"/>
  <c r="B74" i="5"/>
  <c r="C79" i="5"/>
  <c r="AP78" i="5"/>
  <c r="D79" i="5"/>
  <c r="BB77" i="5"/>
  <c r="BC77" i="5" s="1"/>
  <c r="AQ77" i="5"/>
  <c r="AI81" i="5" l="1"/>
  <c r="AJ81" i="5" s="1"/>
  <c r="AW81" i="5" s="1"/>
  <c r="AS83" i="5"/>
  <c r="AG82" i="5"/>
  <c r="R82" i="5"/>
  <c r="S82" i="5" s="1"/>
  <c r="AM82" i="5" s="1"/>
  <c r="AH82" i="5"/>
  <c r="X82" i="5"/>
  <c r="AX82" i="5" s="1"/>
  <c r="Y82" i="5"/>
  <c r="AJ80" i="5"/>
  <c r="AK80" i="5"/>
  <c r="AV80" i="5" s="1"/>
  <c r="AY81" i="5"/>
  <c r="AD81" i="5"/>
  <c r="W81" i="5"/>
  <c r="BD81" i="5" s="1"/>
  <c r="BD80" i="5"/>
  <c r="AE80" i="5"/>
  <c r="B75" i="5"/>
  <c r="AF74" i="5"/>
  <c r="AU74" i="5"/>
  <c r="BB78" i="5"/>
  <c r="BC78" i="5" s="1"/>
  <c r="AQ78" i="5"/>
  <c r="D80" i="5"/>
  <c r="AP79" i="5"/>
  <c r="C80" i="5"/>
  <c r="W82" i="5" l="1"/>
  <c r="BD82" i="5" s="1"/>
  <c r="AK81" i="5"/>
  <c r="AV81" i="5" s="1"/>
  <c r="AL81" i="5"/>
  <c r="AW80" i="5"/>
  <c r="AL80" i="5"/>
  <c r="AE81" i="5"/>
  <c r="AD82" i="5"/>
  <c r="AY82" i="5"/>
  <c r="AI82" i="5"/>
  <c r="AG83" i="5"/>
  <c r="R83" i="5"/>
  <c r="S83" i="5" s="1"/>
  <c r="AM83" i="5" s="1"/>
  <c r="Y83" i="5"/>
  <c r="AS84" i="5"/>
  <c r="X83" i="5"/>
  <c r="AX83" i="5" s="1"/>
  <c r="AH83" i="5"/>
  <c r="AU75" i="5"/>
  <c r="B76" i="5"/>
  <c r="AF75" i="5"/>
  <c r="C81" i="5"/>
  <c r="AP80" i="5"/>
  <c r="D81" i="5"/>
  <c r="BB79" i="5"/>
  <c r="BC79" i="5" s="1"/>
  <c r="AQ79" i="5"/>
  <c r="AE82" i="5" l="1"/>
  <c r="W83" i="5"/>
  <c r="AI83" i="5"/>
  <c r="R84" i="5"/>
  <c r="S84" i="5" s="1"/>
  <c r="AM84" i="5" s="1"/>
  <c r="X84" i="5"/>
  <c r="AX84" i="5" s="1"/>
  <c r="AH84" i="5"/>
  <c r="AG84" i="5"/>
  <c r="Y84" i="5"/>
  <c r="AS85" i="5"/>
  <c r="AK82" i="5"/>
  <c r="AV82" i="5" s="1"/>
  <c r="AJ82" i="5"/>
  <c r="AY83" i="5"/>
  <c r="AD83" i="5"/>
  <c r="BD83" i="5"/>
  <c r="D82" i="5"/>
  <c r="AP81" i="5"/>
  <c r="C82" i="5"/>
  <c r="B77" i="5"/>
  <c r="AF76" i="5"/>
  <c r="AU76" i="5"/>
  <c r="BB80" i="5"/>
  <c r="BC80" i="5" s="1"/>
  <c r="AQ80" i="5"/>
  <c r="AE83" i="5" l="1"/>
  <c r="W84" i="5"/>
  <c r="BD84" i="5" s="1"/>
  <c r="AG85" i="5"/>
  <c r="X85" i="5"/>
  <c r="AX85" i="5" s="1"/>
  <c r="AS86" i="5"/>
  <c r="R85" i="5"/>
  <c r="S85" i="5" s="1"/>
  <c r="AM85" i="5" s="1"/>
  <c r="AH85" i="5"/>
  <c r="Y85" i="5"/>
  <c r="AD84" i="5"/>
  <c r="AY84" i="5"/>
  <c r="AW82" i="5"/>
  <c r="AL82" i="5"/>
  <c r="AI84" i="5"/>
  <c r="AK83" i="5"/>
  <c r="AV83" i="5" s="1"/>
  <c r="AJ83" i="5"/>
  <c r="D83" i="5"/>
  <c r="C83" i="5"/>
  <c r="AP82" i="5"/>
  <c r="BB81" i="5"/>
  <c r="BC81" i="5" s="1"/>
  <c r="AQ81" i="5"/>
  <c r="AU77" i="5"/>
  <c r="B78" i="5"/>
  <c r="AF77" i="5"/>
  <c r="AE84" i="5" l="1"/>
  <c r="W85" i="5"/>
  <c r="AJ84" i="5"/>
  <c r="AK84" i="5"/>
  <c r="AV84" i="5" s="1"/>
  <c r="AH86" i="5"/>
  <c r="X86" i="5"/>
  <c r="AX86" i="5" s="1"/>
  <c r="Y86" i="5"/>
  <c r="AG86" i="5"/>
  <c r="R86" i="5"/>
  <c r="S86" i="5" s="1"/>
  <c r="AM86" i="5" s="1"/>
  <c r="AS87" i="5"/>
  <c r="AD85" i="5"/>
  <c r="AY85" i="5"/>
  <c r="AW83" i="5"/>
  <c r="AL83" i="5"/>
  <c r="AI85" i="5"/>
  <c r="D84" i="5"/>
  <c r="AP83" i="5"/>
  <c r="C84" i="5"/>
  <c r="B79" i="5"/>
  <c r="AF78" i="5"/>
  <c r="AU78" i="5"/>
  <c r="BB82" i="5"/>
  <c r="BC82" i="5" s="1"/>
  <c r="AQ82" i="5"/>
  <c r="AI86" i="5" l="1"/>
  <c r="AK85" i="5"/>
  <c r="AV85" i="5" s="1"/>
  <c r="AJ85" i="5"/>
  <c r="AD86" i="5"/>
  <c r="AY86" i="5"/>
  <c r="AW84" i="5"/>
  <c r="AL84" i="5"/>
  <c r="W86" i="5"/>
  <c r="BD86" i="5" s="1"/>
  <c r="Y87" i="5"/>
  <c r="R87" i="5"/>
  <c r="S87" i="5" s="1"/>
  <c r="AM87" i="5" s="1"/>
  <c r="AS88" i="5"/>
  <c r="AH87" i="5"/>
  <c r="AG87" i="5"/>
  <c r="X87" i="5"/>
  <c r="AX87" i="5" s="1"/>
  <c r="AE85" i="5"/>
  <c r="BD85" i="5"/>
  <c r="BB83" i="5"/>
  <c r="BC83" i="5" s="1"/>
  <c r="AQ83" i="5"/>
  <c r="AU79" i="5"/>
  <c r="B80" i="5"/>
  <c r="AF79" i="5"/>
  <c r="C85" i="5"/>
  <c r="AP84" i="5"/>
  <c r="D85" i="5"/>
  <c r="W87" i="5" l="1"/>
  <c r="BD87" i="5" s="1"/>
  <c r="AG88" i="5"/>
  <c r="Y88" i="5"/>
  <c r="AS89" i="5"/>
  <c r="R88" i="5"/>
  <c r="S88" i="5" s="1"/>
  <c r="AM88" i="5" s="1"/>
  <c r="X88" i="5"/>
  <c r="AX88" i="5" s="1"/>
  <c r="AH88" i="5"/>
  <c r="AW85" i="5"/>
  <c r="AL85" i="5"/>
  <c r="AE86" i="5"/>
  <c r="AI87" i="5"/>
  <c r="AD87" i="5"/>
  <c r="AY87" i="5"/>
  <c r="AJ86" i="5"/>
  <c r="AK86" i="5"/>
  <c r="AV86" i="5" s="1"/>
  <c r="B81" i="5"/>
  <c r="AF80" i="5"/>
  <c r="AU80" i="5"/>
  <c r="BB84" i="5"/>
  <c r="BC84" i="5" s="1"/>
  <c r="AQ84" i="5"/>
  <c r="D86" i="5"/>
  <c r="AP85" i="5"/>
  <c r="C86" i="5"/>
  <c r="AE87" i="5" l="1"/>
  <c r="W88" i="5"/>
  <c r="BD88" i="5" s="1"/>
  <c r="AS90" i="5"/>
  <c r="AH89" i="5"/>
  <c r="AG89" i="5"/>
  <c r="R89" i="5"/>
  <c r="S89" i="5" s="1"/>
  <c r="AM89" i="5" s="1"/>
  <c r="X89" i="5"/>
  <c r="AX89" i="5" s="1"/>
  <c r="Y89" i="5"/>
  <c r="AK87" i="5"/>
  <c r="AV87" i="5" s="1"/>
  <c r="AJ87" i="5"/>
  <c r="AD88" i="5"/>
  <c r="AY88" i="5"/>
  <c r="AL86" i="5"/>
  <c r="AW86" i="5"/>
  <c r="AI88" i="5"/>
  <c r="AP86" i="5"/>
  <c r="D87" i="5"/>
  <c r="C87" i="5"/>
  <c r="BB85" i="5"/>
  <c r="BC85" i="5" s="1"/>
  <c r="AQ85" i="5"/>
  <c r="AU81" i="5"/>
  <c r="B82" i="5"/>
  <c r="AF81" i="5"/>
  <c r="AE88" i="5" l="1"/>
  <c r="W89" i="5"/>
  <c r="BD89" i="5" s="1"/>
  <c r="AI89" i="5"/>
  <c r="AJ89" i="5" s="1"/>
  <c r="AW89" i="5" s="1"/>
  <c r="AW87" i="5"/>
  <c r="AL87" i="5"/>
  <c r="AJ88" i="5"/>
  <c r="AK88" i="5"/>
  <c r="AV88" i="5" s="1"/>
  <c r="AD89" i="5"/>
  <c r="AY89" i="5"/>
  <c r="X90" i="5"/>
  <c r="AG90" i="5"/>
  <c r="R90" i="5"/>
  <c r="S90" i="5" s="1"/>
  <c r="AM90" i="5" s="1"/>
  <c r="AM91" i="5" s="1"/>
  <c r="AH90" i="5"/>
  <c r="AH91" i="5" s="1"/>
  <c r="Y90" i="5"/>
  <c r="B83" i="5"/>
  <c r="AF82" i="5"/>
  <c r="AU82" i="5"/>
  <c r="D88" i="5"/>
  <c r="AP87" i="5"/>
  <c r="C88" i="5"/>
  <c r="BB86" i="5"/>
  <c r="BC86" i="5" s="1"/>
  <c r="AQ86" i="5"/>
  <c r="AE89" i="5" l="1"/>
  <c r="AK89" i="5"/>
  <c r="AV89" i="5" s="1"/>
  <c r="S91" i="5"/>
  <c r="W90" i="5"/>
  <c r="BD90" i="5" s="1"/>
  <c r="BD91" i="5" s="1"/>
  <c r="AI90" i="5"/>
  <c r="AY90" i="5"/>
  <c r="AY91" i="5" s="1"/>
  <c r="AD90" i="5"/>
  <c r="Y91" i="5"/>
  <c r="AL89" i="5"/>
  <c r="AW88" i="5"/>
  <c r="AL88" i="5"/>
  <c r="AX90" i="5"/>
  <c r="AX91" i="5" s="1"/>
  <c r="X91" i="5"/>
  <c r="R91" i="5"/>
  <c r="BB87" i="5"/>
  <c r="BC87" i="5" s="1"/>
  <c r="AQ87" i="5"/>
  <c r="AU83" i="5"/>
  <c r="B84" i="5"/>
  <c r="AF83" i="5"/>
  <c r="I109" i="5"/>
  <c r="AP88" i="5"/>
  <c r="D89" i="5"/>
  <c r="C89" i="5"/>
  <c r="W91" i="5" l="1"/>
  <c r="AJ90" i="5"/>
  <c r="AK90" i="5"/>
  <c r="AV90" i="5" s="1"/>
  <c r="I107" i="5"/>
  <c r="T107" i="5"/>
  <c r="AD91" i="5"/>
  <c r="AE90" i="5"/>
  <c r="AE91" i="5" s="1"/>
  <c r="D90" i="5"/>
  <c r="AP89" i="5"/>
  <c r="C90" i="5"/>
  <c r="AP90" i="5" s="1"/>
  <c r="BB88" i="5"/>
  <c r="BC88" i="5" s="1"/>
  <c r="AQ88" i="5"/>
  <c r="B85" i="5"/>
  <c r="AF84" i="5"/>
  <c r="AU84" i="5"/>
  <c r="AW90" i="5" l="1"/>
  <c r="AL90" i="5"/>
  <c r="BB89" i="5"/>
  <c r="BC89" i="5" s="1"/>
  <c r="AQ89" i="5"/>
  <c r="AU85" i="5"/>
  <c r="B86" i="5"/>
  <c r="AF85" i="5"/>
  <c r="BB90" i="5"/>
  <c r="AQ90" i="5"/>
  <c r="B87" i="5" l="1"/>
  <c r="AF86" i="5"/>
  <c r="AU86" i="5"/>
  <c r="BC90" i="5"/>
  <c r="AU87" i="5" l="1"/>
  <c r="B88" i="5"/>
  <c r="AF87" i="5"/>
  <c r="B89" i="5" l="1"/>
  <c r="AF88" i="5"/>
  <c r="AU88" i="5"/>
  <c r="AU89" i="5" l="1"/>
  <c r="B90" i="5"/>
  <c r="AF89" i="5"/>
  <c r="AF90" i="5" l="1"/>
  <c r="AF91" i="5" s="1"/>
  <c r="AU90" i="5"/>
  <c r="AF94" i="5" l="1"/>
  <c r="AG26" i="5"/>
  <c r="J6" i="5" s="1"/>
  <c r="AI26" i="5" l="1"/>
  <c r="AG27" i="5"/>
  <c r="AG28" i="5" l="1"/>
  <c r="AI27" i="5"/>
  <c r="AK26" i="5"/>
  <c r="AV26" i="5" s="1"/>
  <c r="AJ26" i="5"/>
  <c r="AQ26" i="5" l="1"/>
  <c r="AW26" i="5"/>
  <c r="AL26" i="5"/>
  <c r="AJ27" i="5"/>
  <c r="AK27" i="5"/>
  <c r="AQ27" i="5" s="1"/>
  <c r="AI28" i="5"/>
  <c r="AG29" i="5"/>
  <c r="AV27" i="5" l="1"/>
  <c r="AK28" i="5"/>
  <c r="AQ28" i="5" s="1"/>
  <c r="AJ28" i="5"/>
  <c r="AW27" i="5"/>
  <c r="AL27" i="5"/>
  <c r="AO26" i="5"/>
  <c r="AN26" i="5"/>
  <c r="AI29" i="5"/>
  <c r="AG30" i="5"/>
  <c r="BC26" i="5"/>
  <c r="BC27" i="5" l="1"/>
  <c r="AV28" i="5"/>
  <c r="AI30" i="5"/>
  <c r="AG31" i="5"/>
  <c r="BE26" i="5"/>
  <c r="AR26" i="5"/>
  <c r="AO27" i="5"/>
  <c r="AN27" i="5"/>
  <c r="AW28" i="5"/>
  <c r="AL28" i="5"/>
  <c r="AJ29" i="5"/>
  <c r="AK29" i="5"/>
  <c r="AQ29" i="5" s="1"/>
  <c r="BC28" i="5" l="1"/>
  <c r="AV29" i="5"/>
  <c r="AI31" i="5"/>
  <c r="AG32" i="5"/>
  <c r="AO28" i="5"/>
  <c r="AN28" i="5"/>
  <c r="AK30" i="5"/>
  <c r="AQ30" i="5" s="1"/>
  <c r="AJ30" i="5"/>
  <c r="AL29" i="5"/>
  <c r="AW29" i="5"/>
  <c r="BC29" i="5" s="1"/>
  <c r="BG26" i="5"/>
  <c r="BE27" i="5"/>
  <c r="AR27" i="5"/>
  <c r="AV30" i="5" l="1"/>
  <c r="BH26" i="5"/>
  <c r="BE28" i="5"/>
  <c r="AR28" i="5"/>
  <c r="AI32" i="5"/>
  <c r="AG33" i="5"/>
  <c r="AK31" i="5"/>
  <c r="AQ31" i="5" s="1"/>
  <c r="AJ31" i="5"/>
  <c r="AN29" i="5"/>
  <c r="AO29" i="5"/>
  <c r="AW30" i="5"/>
  <c r="AL30" i="5"/>
  <c r="BC30" i="5" l="1"/>
  <c r="AV31" i="5"/>
  <c r="AI33" i="5"/>
  <c r="AG34" i="5"/>
  <c r="BE29" i="5"/>
  <c r="AR29" i="5"/>
  <c r="AK32" i="5"/>
  <c r="AP35" i="5" s="1"/>
  <c r="AJ32" i="5"/>
  <c r="BJ26" i="5"/>
  <c r="AO30" i="5"/>
  <c r="AN30" i="5"/>
  <c r="AW31" i="5"/>
  <c r="AL31" i="5"/>
  <c r="BC31" i="5" l="1"/>
  <c r="AV32" i="5"/>
  <c r="AQ32" i="5"/>
  <c r="AI34" i="5"/>
  <c r="AG35" i="5"/>
  <c r="AN31" i="5"/>
  <c r="AO31" i="5"/>
  <c r="AW32" i="5"/>
  <c r="AL32" i="5"/>
  <c r="AK33" i="5"/>
  <c r="AV33" i="5" s="1"/>
  <c r="AJ33" i="5"/>
  <c r="BI27" i="5"/>
  <c r="BK26" i="5"/>
  <c r="BE30" i="5"/>
  <c r="AR30" i="5"/>
  <c r="BC32" i="5" l="1"/>
  <c r="BL26" i="5"/>
  <c r="BF27" i="5" s="1"/>
  <c r="BE31" i="5"/>
  <c r="AR31" i="5"/>
  <c r="AW33" i="5"/>
  <c r="BC33" i="5" s="1"/>
  <c r="AL33" i="5"/>
  <c r="AK34" i="5"/>
  <c r="AV34" i="5" s="1"/>
  <c r="AJ34" i="5"/>
  <c r="AQ33" i="5"/>
  <c r="AO32" i="5"/>
  <c r="AN32" i="5"/>
  <c r="AI35" i="5"/>
  <c r="AG36" i="5"/>
  <c r="AQ34" i="5" l="1"/>
  <c r="BG27" i="5"/>
  <c r="AI36" i="5"/>
  <c r="AG37" i="5"/>
  <c r="AK35" i="5"/>
  <c r="AV35" i="5" s="1"/>
  <c r="AJ35" i="5"/>
  <c r="AN33" i="5"/>
  <c r="BE33" i="5" s="1"/>
  <c r="AO33" i="5"/>
  <c r="BE32" i="5"/>
  <c r="AR32" i="5"/>
  <c r="AW34" i="5"/>
  <c r="BC34" i="5" s="1"/>
  <c r="AL34" i="5"/>
  <c r="BH27" i="5" l="1"/>
  <c r="AQ35" i="5"/>
  <c r="AR33" i="5"/>
  <c r="AO34" i="5"/>
  <c r="AN34" i="5"/>
  <c r="AI37" i="5"/>
  <c r="AG38" i="5"/>
  <c r="AJ36" i="5"/>
  <c r="AK36" i="5"/>
  <c r="AV36" i="5" s="1"/>
  <c r="AW35" i="5"/>
  <c r="BC35" i="5" s="1"/>
  <c r="AL35" i="5"/>
  <c r="BJ27" i="5" l="1"/>
  <c r="AQ36" i="5"/>
  <c r="AK37" i="5"/>
  <c r="AQ37" i="5" s="1"/>
  <c r="AJ37" i="5"/>
  <c r="AW36" i="5"/>
  <c r="BC36" i="5" s="1"/>
  <c r="AL36" i="5"/>
  <c r="AO35" i="5"/>
  <c r="AN35" i="5"/>
  <c r="AI38" i="5"/>
  <c r="AG39" i="5"/>
  <c r="BE34" i="5"/>
  <c r="AR34" i="5"/>
  <c r="BK27" i="5" l="1"/>
  <c r="BI28" i="5"/>
  <c r="AV37" i="5"/>
  <c r="AI39" i="5"/>
  <c r="AG40" i="5"/>
  <c r="AJ38" i="5"/>
  <c r="AK38" i="5"/>
  <c r="AQ38" i="5" s="1"/>
  <c r="AW37" i="5"/>
  <c r="AL37" i="5"/>
  <c r="BE35" i="5"/>
  <c r="AR35" i="5"/>
  <c r="AN36" i="5"/>
  <c r="AO36" i="5"/>
  <c r="BL27" i="5" l="1"/>
  <c r="BC37" i="5"/>
  <c r="AV38" i="5"/>
  <c r="AN37" i="5"/>
  <c r="AO37" i="5"/>
  <c r="AK39" i="5"/>
  <c r="AV39" i="5" s="1"/>
  <c r="AJ39" i="5"/>
  <c r="AI40" i="5"/>
  <c r="AG41" i="5"/>
  <c r="BE36" i="5"/>
  <c r="AR36" i="5"/>
  <c r="AW38" i="5"/>
  <c r="AL38" i="5"/>
  <c r="BF28" i="5" l="1"/>
  <c r="BG28" i="5" s="1"/>
  <c r="BH28" i="5" s="1"/>
  <c r="BJ28" i="5" s="1"/>
  <c r="BC38" i="5"/>
  <c r="AQ39" i="5"/>
  <c r="AI41" i="5"/>
  <c r="AG42" i="5"/>
  <c r="BE37" i="5"/>
  <c r="AR37" i="5"/>
  <c r="AN38" i="5"/>
  <c r="AO38" i="5"/>
  <c r="AJ40" i="5"/>
  <c r="AK40" i="5"/>
  <c r="AV40" i="5" s="1"/>
  <c r="AW39" i="5"/>
  <c r="BC39" i="5" s="1"/>
  <c r="AL39" i="5"/>
  <c r="BI29" i="5" l="1"/>
  <c r="BK28" i="5"/>
  <c r="AQ40" i="5"/>
  <c r="AN39" i="5"/>
  <c r="AO39" i="5"/>
  <c r="AJ41" i="5"/>
  <c r="AK41" i="5"/>
  <c r="AV41" i="5" s="1"/>
  <c r="AW40" i="5"/>
  <c r="BC40" i="5" s="1"/>
  <c r="AL40" i="5"/>
  <c r="BE38" i="5"/>
  <c r="AR38" i="5"/>
  <c r="AI42" i="5"/>
  <c r="AG43" i="5"/>
  <c r="BL28" i="5" l="1"/>
  <c r="AI43" i="5"/>
  <c r="AG44" i="5"/>
  <c r="AQ41" i="5"/>
  <c r="BE39" i="5"/>
  <c r="AR39" i="5"/>
  <c r="AN40" i="5"/>
  <c r="AO40" i="5"/>
  <c r="AJ42" i="5"/>
  <c r="AK42" i="5"/>
  <c r="AQ42" i="5" s="1"/>
  <c r="AW41" i="5"/>
  <c r="BC41" i="5" s="1"/>
  <c r="AL41" i="5"/>
  <c r="BF29" i="5" l="1"/>
  <c r="BG29" i="5" s="1"/>
  <c r="BH29" i="5" s="1"/>
  <c r="BJ29" i="5" s="1"/>
  <c r="BI30" i="5" s="1"/>
  <c r="AV42" i="5"/>
  <c r="AI44" i="5"/>
  <c r="AG45" i="5"/>
  <c r="AN41" i="5"/>
  <c r="BE41" i="5" s="1"/>
  <c r="AO41" i="5"/>
  <c r="BE40" i="5"/>
  <c r="AR40" i="5"/>
  <c r="AK43" i="5"/>
  <c r="AQ43" i="5" s="1"/>
  <c r="AJ43" i="5"/>
  <c r="AW42" i="5"/>
  <c r="AL42" i="5"/>
  <c r="BK29" i="5" l="1"/>
  <c r="BL29" i="5" s="1"/>
  <c r="BF30" i="5" s="1"/>
  <c r="BG30" i="5" s="1"/>
  <c r="BH30" i="5" s="1"/>
  <c r="BJ30" i="5" s="1"/>
  <c r="BI31" i="5" s="1"/>
  <c r="BC42" i="5"/>
  <c r="AR41" i="5"/>
  <c r="AN42" i="5"/>
  <c r="AO42" i="5"/>
  <c r="AV43" i="5"/>
  <c r="AI45" i="5"/>
  <c r="AG46" i="5"/>
  <c r="AW43" i="5"/>
  <c r="AL43" i="5"/>
  <c r="AJ44" i="5"/>
  <c r="AK44" i="5"/>
  <c r="AP47" i="5" s="1"/>
  <c r="BK30" i="5" l="1"/>
  <c r="BL30" i="5" s="1"/>
  <c r="BF31" i="5" s="1"/>
  <c r="BG31" i="5" s="1"/>
  <c r="BH31" i="5" s="1"/>
  <c r="BJ31" i="5" s="1"/>
  <c r="BI32" i="5" s="1"/>
  <c r="AW44" i="5"/>
  <c r="AL44" i="5"/>
  <c r="AV44" i="5"/>
  <c r="AN43" i="5"/>
  <c r="AO43" i="5"/>
  <c r="BC43" i="5"/>
  <c r="AI46" i="5"/>
  <c r="AG47" i="5"/>
  <c r="BE42" i="5"/>
  <c r="AR42" i="5"/>
  <c r="AQ44" i="5"/>
  <c r="AK45" i="5"/>
  <c r="AV45" i="5" s="1"/>
  <c r="AJ45" i="5"/>
  <c r="BK31" i="5" l="1"/>
  <c r="BL31" i="5" s="1"/>
  <c r="BF32" i="5" s="1"/>
  <c r="BG32" i="5" s="1"/>
  <c r="BH32" i="5" s="1"/>
  <c r="BJ32" i="5" s="1"/>
  <c r="BK32" i="5" s="1"/>
  <c r="BL32" i="5" s="1"/>
  <c r="BF33" i="5" s="1"/>
  <c r="BG33" i="5" s="1"/>
  <c r="BH33" i="5" s="1"/>
  <c r="AQ45" i="5"/>
  <c r="BC44" i="5"/>
  <c r="AW45" i="5"/>
  <c r="BC45" i="5" s="1"/>
  <c r="AL45" i="5"/>
  <c r="BE43" i="5"/>
  <c r="AR43" i="5"/>
  <c r="AI47" i="5"/>
  <c r="AG48" i="5"/>
  <c r="AN44" i="5"/>
  <c r="BE44" i="5" s="1"/>
  <c r="AO44" i="5"/>
  <c r="AJ46" i="5"/>
  <c r="AK46" i="5"/>
  <c r="AQ46" i="5" s="1"/>
  <c r="BI33" i="5" l="1"/>
  <c r="BJ33" i="5" s="1"/>
  <c r="BI34" i="5" s="1"/>
  <c r="AV46" i="5"/>
  <c r="AW46" i="5"/>
  <c r="AL46" i="5"/>
  <c r="AI48" i="5"/>
  <c r="AG49" i="5"/>
  <c r="AK47" i="5"/>
  <c r="AQ47" i="5" s="1"/>
  <c r="AJ47" i="5"/>
  <c r="AN45" i="5"/>
  <c r="AO45" i="5"/>
  <c r="AR44" i="5"/>
  <c r="BK33" i="5" l="1"/>
  <c r="BL33" i="5" s="1"/>
  <c r="BF34" i="5" s="1"/>
  <c r="BG34" i="5" s="1"/>
  <c r="BH34" i="5" s="1"/>
  <c r="BJ34" i="5" s="1"/>
  <c r="BC46" i="5"/>
  <c r="AV47" i="5"/>
  <c r="AN46" i="5"/>
  <c r="AO46" i="5"/>
  <c r="AW47" i="5"/>
  <c r="AL47" i="5"/>
  <c r="AI49" i="5"/>
  <c r="AG50" i="5"/>
  <c r="BE45" i="5"/>
  <c r="AR45" i="5"/>
  <c r="AJ48" i="5"/>
  <c r="AK48" i="5"/>
  <c r="AQ48" i="5" s="1"/>
  <c r="BK34" i="5" l="1"/>
  <c r="BL34" i="5" s="1"/>
  <c r="BF35" i="5" s="1"/>
  <c r="BG35" i="5" s="1"/>
  <c r="BH35" i="5" s="1"/>
  <c r="BI35" i="5"/>
  <c r="BC47" i="5"/>
  <c r="AV48" i="5"/>
  <c r="AN47" i="5"/>
  <c r="AO47" i="5"/>
  <c r="AK49" i="5"/>
  <c r="AV49" i="5" s="1"/>
  <c r="AJ49" i="5"/>
  <c r="AW48" i="5"/>
  <c r="AL48" i="5"/>
  <c r="BE46" i="5"/>
  <c r="AR46" i="5"/>
  <c r="AI50" i="5"/>
  <c r="AG51" i="5"/>
  <c r="BJ35" i="5" l="1"/>
  <c r="BC48" i="5"/>
  <c r="AQ49" i="5"/>
  <c r="AI51" i="5"/>
  <c r="AG52" i="5"/>
  <c r="AW49" i="5"/>
  <c r="BC49" i="5" s="1"/>
  <c r="AL49" i="5"/>
  <c r="BE47" i="5"/>
  <c r="AR47" i="5"/>
  <c r="AN48" i="5"/>
  <c r="AO48" i="5"/>
  <c r="AJ50" i="5"/>
  <c r="AK50" i="5"/>
  <c r="AQ50" i="5" s="1"/>
  <c r="BI36" i="5" l="1"/>
  <c r="BK35" i="5"/>
  <c r="BL35" i="5" s="1"/>
  <c r="BF36" i="5" s="1"/>
  <c r="BG36" i="5" s="1"/>
  <c r="BH36" i="5" s="1"/>
  <c r="AV50" i="5"/>
  <c r="AK51" i="5"/>
  <c r="AQ51" i="5" s="1"/>
  <c r="AJ51" i="5"/>
  <c r="AW50" i="5"/>
  <c r="AL50" i="5"/>
  <c r="AO49" i="5"/>
  <c r="AN49" i="5"/>
  <c r="BE48" i="5"/>
  <c r="AR48" i="5"/>
  <c r="AI52" i="5"/>
  <c r="AG53" i="5"/>
  <c r="BJ36" i="5" l="1"/>
  <c r="BK36" i="5" s="1"/>
  <c r="BL36" i="5" s="1"/>
  <c r="BC50" i="5"/>
  <c r="AV51" i="5"/>
  <c r="BE49" i="5"/>
  <c r="AR49" i="5"/>
  <c r="AI53" i="5"/>
  <c r="AG54" i="5"/>
  <c r="AO50" i="5"/>
  <c r="AN50" i="5"/>
  <c r="AW51" i="5"/>
  <c r="AL51" i="5"/>
  <c r="AJ52" i="5"/>
  <c r="AK52" i="5"/>
  <c r="AQ52" i="5" s="1"/>
  <c r="BI37" i="5" l="1"/>
  <c r="BC51" i="5"/>
  <c r="BF37" i="5"/>
  <c r="AV52" i="5"/>
  <c r="AK53" i="5"/>
  <c r="AV53" i="5" s="1"/>
  <c r="AJ53" i="5"/>
  <c r="AW52" i="5"/>
  <c r="AL52" i="5"/>
  <c r="BE50" i="5"/>
  <c r="AR50" i="5"/>
  <c r="AO51" i="5"/>
  <c r="AN51" i="5"/>
  <c r="AI54" i="5"/>
  <c r="AG55" i="5"/>
  <c r="BC52" i="5" l="1"/>
  <c r="BG37" i="5"/>
  <c r="AQ53" i="5"/>
  <c r="BE51" i="5"/>
  <c r="AR51" i="5"/>
  <c r="AI55" i="5"/>
  <c r="AG56" i="5"/>
  <c r="AJ54" i="5"/>
  <c r="AK54" i="5"/>
  <c r="AV54" i="5" s="1"/>
  <c r="AO52" i="5"/>
  <c r="AN52" i="5"/>
  <c r="AW53" i="5"/>
  <c r="BC53" i="5" s="1"/>
  <c r="AL53" i="5"/>
  <c r="BH37" i="5" l="1"/>
  <c r="AQ54" i="5"/>
  <c r="AK55" i="5"/>
  <c r="AQ55" i="5" s="1"/>
  <c r="AJ55" i="5"/>
  <c r="BE52" i="5"/>
  <c r="AR52" i="5"/>
  <c r="AW54" i="5"/>
  <c r="BC54" i="5" s="1"/>
  <c r="AL54" i="5"/>
  <c r="AI56" i="5"/>
  <c r="AG57" i="5"/>
  <c r="AO53" i="5"/>
  <c r="AN53" i="5"/>
  <c r="BJ37" i="5" l="1"/>
  <c r="AV55" i="5"/>
  <c r="AI57" i="5"/>
  <c r="AG58" i="5"/>
  <c r="AW55" i="5"/>
  <c r="AL55" i="5"/>
  <c r="AJ56" i="5"/>
  <c r="AK56" i="5"/>
  <c r="AP59" i="5" s="1"/>
  <c r="BE53" i="5"/>
  <c r="AR53" i="5"/>
  <c r="AO54" i="5"/>
  <c r="AN54" i="5"/>
  <c r="BI38" i="5" l="1"/>
  <c r="BK37" i="5"/>
  <c r="BL37" i="5" s="1"/>
  <c r="BB91" i="5"/>
  <c r="AP91" i="5"/>
  <c r="AW56" i="5"/>
  <c r="AL56" i="5"/>
  <c r="AI58" i="5"/>
  <c r="AG59" i="5"/>
  <c r="BE54" i="5"/>
  <c r="AR54" i="5"/>
  <c r="AV56" i="5"/>
  <c r="AK57" i="5"/>
  <c r="AV57" i="5" s="1"/>
  <c r="AJ57" i="5"/>
  <c r="AQ56" i="5"/>
  <c r="AO55" i="5"/>
  <c r="AN55" i="5"/>
  <c r="BC55" i="5"/>
  <c r="BF38" i="5" l="1"/>
  <c r="AQ57" i="5"/>
  <c r="BC56" i="5"/>
  <c r="AJ58" i="5"/>
  <c r="AK58" i="5"/>
  <c r="AQ58" i="5" s="1"/>
  <c r="BE55" i="5"/>
  <c r="AR55" i="5"/>
  <c r="AW57" i="5"/>
  <c r="BC57" i="5" s="1"/>
  <c r="AL57" i="5"/>
  <c r="AO56" i="5"/>
  <c r="AN56" i="5"/>
  <c r="BE56" i="5" s="1"/>
  <c r="AI59" i="5"/>
  <c r="AG60" i="5"/>
  <c r="BG38" i="5" l="1"/>
  <c r="AR56" i="5"/>
  <c r="AI60" i="5"/>
  <c r="AG61" i="5"/>
  <c r="AV58" i="5"/>
  <c r="AK59" i="5"/>
  <c r="AV59" i="5" s="1"/>
  <c r="AJ59" i="5"/>
  <c r="AO57" i="5"/>
  <c r="AN57" i="5"/>
  <c r="AW58" i="5"/>
  <c r="AL58" i="5"/>
  <c r="BH38" i="5" l="1"/>
  <c r="BE57" i="5"/>
  <c r="AR57" i="5"/>
  <c r="AW59" i="5"/>
  <c r="BC59" i="5" s="1"/>
  <c r="AL59" i="5"/>
  <c r="AI61" i="5"/>
  <c r="AG91" i="5"/>
  <c r="AK60" i="5"/>
  <c r="AQ60" i="5" s="1"/>
  <c r="AJ60" i="5"/>
  <c r="AQ59" i="5"/>
  <c r="BC58" i="5"/>
  <c r="AO58" i="5"/>
  <c r="AN58" i="5"/>
  <c r="BJ38" i="5" l="1"/>
  <c r="AV60" i="5"/>
  <c r="AW60" i="5"/>
  <c r="AL60" i="5"/>
  <c r="AJ61" i="5"/>
  <c r="AK61" i="5"/>
  <c r="AK91" i="5" s="1"/>
  <c r="AI91" i="5"/>
  <c r="T96" i="5" s="1"/>
  <c r="BE58" i="5"/>
  <c r="AR58" i="5"/>
  <c r="AO59" i="5"/>
  <c r="AN59" i="5"/>
  <c r="BE59" i="5" s="1"/>
  <c r="BI39" i="5" l="1"/>
  <c r="BK38" i="5"/>
  <c r="BL38" i="5" s="1"/>
  <c r="BC60" i="5"/>
  <c r="AV61" i="5"/>
  <c r="AV91" i="5" s="1"/>
  <c r="AQ61" i="5"/>
  <c r="AR59" i="5"/>
  <c r="AN60" i="5"/>
  <c r="AO60" i="5"/>
  <c r="I96" i="5"/>
  <c r="I100" i="5" s="1"/>
  <c r="T100" i="5"/>
  <c r="AW61" i="5"/>
  <c r="AW91" i="5" s="1"/>
  <c r="AL61" i="5"/>
  <c r="AJ91" i="5"/>
  <c r="BF39" i="5" l="1"/>
  <c r="BE60" i="5"/>
  <c r="AR60" i="5"/>
  <c r="AN61" i="5"/>
  <c r="BE61" i="5" s="1"/>
  <c r="AO61" i="5"/>
  <c r="AL91" i="5"/>
  <c r="G11" i="5"/>
  <c r="AQ91" i="5"/>
  <c r="BC61" i="5"/>
  <c r="BG39" i="5" l="1"/>
  <c r="BC91" i="5"/>
  <c r="AO62" i="5"/>
  <c r="AN62" i="5"/>
  <c r="AR61" i="5"/>
  <c r="BH39" i="5" l="1"/>
  <c r="BJ39" i="5" s="1"/>
  <c r="AO63" i="5"/>
  <c r="AN63" i="5"/>
  <c r="BE62" i="5"/>
  <c r="AR62" i="5"/>
  <c r="BI40" i="5" l="1"/>
  <c r="BK39" i="5"/>
  <c r="BL39" i="5" s="1"/>
  <c r="BE63" i="5"/>
  <c r="AR63" i="5"/>
  <c r="AO64" i="5"/>
  <c r="AN64" i="5"/>
  <c r="BF40" i="5" l="1"/>
  <c r="AN65" i="5"/>
  <c r="AO65" i="5"/>
  <c r="BE64" i="5"/>
  <c r="AR64" i="5"/>
  <c r="BG40" i="5" l="1"/>
  <c r="AO66" i="5"/>
  <c r="AN66" i="5"/>
  <c r="BE65" i="5"/>
  <c r="AR65" i="5"/>
  <c r="BH40" i="5" l="1"/>
  <c r="BJ40" i="5" s="1"/>
  <c r="AN67" i="5"/>
  <c r="AO67" i="5"/>
  <c r="BE66" i="5"/>
  <c r="AR66" i="5"/>
  <c r="BI41" i="5" l="1"/>
  <c r="BK40" i="5"/>
  <c r="BL40" i="5" s="1"/>
  <c r="BF41" i="5" s="1"/>
  <c r="BG41" i="5" s="1"/>
  <c r="BH41" i="5" s="1"/>
  <c r="AN68" i="5"/>
  <c r="AO68" i="5"/>
  <c r="BE67" i="5"/>
  <c r="AR67" i="5"/>
  <c r="BJ41" i="5" l="1"/>
  <c r="BK41" i="5" s="1"/>
  <c r="BL41" i="5" s="1"/>
  <c r="BF42" i="5" s="1"/>
  <c r="BG42" i="5" s="1"/>
  <c r="BH42" i="5" s="1"/>
  <c r="BE68" i="5"/>
  <c r="AR68" i="5"/>
  <c r="AN69" i="5"/>
  <c r="AO69" i="5"/>
  <c r="BI42" i="5" l="1"/>
  <c r="BJ42" i="5" s="1"/>
  <c r="BE69" i="5"/>
  <c r="AR69" i="5"/>
  <c r="AN70" i="5"/>
  <c r="AO70" i="5"/>
  <c r="BK42" i="5" l="1"/>
  <c r="BL42" i="5" s="1"/>
  <c r="BF43" i="5" s="1"/>
  <c r="BG43" i="5" s="1"/>
  <c r="BH43" i="5" s="1"/>
  <c r="BI43" i="5"/>
  <c r="AN71" i="5"/>
  <c r="AO71" i="5"/>
  <c r="BE70" i="5"/>
  <c r="AR70" i="5"/>
  <c r="BJ43" i="5" l="1"/>
  <c r="BI44" i="5" s="1"/>
  <c r="AO72" i="5"/>
  <c r="AN72" i="5"/>
  <c r="BE71" i="5"/>
  <c r="AR71" i="5"/>
  <c r="BK43" i="5" l="1"/>
  <c r="BL43" i="5" s="1"/>
  <c r="BF44" i="5" s="1"/>
  <c r="BG44" i="5" s="1"/>
  <c r="BH44" i="5" s="1"/>
  <c r="BJ44" i="5" s="1"/>
  <c r="BI45" i="5" s="1"/>
  <c r="BE72" i="5"/>
  <c r="AR72" i="5"/>
  <c r="AO73" i="5"/>
  <c r="AN73" i="5"/>
  <c r="BK44" i="5" l="1"/>
  <c r="BL44" i="5" s="1"/>
  <c r="BF45" i="5" s="1"/>
  <c r="BG45" i="5" s="1"/>
  <c r="BH45" i="5" s="1"/>
  <c r="BJ45" i="5" s="1"/>
  <c r="BK45" i="5" s="1"/>
  <c r="BL45" i="5" s="1"/>
  <c r="BF46" i="5" s="1"/>
  <c r="BG46" i="5" s="1"/>
  <c r="BH46" i="5" s="1"/>
  <c r="BE73" i="5"/>
  <c r="AR73" i="5"/>
  <c r="AO74" i="5"/>
  <c r="AN74" i="5"/>
  <c r="BI46" i="5" l="1"/>
  <c r="BJ46" i="5" s="1"/>
  <c r="BK46" i="5" s="1"/>
  <c r="BL46" i="5" s="1"/>
  <c r="BF47" i="5" s="1"/>
  <c r="BG47" i="5" s="1"/>
  <c r="BH47" i="5" s="1"/>
  <c r="AO75" i="5"/>
  <c r="AN75" i="5"/>
  <c r="BE74" i="5"/>
  <c r="AR74" i="5"/>
  <c r="BI47" i="5" l="1"/>
  <c r="BJ47" i="5" s="1"/>
  <c r="BE75" i="5"/>
  <c r="AR75" i="5"/>
  <c r="AN76" i="5"/>
  <c r="AO76" i="5"/>
  <c r="BK47" i="5" l="1"/>
  <c r="BL47" i="5" s="1"/>
  <c r="BF48" i="5" s="1"/>
  <c r="BG48" i="5" s="1"/>
  <c r="BH48" i="5" s="1"/>
  <c r="BI48" i="5"/>
  <c r="AN77" i="5"/>
  <c r="AO77" i="5"/>
  <c r="BE76" i="5"/>
  <c r="AR76" i="5"/>
  <c r="BJ48" i="5" l="1"/>
  <c r="BE77" i="5"/>
  <c r="AR77" i="5"/>
  <c r="AN78" i="5"/>
  <c r="AO78" i="5"/>
  <c r="BI49" i="5" l="1"/>
  <c r="BK48" i="5"/>
  <c r="BL48" i="5" s="1"/>
  <c r="BF49" i="5" s="1"/>
  <c r="BG49" i="5" s="1"/>
  <c r="BH49" i="5" s="1"/>
  <c r="AO79" i="5"/>
  <c r="AN79" i="5"/>
  <c r="BE78" i="5"/>
  <c r="AR78" i="5"/>
  <c r="BJ49" i="5" l="1"/>
  <c r="BI50" i="5" s="1"/>
  <c r="BE79" i="5"/>
  <c r="AR79" i="5"/>
  <c r="AO80" i="5"/>
  <c r="AN80" i="5"/>
  <c r="BK49" i="5" l="1"/>
  <c r="BL49" i="5" s="1"/>
  <c r="BF50" i="5" s="1"/>
  <c r="BG50" i="5" s="1"/>
  <c r="BH50" i="5" s="1"/>
  <c r="BJ50" i="5" s="1"/>
  <c r="BE80" i="5"/>
  <c r="AR80" i="5"/>
  <c r="AO81" i="5"/>
  <c r="AN81" i="5"/>
  <c r="BK50" i="5" l="1"/>
  <c r="BL50" i="5" s="1"/>
  <c r="BF51" i="5" s="1"/>
  <c r="BG51" i="5" s="1"/>
  <c r="BH51" i="5" s="1"/>
  <c r="BI51" i="5"/>
  <c r="BE81" i="5"/>
  <c r="AR81" i="5"/>
  <c r="AN82" i="5"/>
  <c r="AO82" i="5"/>
  <c r="BJ51" i="5" l="1"/>
  <c r="BI52" i="5" s="1"/>
  <c r="AO83" i="5"/>
  <c r="AN83" i="5"/>
  <c r="BE82" i="5"/>
  <c r="AR82" i="5"/>
  <c r="BK51" i="5" l="1"/>
  <c r="BL51" i="5" s="1"/>
  <c r="BF52" i="5" s="1"/>
  <c r="BG52" i="5" s="1"/>
  <c r="BH52" i="5" s="1"/>
  <c r="BJ52" i="5" s="1"/>
  <c r="BI53" i="5" s="1"/>
  <c r="BE83" i="5"/>
  <c r="AR83" i="5"/>
  <c r="AN84" i="5"/>
  <c r="AO84" i="5"/>
  <c r="BK52" i="5" l="1"/>
  <c r="BL52" i="5" s="1"/>
  <c r="BF53" i="5" s="1"/>
  <c r="BG53" i="5" s="1"/>
  <c r="BH53" i="5" s="1"/>
  <c r="BJ53" i="5" s="1"/>
  <c r="BK53" i="5" s="1"/>
  <c r="BL53" i="5" s="1"/>
  <c r="BF54" i="5" s="1"/>
  <c r="BG54" i="5" s="1"/>
  <c r="BH54" i="5" s="1"/>
  <c r="AO85" i="5"/>
  <c r="AN85" i="5"/>
  <c r="BE84" i="5"/>
  <c r="AR84" i="5"/>
  <c r="BI54" i="5" l="1"/>
  <c r="BJ54" i="5" s="1"/>
  <c r="BI55" i="5" s="1"/>
  <c r="AN86" i="5"/>
  <c r="AO86" i="5"/>
  <c r="BE85" i="5"/>
  <c r="AR85" i="5"/>
  <c r="BK54" i="5" l="1"/>
  <c r="BL54" i="5" s="1"/>
  <c r="BF55" i="5" s="1"/>
  <c r="BG55" i="5" s="1"/>
  <c r="BH55" i="5" s="1"/>
  <c r="BJ55" i="5" s="1"/>
  <c r="BK55" i="5" s="1"/>
  <c r="BL55" i="5" s="1"/>
  <c r="BF56" i="5" s="1"/>
  <c r="BG56" i="5" s="1"/>
  <c r="BH56" i="5" s="1"/>
  <c r="AO87" i="5"/>
  <c r="AN87" i="5"/>
  <c r="BE86" i="5"/>
  <c r="AR86" i="5"/>
  <c r="BI56" i="5" l="1"/>
  <c r="BJ56" i="5" s="1"/>
  <c r="BI57" i="5" s="1"/>
  <c r="AN88" i="5"/>
  <c r="AO88" i="5"/>
  <c r="BE87" i="5"/>
  <c r="AR87" i="5"/>
  <c r="BK56" i="5" l="1"/>
  <c r="BL56" i="5" s="1"/>
  <c r="BF57" i="5" s="1"/>
  <c r="BG57" i="5" s="1"/>
  <c r="BH57" i="5" s="1"/>
  <c r="BJ57" i="5" s="1"/>
  <c r="BK57" i="5" s="1"/>
  <c r="BL57" i="5" s="1"/>
  <c r="BF58" i="5" s="1"/>
  <c r="BG58" i="5" s="1"/>
  <c r="BH58" i="5" s="1"/>
  <c r="BE88" i="5"/>
  <c r="AR88" i="5"/>
  <c r="AO89" i="5"/>
  <c r="AN89" i="5"/>
  <c r="BI58" i="5" l="1"/>
  <c r="BJ58" i="5" s="1"/>
  <c r="BI59" i="5" s="1"/>
  <c r="BE89" i="5"/>
  <c r="AR89" i="5"/>
  <c r="AN90" i="5"/>
  <c r="AO90" i="5"/>
  <c r="BK58" i="5" l="1"/>
  <c r="BL58" i="5" s="1"/>
  <c r="BF59" i="5" s="1"/>
  <c r="BG59" i="5" s="1"/>
  <c r="BH59" i="5" s="1"/>
  <c r="BJ59" i="5" s="1"/>
  <c r="BK59" i="5" s="1"/>
  <c r="BL59" i="5" s="1"/>
  <c r="BF60" i="5" s="1"/>
  <c r="BE90" i="5"/>
  <c r="AR90" i="5"/>
  <c r="AN91" i="5"/>
  <c r="T109" i="5" s="1"/>
  <c r="BI60" i="5" l="1"/>
  <c r="BG60" i="5"/>
  <c r="G12" i="5"/>
  <c r="AR91" i="5"/>
  <c r="BE91" i="5"/>
  <c r="BH60" i="5" l="1"/>
  <c r="BJ60" i="5" l="1"/>
  <c r="BK60" i="5" l="1"/>
  <c r="BL60" i="5" s="1"/>
  <c r="BI61" i="5"/>
  <c r="BF61" i="5" l="1"/>
  <c r="BG61" i="5" l="1"/>
  <c r="BF91" i="5"/>
  <c r="BH61" i="5" l="1"/>
  <c r="BG91" i="5"/>
  <c r="BJ61" i="5" l="1"/>
  <c r="BH91" i="5"/>
  <c r="BI62" i="5" l="1"/>
  <c r="BK61" i="5"/>
  <c r="BL61" i="5" s="1"/>
  <c r="BF62" i="5" l="1"/>
  <c r="BG62" i="5" s="1"/>
  <c r="BH62" i="5" s="1"/>
  <c r="BJ62" i="5" s="1"/>
  <c r="BI63" i="5" l="1"/>
  <c r="BK62" i="5"/>
  <c r="BL62" i="5" s="1"/>
  <c r="BL91" i="5" s="1"/>
  <c r="T112" i="5" s="1"/>
  <c r="BF63" i="5" l="1"/>
  <c r="BG63" i="5" s="1"/>
  <c r="BH63" i="5" s="1"/>
  <c r="BJ63" i="5" s="1"/>
  <c r="BI64" i="5" s="1"/>
  <c r="BK63" i="5" l="1"/>
  <c r="BL63" i="5" s="1"/>
  <c r="BF64" i="5" s="1"/>
  <c r="BG64" i="5" s="1"/>
  <c r="BH64" i="5" s="1"/>
  <c r="BJ64" i="5" s="1"/>
  <c r="BK64" i="5" l="1"/>
  <c r="BL64" i="5" s="1"/>
  <c r="BF65" i="5" s="1"/>
  <c r="BG65" i="5" s="1"/>
  <c r="BH65" i="5" s="1"/>
  <c r="BI65" i="5"/>
  <c r="BJ65" i="5" l="1"/>
  <c r="BI66" i="5" s="1"/>
  <c r="BK65" i="5" l="1"/>
  <c r="BL65" i="5" s="1"/>
  <c r="BF66" i="5" s="1"/>
  <c r="BG66" i="5" s="1"/>
  <c r="BH66" i="5" s="1"/>
  <c r="BJ66" i="5" s="1"/>
  <c r="BK66" i="5" s="1"/>
  <c r="BL66" i="5" s="1"/>
  <c r="BF67" i="5" s="1"/>
  <c r="BG67" i="5" s="1"/>
  <c r="BH67" i="5" s="1"/>
  <c r="BI67" i="5" l="1"/>
  <c r="BJ67" i="5" s="1"/>
  <c r="I112" i="5"/>
  <c r="I114" i="5" s="1"/>
  <c r="I115" i="5" s="1"/>
  <c r="BK67" i="5" l="1"/>
  <c r="BL67" i="5" s="1"/>
  <c r="BF68" i="5" s="1"/>
  <c r="BG68" i="5" s="1"/>
  <c r="BH68" i="5" s="1"/>
  <c r="BI68" i="5"/>
  <c r="T114" i="5"/>
  <c r="T115" i="5" s="1"/>
  <c r="U115" i="5" s="1"/>
  <c r="BJ68" i="5" l="1"/>
  <c r="BK68" i="5" l="1"/>
  <c r="BL68" i="5" s="1"/>
  <c r="BF69" i="5" s="1"/>
  <c r="BG69" i="5" s="1"/>
  <c r="BH69" i="5" s="1"/>
  <c r="BI69" i="5"/>
  <c r="T163" i="10" l="1"/>
  <c r="N164" i="10" s="1"/>
  <c r="O164" i="10" s="1"/>
  <c r="P164" i="10" s="1"/>
  <c r="BJ69" i="5"/>
  <c r="BI70" i="5" s="1"/>
  <c r="BK69" i="5" l="1"/>
  <c r="BL69" i="5" s="1"/>
  <c r="BF70" i="5" s="1"/>
  <c r="BG70" i="5" s="1"/>
  <c r="BH70" i="5" s="1"/>
  <c r="BJ70" i="5" s="1"/>
  <c r="BI71" i="5" s="1"/>
  <c r="T164" i="10" l="1"/>
  <c r="N165" i="10" s="1"/>
  <c r="O165" i="10" s="1"/>
  <c r="P165" i="10" s="1"/>
  <c r="BK70" i="5"/>
  <c r="BL70" i="5" s="1"/>
  <c r="BF71" i="5" s="1"/>
  <c r="BG71" i="5" s="1"/>
  <c r="BH71" i="5" s="1"/>
  <c r="BJ71" i="5" s="1"/>
  <c r="BK71" i="5" s="1"/>
  <c r="BL71" i="5" s="1"/>
  <c r="BF72" i="5" s="1"/>
  <c r="BG72" i="5" s="1"/>
  <c r="BH72" i="5" s="1"/>
  <c r="BI72" i="5" l="1"/>
  <c r="BJ72" i="5" s="1"/>
  <c r="T165" i="10" l="1"/>
  <c r="N166" i="10" s="1"/>
  <c r="O166" i="10" s="1"/>
  <c r="P166" i="10" s="1"/>
  <c r="BK72" i="5"/>
  <c r="BL72" i="5" s="1"/>
  <c r="BF73" i="5" s="1"/>
  <c r="BG73" i="5" s="1"/>
  <c r="BH73" i="5" s="1"/>
  <c r="BI73" i="5"/>
  <c r="T166" i="10" l="1"/>
  <c r="N167" i="10" s="1"/>
  <c r="O167" i="10" s="1"/>
  <c r="BJ73" i="5"/>
  <c r="P167" i="10" l="1"/>
  <c r="BK73" i="5"/>
  <c r="BL73" i="5" s="1"/>
  <c r="BF74" i="5" s="1"/>
  <c r="BG74" i="5" s="1"/>
  <c r="BH74" i="5" s="1"/>
  <c r="BI74" i="5"/>
  <c r="BJ74" i="5" l="1"/>
  <c r="T167" i="10" l="1"/>
  <c r="BI75" i="5"/>
  <c r="BK74" i="5"/>
  <c r="BL74" i="5" s="1"/>
  <c r="BF75" i="5" s="1"/>
  <c r="BG75" i="5" s="1"/>
  <c r="BH75" i="5" s="1"/>
  <c r="BJ75" i="5" l="1"/>
  <c r="BK75" i="5" s="1"/>
  <c r="BL75" i="5" s="1"/>
  <c r="BF76" i="5" s="1"/>
  <c r="BG76" i="5" s="1"/>
  <c r="BH76" i="5" s="1"/>
  <c r="BI76" i="5" l="1"/>
  <c r="BJ76" i="5" s="1"/>
  <c r="BI77" i="5" s="1"/>
  <c r="BK76" i="5" l="1"/>
  <c r="BL76" i="5" s="1"/>
  <c r="BF77" i="5" s="1"/>
  <c r="BG77" i="5" s="1"/>
  <c r="BH77" i="5" s="1"/>
  <c r="BJ77" i="5" s="1"/>
  <c r="BI78" i="5" s="1"/>
  <c r="BK77" i="5" l="1"/>
  <c r="BL77" i="5" s="1"/>
  <c r="BF78" i="5" s="1"/>
  <c r="BG78" i="5" s="1"/>
  <c r="BH78" i="5" s="1"/>
  <c r="BJ78" i="5" s="1"/>
  <c r="BI79" i="5" s="1"/>
  <c r="BK78" i="5" l="1"/>
  <c r="BL78" i="5" s="1"/>
  <c r="BF79" i="5" s="1"/>
  <c r="BG79" i="5" s="1"/>
  <c r="BH79" i="5" s="1"/>
  <c r="BJ79" i="5" s="1"/>
  <c r="BK79" i="5" s="1"/>
  <c r="BL79" i="5" s="1"/>
  <c r="BF80" i="5" s="1"/>
  <c r="BG80" i="5" s="1"/>
  <c r="BH80" i="5" s="1"/>
  <c r="BI80" i="5" l="1"/>
  <c r="BJ80" i="5" s="1"/>
  <c r="BK80" i="5" l="1"/>
  <c r="BL80" i="5" s="1"/>
  <c r="BF81" i="5" s="1"/>
  <c r="BG81" i="5" s="1"/>
  <c r="BH81" i="5" s="1"/>
  <c r="BI81" i="5"/>
  <c r="BJ81" i="5" l="1"/>
  <c r="BK81" i="5" s="1"/>
  <c r="BL81" i="5" s="1"/>
  <c r="BF82" i="5" s="1"/>
  <c r="BG82" i="5" s="1"/>
  <c r="BH82" i="5" s="1"/>
  <c r="BI82" i="5" l="1"/>
  <c r="BJ82" i="5" s="1"/>
  <c r="BI83" i="5" l="1"/>
  <c r="BK82" i="5"/>
  <c r="BL82" i="5" s="1"/>
  <c r="BF83" i="5" s="1"/>
  <c r="BG83" i="5" s="1"/>
  <c r="BH83" i="5" s="1"/>
  <c r="BJ83" i="5" l="1"/>
  <c r="BI84" i="5" s="1"/>
  <c r="BK83" i="5" l="1"/>
  <c r="BL83" i="5" s="1"/>
  <c r="BF84" i="5" s="1"/>
  <c r="BG84" i="5" s="1"/>
  <c r="BH84" i="5" s="1"/>
  <c r="BJ84" i="5" s="1"/>
  <c r="BK84" i="5" s="1"/>
  <c r="BL84" i="5" s="1"/>
  <c r="BF85" i="5" s="1"/>
  <c r="BG85" i="5" s="1"/>
  <c r="BH85" i="5" s="1"/>
  <c r="BI85" i="5" l="1"/>
  <c r="BJ85" i="5" s="1"/>
  <c r="BI86" i="5" s="1"/>
  <c r="BK85" i="5" l="1"/>
  <c r="BL85" i="5" s="1"/>
  <c r="BF86" i="5" s="1"/>
  <c r="BG86" i="5" s="1"/>
  <c r="BH86" i="5" s="1"/>
  <c r="BJ86" i="5" s="1"/>
  <c r="BK86" i="5" s="1"/>
  <c r="BL86" i="5" s="1"/>
  <c r="BF87" i="5" s="1"/>
  <c r="BG87" i="5" s="1"/>
  <c r="BH87" i="5" s="1"/>
  <c r="BI87" i="5" l="1"/>
  <c r="BJ87" i="5" s="1"/>
  <c r="BK87" i="5" s="1"/>
  <c r="BL87" i="5" s="1"/>
  <c r="BF88" i="5" s="1"/>
  <c r="BG88" i="5" s="1"/>
  <c r="BH88" i="5" s="1"/>
  <c r="BI88" i="5" l="1"/>
  <c r="BJ88" i="5" s="1"/>
  <c r="BI89" i="5" l="1"/>
  <c r="BK88" i="5"/>
  <c r="BL88" i="5" s="1"/>
  <c r="BF89" i="5" s="1"/>
  <c r="BG89" i="5" s="1"/>
  <c r="BH89" i="5" s="1"/>
  <c r="BJ89" i="5" l="1"/>
  <c r="BK89" i="5" s="1"/>
  <c r="BL89" i="5" s="1"/>
  <c r="BF90" i="5" s="1"/>
  <c r="BG90" i="5" s="1"/>
  <c r="BH90" i="5" s="1"/>
  <c r="BI90" i="5" l="1"/>
  <c r="BJ90" i="5" s="1"/>
  <c r="BK90" i="5" s="1"/>
  <c r="E2" i="8"/>
  <c r="BL90" i="5" l="1"/>
  <c r="BK91" i="5"/>
  <c r="F2" i="8"/>
  <c r="E4" i="8"/>
  <c r="I2" i="8"/>
  <c r="I4" i="8" s="1"/>
  <c r="N4" i="8" l="1"/>
  <c r="D4" i="8"/>
  <c r="F4" i="8"/>
  <c r="E51" i="8"/>
  <c r="E55" i="8" s="1"/>
  <c r="D3" i="8" l="1"/>
  <c r="D1" i="8"/>
  <c r="O103" i="10" l="1"/>
  <c r="X91" i="7" l="1"/>
  <c r="AC91" i="7" l="1"/>
  <c r="AD30" i="7"/>
  <c r="AE30" i="7"/>
  <c r="AE91" i="7" l="1"/>
  <c r="AG30" i="7"/>
  <c r="AG91" i="7" s="1"/>
  <c r="AD91" i="7"/>
  <c r="AD92" i="7" l="1"/>
  <c r="AI30" i="7"/>
  <c r="AI91" i="7" s="1"/>
  <c r="AJ26" i="7" s="1"/>
  <c r="AF92" i="5" l="1"/>
  <c r="Z26" i="9" l="1"/>
  <c r="AL26" i="7"/>
  <c r="AJ27" i="7"/>
  <c r="C102" i="7" l="1"/>
  <c r="I102" i="7" s="1"/>
  <c r="J6" i="7"/>
  <c r="AB26" i="9"/>
  <c r="Z27" i="9"/>
  <c r="AB27" i="9" s="1"/>
  <c r="AC27" i="9" s="1"/>
  <c r="AL27" i="7"/>
  <c r="AJ28" i="7"/>
  <c r="Z28" i="9" l="1"/>
  <c r="AB28" i="9" s="1"/>
  <c r="AC28" i="9" s="1"/>
  <c r="AL28" i="7"/>
  <c r="AJ29" i="7"/>
  <c r="C103" i="7"/>
  <c r="I103" i="7" s="1"/>
  <c r="J6" i="9"/>
  <c r="J6" i="10"/>
  <c r="D25" i="1"/>
  <c r="AC26" i="9"/>
  <c r="AD26" i="9" s="1"/>
  <c r="AD27" i="9" l="1"/>
  <c r="AD28" i="9" s="1"/>
  <c r="AE26" i="9"/>
  <c r="AG26" i="9" s="1"/>
  <c r="AH26" i="9" s="1"/>
  <c r="C104" i="7"/>
  <c r="I104" i="7" s="1"/>
  <c r="AL29" i="7"/>
  <c r="Z29" i="9"/>
  <c r="AJ30" i="7"/>
  <c r="D26" i="1"/>
  <c r="D34" i="1"/>
  <c r="D39" i="1" s="1"/>
  <c r="M102" i="7"/>
  <c r="Z30" i="9" l="1"/>
  <c r="AB30" i="9" s="1"/>
  <c r="AC30" i="9" s="1"/>
  <c r="AL30" i="7"/>
  <c r="AJ31" i="7"/>
  <c r="AE27" i="9"/>
  <c r="AB29" i="9"/>
  <c r="O102" i="7"/>
  <c r="C105" i="7"/>
  <c r="I105" i="7" s="1"/>
  <c r="D103" i="9"/>
  <c r="AF26" i="9"/>
  <c r="D104" i="9" l="1"/>
  <c r="AG27" i="9"/>
  <c r="AH27" i="9" s="1"/>
  <c r="N103" i="7"/>
  <c r="P102" i="7"/>
  <c r="AF27" i="9"/>
  <c r="C106" i="7"/>
  <c r="I106" i="7" s="1"/>
  <c r="AC29" i="9"/>
  <c r="AD29" i="9" s="1"/>
  <c r="AE28" i="9"/>
  <c r="AF28" i="9" s="1"/>
  <c r="Z31" i="9"/>
  <c r="AB31" i="9" s="1"/>
  <c r="AC31" i="9" s="1"/>
  <c r="AL31" i="7"/>
  <c r="AJ32" i="7"/>
  <c r="D105" i="9" l="1"/>
  <c r="AG28" i="9"/>
  <c r="Q102" i="7"/>
  <c r="Z32" i="9"/>
  <c r="AB32" i="9" s="1"/>
  <c r="AC32" i="9" s="1"/>
  <c r="AL32" i="7"/>
  <c r="AJ33" i="7"/>
  <c r="C107" i="7"/>
  <c r="I107" i="7" s="1"/>
  <c r="AE29" i="9"/>
  <c r="AD30" i="9"/>
  <c r="D106" i="9" l="1"/>
  <c r="AG29" i="9"/>
  <c r="AH29" i="9" s="1"/>
  <c r="AL33" i="7"/>
  <c r="Z33" i="9"/>
  <c r="AB33" i="9" s="1"/>
  <c r="AJ34" i="7"/>
  <c r="AF29" i="9"/>
  <c r="C108" i="7"/>
  <c r="I108" i="7" s="1"/>
  <c r="AH28" i="9"/>
  <c r="AE30" i="9"/>
  <c r="AD31" i="9"/>
  <c r="K103" i="7"/>
  <c r="L103" i="7" s="1"/>
  <c r="AG30" i="9" l="1"/>
  <c r="D107" i="9"/>
  <c r="AF30" i="9"/>
  <c r="Z34" i="9"/>
  <c r="AB34" i="9" s="1"/>
  <c r="AC34" i="9" s="1"/>
  <c r="AL34" i="7"/>
  <c r="AJ35" i="7"/>
  <c r="AC33" i="9"/>
  <c r="AE31" i="9"/>
  <c r="AD32" i="9"/>
  <c r="C109" i="7"/>
  <c r="I109" i="7" s="1"/>
  <c r="C110" i="7" l="1"/>
  <c r="I110" i="7" s="1"/>
  <c r="M103" i="7"/>
  <c r="AE32" i="9"/>
  <c r="AF32" i="9" s="1"/>
  <c r="AD33" i="9"/>
  <c r="AH30" i="9"/>
  <c r="D108" i="9"/>
  <c r="AG31" i="9"/>
  <c r="AH31" i="9" s="1"/>
  <c r="AF31" i="9"/>
  <c r="Z35" i="9"/>
  <c r="AB35" i="9" s="1"/>
  <c r="AC35" i="9" s="1"/>
  <c r="AL35" i="7"/>
  <c r="AJ36" i="7"/>
  <c r="Z36" i="9" l="1"/>
  <c r="AB36" i="9" s="1"/>
  <c r="AC36" i="9" s="1"/>
  <c r="AL36" i="7"/>
  <c r="AJ37" i="7"/>
  <c r="C111" i="7"/>
  <c r="I111" i="7" s="1"/>
  <c r="AE33" i="9"/>
  <c r="AD34" i="9"/>
  <c r="AG32" i="9"/>
  <c r="AH32" i="9" s="1"/>
  <c r="D109" i="9"/>
  <c r="O103" i="7"/>
  <c r="P103" i="7" l="1"/>
  <c r="N104" i="7"/>
  <c r="D110" i="9"/>
  <c r="AG33" i="9"/>
  <c r="AH33" i="9" s="1"/>
  <c r="Z37" i="9"/>
  <c r="AB37" i="9" s="1"/>
  <c r="AC37" i="9" s="1"/>
  <c r="AL37" i="7"/>
  <c r="AJ38" i="7"/>
  <c r="AF33" i="9"/>
  <c r="C112" i="7"/>
  <c r="I112" i="7" s="1"/>
  <c r="AE34" i="9"/>
  <c r="AF34" i="9" s="1"/>
  <c r="AD35" i="9"/>
  <c r="AE35" i="9" l="1"/>
  <c r="AF35" i="9" s="1"/>
  <c r="AD36" i="9"/>
  <c r="C113" i="7"/>
  <c r="I113" i="7" s="1"/>
  <c r="Q103" i="7"/>
  <c r="AG34" i="9"/>
  <c r="AH34" i="9" s="1"/>
  <c r="D111" i="9"/>
  <c r="AL38" i="7"/>
  <c r="Z38" i="9"/>
  <c r="AB38" i="9" s="1"/>
  <c r="AC38" i="9" s="1"/>
  <c r="AJ39" i="7"/>
  <c r="AE36" i="9" l="1"/>
  <c r="AF36" i="9" s="1"/>
  <c r="AD37" i="9"/>
  <c r="Z39" i="9"/>
  <c r="AB39" i="9" s="1"/>
  <c r="AC39" i="9" s="1"/>
  <c r="AL39" i="7"/>
  <c r="AJ40" i="7"/>
  <c r="K104" i="7"/>
  <c r="L104" i="7" s="1"/>
  <c r="C114" i="7"/>
  <c r="I114" i="7" s="1"/>
  <c r="AG35" i="9"/>
  <c r="AH35" i="9" s="1"/>
  <c r="D112" i="9"/>
  <c r="C115" i="7" l="1"/>
  <c r="I115" i="7" s="1"/>
  <c r="AG36" i="9"/>
  <c r="AH36" i="9" s="1"/>
  <c r="D113" i="9"/>
  <c r="Z40" i="9"/>
  <c r="AB40" i="9" s="1"/>
  <c r="AC40" i="9" s="1"/>
  <c r="AL40" i="7"/>
  <c r="AJ41" i="7"/>
  <c r="AE37" i="9"/>
  <c r="AF37" i="9" s="1"/>
  <c r="AD38" i="9"/>
  <c r="AG37" i="9" l="1"/>
  <c r="AH37" i="9" s="1"/>
  <c r="D114" i="9"/>
  <c r="M104" i="7"/>
  <c r="Z41" i="9"/>
  <c r="AB41" i="9" s="1"/>
  <c r="AC41" i="9" s="1"/>
  <c r="AL41" i="7"/>
  <c r="AJ42" i="7"/>
  <c r="AE38" i="9"/>
  <c r="AD39" i="9"/>
  <c r="C116" i="7"/>
  <c r="I116" i="7" s="1"/>
  <c r="AE39" i="9" l="1"/>
  <c r="AF39" i="9" s="1"/>
  <c r="AD40" i="9"/>
  <c r="D115" i="9"/>
  <c r="AG38" i="9"/>
  <c r="AH38" i="9" s="1"/>
  <c r="AF38" i="9"/>
  <c r="Z42" i="9"/>
  <c r="AB42" i="9" s="1"/>
  <c r="AC42" i="9" s="1"/>
  <c r="AL42" i="7"/>
  <c r="AJ43" i="7"/>
  <c r="C117" i="7"/>
  <c r="I117" i="7" s="1"/>
  <c r="O104" i="7"/>
  <c r="N105" i="7" l="1"/>
  <c r="P104" i="7"/>
  <c r="AE40" i="9"/>
  <c r="AD41" i="9"/>
  <c r="Z43" i="9"/>
  <c r="AB43" i="9" s="1"/>
  <c r="AC43" i="9" s="1"/>
  <c r="AL43" i="7"/>
  <c r="AJ44" i="7"/>
  <c r="C118" i="7"/>
  <c r="I118" i="7" s="1"/>
  <c r="D116" i="9"/>
  <c r="AG39" i="9"/>
  <c r="AH39" i="9" s="1"/>
  <c r="C119" i="7" l="1"/>
  <c r="I119" i="7" s="1"/>
  <c r="Q104" i="7"/>
  <c r="AE41" i="9"/>
  <c r="AD42" i="9"/>
  <c r="D117" i="9"/>
  <c r="AG40" i="9"/>
  <c r="AH40" i="9" s="1"/>
  <c r="Z44" i="9"/>
  <c r="AB44" i="9" s="1"/>
  <c r="AC44" i="9" s="1"/>
  <c r="AL44" i="7"/>
  <c r="AJ45" i="7"/>
  <c r="AF40" i="9"/>
  <c r="C120" i="7" l="1"/>
  <c r="I120" i="7" s="1"/>
  <c r="AE42" i="9"/>
  <c r="AF42" i="9" s="1"/>
  <c r="AD43" i="9"/>
  <c r="K105" i="7"/>
  <c r="L105" i="7" s="1"/>
  <c r="D118" i="9"/>
  <c r="AG41" i="9"/>
  <c r="AH41" i="9" s="1"/>
  <c r="AF41" i="9"/>
  <c r="Z45" i="9"/>
  <c r="AB45" i="9" s="1"/>
  <c r="AC45" i="9" s="1"/>
  <c r="AL45" i="7"/>
  <c r="AJ46" i="7"/>
  <c r="AE43" i="9" l="1"/>
  <c r="AF43" i="9" s="1"/>
  <c r="AD44" i="9"/>
  <c r="Z46" i="9"/>
  <c r="AB46" i="9" s="1"/>
  <c r="AC46" i="9" s="1"/>
  <c r="AL46" i="7"/>
  <c r="AJ47" i="7"/>
  <c r="AG42" i="9"/>
  <c r="AH42" i="9" s="1"/>
  <c r="D119" i="9"/>
  <c r="C121" i="7"/>
  <c r="I121" i="7" s="1"/>
  <c r="C122" i="7" l="1"/>
  <c r="I122" i="7" s="1"/>
  <c r="Z47" i="9"/>
  <c r="AB47" i="9" s="1"/>
  <c r="AC47" i="9" s="1"/>
  <c r="AL47" i="7"/>
  <c r="AJ48" i="7"/>
  <c r="D120" i="9"/>
  <c r="AG43" i="9"/>
  <c r="AH43" i="9" s="1"/>
  <c r="M105" i="7"/>
  <c r="AE44" i="9"/>
  <c r="AF44" i="9" s="1"/>
  <c r="AD45" i="9"/>
  <c r="C123" i="7" l="1"/>
  <c r="I123" i="7" s="1"/>
  <c r="AE45" i="9"/>
  <c r="AD46" i="9"/>
  <c r="O105" i="7"/>
  <c r="D121" i="9"/>
  <c r="AG44" i="9"/>
  <c r="AH44" i="9" s="1"/>
  <c r="Z48" i="9"/>
  <c r="AB48" i="9" s="1"/>
  <c r="AC48" i="9" s="1"/>
  <c r="AL48" i="7"/>
  <c r="AJ49" i="7"/>
  <c r="Z49" i="9" l="1"/>
  <c r="AB49" i="9" s="1"/>
  <c r="AC49" i="9" s="1"/>
  <c r="AL49" i="7"/>
  <c r="AJ50" i="7"/>
  <c r="D122" i="9"/>
  <c r="AG45" i="9"/>
  <c r="AH45" i="9" s="1"/>
  <c r="AE46" i="9"/>
  <c r="AD47" i="9"/>
  <c r="C124" i="7"/>
  <c r="I124" i="7" s="1"/>
  <c r="N106" i="7"/>
  <c r="P105" i="7"/>
  <c r="AF45" i="9"/>
  <c r="Z50" i="9" l="1"/>
  <c r="AB50" i="9" s="1"/>
  <c r="AC50" i="9" s="1"/>
  <c r="AL50" i="7"/>
  <c r="AJ51" i="7"/>
  <c r="C125" i="7"/>
  <c r="I125" i="7" s="1"/>
  <c r="Q105" i="7"/>
  <c r="AE47" i="9"/>
  <c r="AD48" i="9"/>
  <c r="D123" i="9"/>
  <c r="AG46" i="9"/>
  <c r="AH46" i="9" s="1"/>
  <c r="AF46" i="9"/>
  <c r="AL51" i="7" l="1"/>
  <c r="Z51" i="9"/>
  <c r="AB51" i="9" s="1"/>
  <c r="AC51" i="9" s="1"/>
  <c r="AJ52" i="7"/>
  <c r="AE48" i="9"/>
  <c r="AF48" i="9" s="1"/>
  <c r="AD49" i="9"/>
  <c r="C126" i="7"/>
  <c r="I126" i="7" s="1"/>
  <c r="D124" i="9"/>
  <c r="AG47" i="9"/>
  <c r="AH47" i="9" s="1"/>
  <c r="AF47" i="9"/>
  <c r="K106" i="7"/>
  <c r="L106" i="7" s="1"/>
  <c r="Z52" i="9" l="1"/>
  <c r="AB52" i="9" s="1"/>
  <c r="AC52" i="9" s="1"/>
  <c r="AL52" i="7"/>
  <c r="AJ53" i="7"/>
  <c r="AE49" i="9"/>
  <c r="AD50" i="9"/>
  <c r="AG48" i="9"/>
  <c r="AH48" i="9" s="1"/>
  <c r="D125" i="9"/>
  <c r="C127" i="7"/>
  <c r="I127" i="7" s="1"/>
  <c r="D126" i="9" l="1"/>
  <c r="AG49" i="9"/>
  <c r="AH49" i="9" s="1"/>
  <c r="AF49" i="9"/>
  <c r="M106" i="7"/>
  <c r="Z53" i="9"/>
  <c r="AB53" i="9" s="1"/>
  <c r="AC53" i="9" s="1"/>
  <c r="AL53" i="7"/>
  <c r="AJ54" i="7"/>
  <c r="AE50" i="9"/>
  <c r="AF50" i="9" s="1"/>
  <c r="AD51" i="9"/>
  <c r="C128" i="7"/>
  <c r="I128" i="7" s="1"/>
  <c r="AG50" i="9" l="1"/>
  <c r="AH50" i="9" s="1"/>
  <c r="D127" i="9"/>
  <c r="O106" i="7"/>
  <c r="C129" i="7"/>
  <c r="I129" i="7" s="1"/>
  <c r="AE51" i="9"/>
  <c r="AD52" i="9"/>
  <c r="Z54" i="9"/>
  <c r="AB54" i="9" s="1"/>
  <c r="AC54" i="9" s="1"/>
  <c r="AL54" i="7"/>
  <c r="AJ55" i="7"/>
  <c r="AE52" i="9" l="1"/>
  <c r="AD53" i="9"/>
  <c r="P106" i="7"/>
  <c r="N107" i="7"/>
  <c r="Z55" i="9"/>
  <c r="AB55" i="9" s="1"/>
  <c r="AC55" i="9" s="1"/>
  <c r="AL55" i="7"/>
  <c r="AJ56" i="7"/>
  <c r="D128" i="9"/>
  <c r="AG51" i="9"/>
  <c r="AH51" i="9" s="1"/>
  <c r="AF51" i="9"/>
  <c r="C130" i="7"/>
  <c r="I130" i="7" s="1"/>
  <c r="Z56" i="9" l="1"/>
  <c r="AB56" i="9" s="1"/>
  <c r="AC56" i="9" s="1"/>
  <c r="AL56" i="7"/>
  <c r="AJ57" i="7"/>
  <c r="C131" i="7"/>
  <c r="I131" i="7" s="1"/>
  <c r="AE53" i="9"/>
  <c r="AD54" i="9"/>
  <c r="Q106" i="7"/>
  <c r="D129" i="9"/>
  <c r="AG52" i="9"/>
  <c r="AH52" i="9" s="1"/>
  <c r="AF52" i="9"/>
  <c r="D130" i="9" l="1"/>
  <c r="AG53" i="9"/>
  <c r="AH53" i="9" s="1"/>
  <c r="Z57" i="9"/>
  <c r="AB57" i="9" s="1"/>
  <c r="AC57" i="9" s="1"/>
  <c r="AL57" i="7"/>
  <c r="AJ58" i="7"/>
  <c r="AE54" i="9"/>
  <c r="AF54" i="9" s="1"/>
  <c r="AD55" i="9"/>
  <c r="K107" i="7"/>
  <c r="L107" i="7" s="1"/>
  <c r="AF53" i="9"/>
  <c r="C132" i="7"/>
  <c r="I132" i="7" s="1"/>
  <c r="C133" i="7" l="1"/>
  <c r="I133" i="7" s="1"/>
  <c r="AE55" i="9"/>
  <c r="AF55" i="9" s="1"/>
  <c r="AD56" i="9"/>
  <c r="D131" i="9"/>
  <c r="AG54" i="9"/>
  <c r="AH54" i="9" s="1"/>
  <c r="Z58" i="9"/>
  <c r="AB58" i="9" s="1"/>
  <c r="AC58" i="9" s="1"/>
  <c r="AL58" i="7"/>
  <c r="AJ59" i="7"/>
  <c r="C134" i="7" l="1"/>
  <c r="I134" i="7" s="1"/>
  <c r="D132" i="9"/>
  <c r="AG55" i="9"/>
  <c r="AH55" i="9" s="1"/>
  <c r="M107" i="7"/>
  <c r="O107" i="7" s="1"/>
  <c r="Z59" i="9"/>
  <c r="AB59" i="9" s="1"/>
  <c r="AC59" i="9" s="1"/>
  <c r="AJ60" i="7"/>
  <c r="AL59" i="7"/>
  <c r="AE56" i="9"/>
  <c r="AF56" i="9" s="1"/>
  <c r="AD57" i="9"/>
  <c r="C135" i="7" l="1"/>
  <c r="I135" i="7" s="1"/>
  <c r="D133" i="9"/>
  <c r="AG56" i="9"/>
  <c r="AH56" i="9" s="1"/>
  <c r="AE57" i="9"/>
  <c r="AF57" i="9" s="1"/>
  <c r="AD58" i="9"/>
  <c r="Z60" i="9"/>
  <c r="AB60" i="9" s="1"/>
  <c r="AC60" i="9" s="1"/>
  <c r="AL60" i="7"/>
  <c r="AJ61" i="7"/>
  <c r="N108" i="7"/>
  <c r="P107" i="7"/>
  <c r="Q107" i="7" s="1"/>
  <c r="K108" i="7" s="1"/>
  <c r="L108" i="7" l="1"/>
  <c r="M108" i="7" s="1"/>
  <c r="O108" i="7" s="1"/>
  <c r="Z61" i="9"/>
  <c r="AB61" i="9" s="1"/>
  <c r="AC61" i="9" s="1"/>
  <c r="AL61" i="7"/>
  <c r="AJ62" i="7"/>
  <c r="AE58" i="9"/>
  <c r="AF58" i="9" s="1"/>
  <c r="AD59" i="9"/>
  <c r="C136" i="7"/>
  <c r="I136" i="7" s="1"/>
  <c r="D134" i="9"/>
  <c r="AG57" i="9"/>
  <c r="AH57" i="9" s="1"/>
  <c r="Z62" i="9" l="1"/>
  <c r="AB62" i="9" s="1"/>
  <c r="AC62" i="9" s="1"/>
  <c r="AL62" i="7"/>
  <c r="AJ63" i="7"/>
  <c r="C137" i="7"/>
  <c r="I137" i="7" s="1"/>
  <c r="N109" i="7"/>
  <c r="P108" i="7"/>
  <c r="Q108" i="7" s="1"/>
  <c r="K109" i="7" s="1"/>
  <c r="AE59" i="9"/>
  <c r="AD60" i="9"/>
  <c r="D135" i="9"/>
  <c r="AG58" i="9"/>
  <c r="AH58" i="9" s="1"/>
  <c r="L109" i="7" l="1"/>
  <c r="M109" i="7" s="1"/>
  <c r="O109" i="7" s="1"/>
  <c r="Z63" i="9"/>
  <c r="AB63" i="9" s="1"/>
  <c r="AC63" i="9" s="1"/>
  <c r="AL63" i="7"/>
  <c r="AJ64" i="7"/>
  <c r="AE60" i="9"/>
  <c r="AD61" i="9"/>
  <c r="C138" i="7"/>
  <c r="I138" i="7" s="1"/>
  <c r="D136" i="9"/>
  <c r="AG59" i="9"/>
  <c r="AH59" i="9" s="1"/>
  <c r="AF59" i="9"/>
  <c r="N110" i="7" l="1"/>
  <c r="P109" i="7"/>
  <c r="Q109" i="7" s="1"/>
  <c r="K110" i="7" s="1"/>
  <c r="Z64" i="9"/>
  <c r="AB64" i="9" s="1"/>
  <c r="AC64" i="9" s="1"/>
  <c r="AL64" i="7"/>
  <c r="AJ65" i="7"/>
  <c r="AE61" i="9"/>
  <c r="AD62" i="9"/>
  <c r="C139" i="7"/>
  <c r="I139" i="7" s="1"/>
  <c r="D137" i="9"/>
  <c r="AG60" i="9"/>
  <c r="AH60" i="9" s="1"/>
  <c r="AF60" i="9"/>
  <c r="L110" i="7" l="1"/>
  <c r="M110" i="7" s="1"/>
  <c r="O110" i="7" s="1"/>
  <c r="D138" i="9"/>
  <c r="AG61" i="9"/>
  <c r="AH61" i="9" s="1"/>
  <c r="Z65" i="9"/>
  <c r="AB65" i="9" s="1"/>
  <c r="AC65" i="9" s="1"/>
  <c r="AL65" i="7"/>
  <c r="AJ66" i="7"/>
  <c r="AF61" i="9"/>
  <c r="C140" i="7"/>
  <c r="I140" i="7" s="1"/>
  <c r="AE62" i="9"/>
  <c r="AD63" i="9"/>
  <c r="N111" i="7" l="1"/>
  <c r="P110" i="7"/>
  <c r="Q110" i="7" s="1"/>
  <c r="K111" i="7" s="1"/>
  <c r="Z66" i="9"/>
  <c r="AB66" i="9" s="1"/>
  <c r="AC66" i="9" s="1"/>
  <c r="AL66" i="7"/>
  <c r="AJ67" i="7"/>
  <c r="AE63" i="9"/>
  <c r="AF63" i="9" s="1"/>
  <c r="AD64" i="9"/>
  <c r="C141" i="7"/>
  <c r="I141" i="7" s="1"/>
  <c r="D139" i="9"/>
  <c r="AG62" i="9"/>
  <c r="AH62" i="9" s="1"/>
  <c r="AF62" i="9"/>
  <c r="L111" i="7" l="1"/>
  <c r="M111" i="7" s="1"/>
  <c r="O111" i="7" s="1"/>
  <c r="Z67" i="9"/>
  <c r="AB67" i="9" s="1"/>
  <c r="AC67" i="9" s="1"/>
  <c r="AL67" i="7"/>
  <c r="AJ68" i="7"/>
  <c r="AE64" i="9"/>
  <c r="AF64" i="9" s="1"/>
  <c r="AD65" i="9"/>
  <c r="C142" i="7"/>
  <c r="I142" i="7" s="1"/>
  <c r="AG63" i="9"/>
  <c r="AH63" i="9" s="1"/>
  <c r="D140" i="9"/>
  <c r="P111" i="7" l="1"/>
  <c r="Q111" i="7" s="1"/>
  <c r="K112" i="7" s="1"/>
  <c r="N112" i="7"/>
  <c r="AE65" i="9"/>
  <c r="AF65" i="9" s="1"/>
  <c r="AD66" i="9"/>
  <c r="Z68" i="9"/>
  <c r="AB68" i="9" s="1"/>
  <c r="AC68" i="9" s="1"/>
  <c r="AL68" i="7"/>
  <c r="AJ69" i="7"/>
  <c r="D141" i="9"/>
  <c r="AG64" i="9"/>
  <c r="AH64" i="9" s="1"/>
  <c r="C143" i="7"/>
  <c r="I143" i="7" s="1"/>
  <c r="L112" i="7" l="1"/>
  <c r="M112" i="7" s="1"/>
  <c r="O112" i="7" s="1"/>
  <c r="C144" i="7"/>
  <c r="I144" i="7" s="1"/>
  <c r="D142" i="9"/>
  <c r="AG65" i="9"/>
  <c r="AH65" i="9" s="1"/>
  <c r="Z69" i="9"/>
  <c r="AB69" i="9" s="1"/>
  <c r="AC69" i="9" s="1"/>
  <c r="AJ70" i="7"/>
  <c r="AL69" i="7"/>
  <c r="AE66" i="9"/>
  <c r="AF66" i="9" s="1"/>
  <c r="AD67" i="9"/>
  <c r="P112" i="7" l="1"/>
  <c r="Q112" i="7" s="1"/>
  <c r="K113" i="7" s="1"/>
  <c r="N113" i="7"/>
  <c r="C145" i="7"/>
  <c r="I145" i="7" s="1"/>
  <c r="AE67" i="9"/>
  <c r="AF67" i="9" s="1"/>
  <c r="AD68" i="9"/>
  <c r="Z70" i="9"/>
  <c r="AB70" i="9" s="1"/>
  <c r="AC70" i="9" s="1"/>
  <c r="AL70" i="7"/>
  <c r="AJ71" i="7"/>
  <c r="D143" i="9"/>
  <c r="AG66" i="9"/>
  <c r="AH66" i="9" s="1"/>
  <c r="L113" i="7" l="1"/>
  <c r="M113" i="7" s="1"/>
  <c r="O113" i="7" s="1"/>
  <c r="AE68" i="9"/>
  <c r="AF68" i="9" s="1"/>
  <c r="AD69" i="9"/>
  <c r="D144" i="9"/>
  <c r="D98" i="9" s="1"/>
  <c r="F98" i="9" s="1"/>
  <c r="AG67" i="9"/>
  <c r="AH67" i="9" s="1"/>
  <c r="C146" i="7"/>
  <c r="I146" i="7" s="1"/>
  <c r="Z71" i="9"/>
  <c r="AB71" i="9" s="1"/>
  <c r="AC71" i="9" s="1"/>
  <c r="AL71" i="7"/>
  <c r="AJ72" i="7"/>
  <c r="P113" i="7" l="1"/>
  <c r="Q113" i="7" s="1"/>
  <c r="K114" i="7" s="1"/>
  <c r="N114" i="7"/>
  <c r="C147" i="7"/>
  <c r="I147" i="7" s="1"/>
  <c r="AE69" i="9"/>
  <c r="AF69" i="9" s="1"/>
  <c r="AD70" i="9"/>
  <c r="D145" i="9"/>
  <c r="AG68" i="9"/>
  <c r="AH68" i="9" s="1"/>
  <c r="Z72" i="9"/>
  <c r="AB72" i="9" s="1"/>
  <c r="AC72" i="9" s="1"/>
  <c r="AL72" i="7"/>
  <c r="AJ73" i="7"/>
  <c r="L114" i="7" l="1"/>
  <c r="M114" i="7" s="1"/>
  <c r="O114" i="7" s="1"/>
  <c r="C148" i="7"/>
  <c r="I148" i="7" s="1"/>
  <c r="AE70" i="9"/>
  <c r="AF70" i="9" s="1"/>
  <c r="AD71" i="9"/>
  <c r="D146" i="9"/>
  <c r="AG69" i="9"/>
  <c r="AH69" i="9" s="1"/>
  <c r="Z73" i="9"/>
  <c r="AB73" i="9" s="1"/>
  <c r="AC73" i="9" s="1"/>
  <c r="AL73" i="7"/>
  <c r="AJ74" i="7"/>
  <c r="P114" i="7" l="1"/>
  <c r="Q114" i="7" s="1"/>
  <c r="K115" i="7" s="1"/>
  <c r="N115" i="7"/>
  <c r="Z74" i="9"/>
  <c r="AB74" i="9" s="1"/>
  <c r="AC74" i="9" s="1"/>
  <c r="AL74" i="7"/>
  <c r="AJ75" i="7"/>
  <c r="AE71" i="9"/>
  <c r="AF71" i="9" s="1"/>
  <c r="AD72" i="9"/>
  <c r="C149" i="7"/>
  <c r="I149" i="7" s="1"/>
  <c r="D147" i="9"/>
  <c r="AG70" i="9"/>
  <c r="AH70" i="9" s="1"/>
  <c r="L115" i="7" l="1"/>
  <c r="M115" i="7" s="1"/>
  <c r="O115" i="7" s="1"/>
  <c r="D148" i="9"/>
  <c r="AG71" i="9"/>
  <c r="AH71" i="9" s="1"/>
  <c r="AE72" i="9"/>
  <c r="AF72" i="9" s="1"/>
  <c r="AD73" i="9"/>
  <c r="Z75" i="9"/>
  <c r="AB75" i="9" s="1"/>
  <c r="AC75" i="9" s="1"/>
  <c r="AL75" i="7"/>
  <c r="AJ76" i="7"/>
  <c r="C150" i="7"/>
  <c r="I150" i="7" s="1"/>
  <c r="P115" i="7" l="1"/>
  <c r="Q115" i="7" s="1"/>
  <c r="K116" i="7" s="1"/>
  <c r="N116" i="7"/>
  <c r="C151" i="7"/>
  <c r="I151" i="7" s="1"/>
  <c r="Z76" i="9"/>
  <c r="AB76" i="9" s="1"/>
  <c r="AC76" i="9" s="1"/>
  <c r="AL76" i="7"/>
  <c r="AJ77" i="7"/>
  <c r="D149" i="9"/>
  <c r="AG72" i="9"/>
  <c r="AH72" i="9" s="1"/>
  <c r="AE73" i="9"/>
  <c r="AF73" i="9" s="1"/>
  <c r="AD74" i="9"/>
  <c r="L116" i="7" l="1"/>
  <c r="M116" i="7" s="1"/>
  <c r="O116" i="7" s="1"/>
  <c r="C152" i="7"/>
  <c r="I152" i="7" s="1"/>
  <c r="AE74" i="9"/>
  <c r="AF74" i="9" s="1"/>
  <c r="AD75" i="9"/>
  <c r="D150" i="9"/>
  <c r="AG73" i="9"/>
  <c r="AH73" i="9" s="1"/>
  <c r="Z77" i="9"/>
  <c r="AB77" i="9" s="1"/>
  <c r="AC77" i="9" s="1"/>
  <c r="AJ78" i="7"/>
  <c r="AL77" i="7"/>
  <c r="N117" i="7" l="1"/>
  <c r="P116" i="7"/>
  <c r="Q116" i="7" s="1"/>
  <c r="K117" i="7" s="1"/>
  <c r="C153" i="7"/>
  <c r="I153" i="7" s="1"/>
  <c r="Z78" i="9"/>
  <c r="AB78" i="9" s="1"/>
  <c r="AC78" i="9" s="1"/>
  <c r="AL78" i="7"/>
  <c r="AJ79" i="7"/>
  <c r="AE75" i="9"/>
  <c r="AF75" i="9" s="1"/>
  <c r="AD76" i="9"/>
  <c r="D151" i="9"/>
  <c r="AG74" i="9"/>
  <c r="AH74" i="9" s="1"/>
  <c r="L117" i="7" l="1"/>
  <c r="M117" i="7" s="1"/>
  <c r="O117" i="7" s="1"/>
  <c r="C154" i="7"/>
  <c r="I154" i="7" s="1"/>
  <c r="D152" i="9"/>
  <c r="AG75" i="9"/>
  <c r="AH75" i="9" s="1"/>
  <c r="AE76" i="9"/>
  <c r="AF76" i="9" s="1"/>
  <c r="AD77" i="9"/>
  <c r="Z79" i="9"/>
  <c r="AB79" i="9" s="1"/>
  <c r="AC79" i="9" s="1"/>
  <c r="AL79" i="7"/>
  <c r="AJ80" i="7"/>
  <c r="N118" i="7" l="1"/>
  <c r="P117" i="7"/>
  <c r="Q117" i="7" s="1"/>
  <c r="K118" i="7" s="1"/>
  <c r="D153" i="9"/>
  <c r="AG76" i="9"/>
  <c r="AH76" i="9" s="1"/>
  <c r="C155" i="7"/>
  <c r="I155" i="7" s="1"/>
  <c r="Z80" i="9"/>
  <c r="AB80" i="9" s="1"/>
  <c r="AC80" i="9" s="1"/>
  <c r="AL80" i="7"/>
  <c r="AJ81" i="7"/>
  <c r="AE77" i="9"/>
  <c r="AF77" i="9" s="1"/>
  <c r="AD78" i="9"/>
  <c r="L118" i="7" l="1"/>
  <c r="M118" i="7" s="1"/>
  <c r="O118" i="7" s="1"/>
  <c r="D154" i="9"/>
  <c r="AG77" i="9"/>
  <c r="AH77" i="9" s="1"/>
  <c r="Z81" i="9"/>
  <c r="AB81" i="9" s="1"/>
  <c r="AC81" i="9" s="1"/>
  <c r="AL81" i="7"/>
  <c r="AJ82" i="7"/>
  <c r="C156" i="7"/>
  <c r="I156" i="7" s="1"/>
  <c r="AE78" i="9"/>
  <c r="AF78" i="9" s="1"/>
  <c r="AD79" i="9"/>
  <c r="AD80" i="9" s="1"/>
  <c r="AD81" i="9" l="1"/>
  <c r="N119" i="7"/>
  <c r="P118" i="7"/>
  <c r="Q118" i="7" s="1"/>
  <c r="K119" i="7" s="1"/>
  <c r="AE79" i="9"/>
  <c r="AF79" i="9" s="1"/>
  <c r="Z82" i="9"/>
  <c r="AB82" i="9" s="1"/>
  <c r="AC82" i="9" s="1"/>
  <c r="AL82" i="7"/>
  <c r="AJ83" i="7"/>
  <c r="D155" i="9"/>
  <c r="AG78" i="9"/>
  <c r="AH78" i="9" s="1"/>
  <c r="C157" i="7"/>
  <c r="I157" i="7" s="1"/>
  <c r="L119" i="7" l="1"/>
  <c r="M119" i="7" s="1"/>
  <c r="O119" i="7" s="1"/>
  <c r="AE80" i="9"/>
  <c r="AF80" i="9" s="1"/>
  <c r="D156" i="9"/>
  <c r="AG79" i="9"/>
  <c r="AH79" i="9" s="1"/>
  <c r="Z83" i="9"/>
  <c r="AB83" i="9" s="1"/>
  <c r="AC83" i="9" s="1"/>
  <c r="AL83" i="7"/>
  <c r="AJ84" i="7"/>
  <c r="C158" i="7"/>
  <c r="I158" i="7" s="1"/>
  <c r="P119" i="7" l="1"/>
  <c r="Q119" i="7" s="1"/>
  <c r="K120" i="7" s="1"/>
  <c r="N120" i="7"/>
  <c r="AG80" i="9"/>
  <c r="AH80" i="9" s="1"/>
  <c r="D157" i="9"/>
  <c r="Z84" i="9"/>
  <c r="AB84" i="9" s="1"/>
  <c r="AC84" i="9" s="1"/>
  <c r="AL84" i="7"/>
  <c r="AJ85" i="7"/>
  <c r="C159" i="7"/>
  <c r="I159" i="7" s="1"/>
  <c r="AE81" i="9"/>
  <c r="AD82" i="9"/>
  <c r="AF81" i="9" l="1"/>
  <c r="AG81" i="9"/>
  <c r="AH81" i="9" s="1"/>
  <c r="L120" i="7"/>
  <c r="M120" i="7" s="1"/>
  <c r="O120" i="7" s="1"/>
  <c r="C160" i="7"/>
  <c r="I160" i="7" s="1"/>
  <c r="AE82" i="9"/>
  <c r="AF82" i="9" s="1"/>
  <c r="AD83" i="9"/>
  <c r="D158" i="9"/>
  <c r="Z85" i="9"/>
  <c r="AL85" i="7"/>
  <c r="AJ91" i="7"/>
  <c r="AG92" i="5" s="1"/>
  <c r="AF93" i="5" s="1"/>
  <c r="P120" i="7" l="1"/>
  <c r="Q120" i="7" s="1"/>
  <c r="K121" i="7" s="1"/>
  <c r="N121" i="7"/>
  <c r="AE83" i="9"/>
  <c r="AF83" i="9" s="1"/>
  <c r="AD84" i="9"/>
  <c r="D159" i="9"/>
  <c r="AG82" i="9"/>
  <c r="AH82" i="9" s="1"/>
  <c r="C161" i="7"/>
  <c r="I161" i="7" s="1"/>
  <c r="AL91" i="7"/>
  <c r="AB85" i="9"/>
  <c r="Z91" i="9"/>
  <c r="L121" i="7" l="1"/>
  <c r="M121" i="7" s="1"/>
  <c r="O121" i="7" s="1"/>
  <c r="AC85" i="9"/>
  <c r="AD85" i="9" s="1"/>
  <c r="AB91" i="9"/>
  <c r="AC91" i="9" s="1"/>
  <c r="AD91" i="9" s="1"/>
  <c r="AE84" i="9"/>
  <c r="AF84" i="9" s="1"/>
  <c r="D160" i="9"/>
  <c r="AG83" i="9"/>
  <c r="AH83" i="9" s="1"/>
  <c r="C167" i="7"/>
  <c r="P121" i="7" l="1"/>
  <c r="Q121" i="7" s="1"/>
  <c r="K122" i="7" s="1"/>
  <c r="N122" i="7"/>
  <c r="D161" i="9"/>
  <c r="AG84" i="9"/>
  <c r="AH84" i="9" s="1"/>
  <c r="I167" i="7"/>
  <c r="AE85" i="9"/>
  <c r="AF85" i="9" s="1"/>
  <c r="AF91" i="9" s="1"/>
  <c r="L122" i="7" l="1"/>
  <c r="M122" i="7" s="1"/>
  <c r="O122" i="7" s="1"/>
  <c r="D162" i="9"/>
  <c r="D168" i="9" s="1"/>
  <c r="AG85" i="9"/>
  <c r="AE91" i="9"/>
  <c r="N123" i="7" l="1"/>
  <c r="P122" i="7"/>
  <c r="Q122" i="7" s="1"/>
  <c r="K123" i="7" s="1"/>
  <c r="AH85" i="9"/>
  <c r="AG91" i="9"/>
  <c r="AH91" i="9" l="1"/>
  <c r="AI26" i="9" s="1"/>
  <c r="L123" i="7"/>
  <c r="M123" i="7" s="1"/>
  <c r="O123" i="7" s="1"/>
  <c r="AL26" i="9" l="1"/>
  <c r="E103" i="9" s="1"/>
  <c r="AI27" i="9"/>
  <c r="AL27" i="9" s="1"/>
  <c r="E104" i="9" s="1"/>
  <c r="K104" i="9" s="1"/>
  <c r="E27" i="1"/>
  <c r="E28" i="1" s="1"/>
  <c r="N124" i="7"/>
  <c r="P123" i="7"/>
  <c r="Q123" i="7" s="1"/>
  <c r="K124" i="7" s="1"/>
  <c r="AI28" i="9" l="1"/>
  <c r="AI29" i="9" s="1"/>
  <c r="F27" i="1"/>
  <c r="L124" i="7"/>
  <c r="M124" i="7" s="1"/>
  <c r="O124" i="7" s="1"/>
  <c r="K103" i="9"/>
  <c r="U16" i="10" l="1"/>
  <c r="U28" i="10" s="1"/>
  <c r="AL28" i="9"/>
  <c r="E105" i="9" s="1"/>
  <c r="F28" i="1"/>
  <c r="F34" i="1" s="1"/>
  <c r="F39" i="1" s="1"/>
  <c r="F29" i="1"/>
  <c r="F30" i="1" s="1"/>
  <c r="N125" i="7"/>
  <c r="P124" i="7"/>
  <c r="Q124" i="7" s="1"/>
  <c r="K125" i="7" s="1"/>
  <c r="AB73" i="10"/>
  <c r="AB58" i="10"/>
  <c r="AB55" i="10"/>
  <c r="AB64" i="10"/>
  <c r="AB52" i="10"/>
  <c r="AB49" i="10"/>
  <c r="AB31" i="10"/>
  <c r="AB79" i="10"/>
  <c r="AB76" i="10"/>
  <c r="AB43" i="10"/>
  <c r="AB46" i="10"/>
  <c r="AB32" i="10"/>
  <c r="AC32" i="10" s="1"/>
  <c r="AB81" i="10"/>
  <c r="AC81" i="10" s="1"/>
  <c r="AB68" i="10"/>
  <c r="AC68" i="10" s="1"/>
  <c r="AB27" i="10"/>
  <c r="AC27" i="10" s="1"/>
  <c r="AB28" i="10"/>
  <c r="AB85" i="10"/>
  <c r="AB37" i="10"/>
  <c r="AB40" i="10"/>
  <c r="AB39" i="10"/>
  <c r="AC39" i="10" s="1"/>
  <c r="AB53" i="10"/>
  <c r="AC53" i="10" s="1"/>
  <c r="AB63" i="10"/>
  <c r="AC63" i="10" s="1"/>
  <c r="AB65" i="10"/>
  <c r="AC65" i="10" s="1"/>
  <c r="AB82" i="10"/>
  <c r="AB70" i="10"/>
  <c r="AB42" i="10"/>
  <c r="AC42" i="10" s="1"/>
  <c r="AB30" i="10"/>
  <c r="AC30" i="10" s="1"/>
  <c r="AB33" i="10"/>
  <c r="AC33" i="10" s="1"/>
  <c r="AB36" i="10"/>
  <c r="AC36" i="10" s="1"/>
  <c r="AB35" i="10"/>
  <c r="AC35" i="10" s="1"/>
  <c r="AB75" i="10"/>
  <c r="AC75" i="10" s="1"/>
  <c r="AB84" i="10"/>
  <c r="AC84" i="10" s="1"/>
  <c r="AB51" i="10"/>
  <c r="AC51" i="10" s="1"/>
  <c r="AB60" i="10"/>
  <c r="AC60" i="10" s="1"/>
  <c r="AB41" i="10"/>
  <c r="AC41" i="10" s="1"/>
  <c r="AB38" i="10"/>
  <c r="AC38" i="10" s="1"/>
  <c r="AB45" i="10"/>
  <c r="AC45" i="10" s="1"/>
  <c r="AB34" i="10"/>
  <c r="AB59" i="10"/>
  <c r="AC59" i="10" s="1"/>
  <c r="AB74" i="10"/>
  <c r="AC74" i="10" s="1"/>
  <c r="AB67" i="10"/>
  <c r="AB66" i="10"/>
  <c r="AC66" i="10" s="1"/>
  <c r="AB47" i="10"/>
  <c r="AC47" i="10" s="1"/>
  <c r="AB54" i="10"/>
  <c r="AC54" i="10" s="1"/>
  <c r="AB44" i="10"/>
  <c r="AC44" i="10" s="1"/>
  <c r="AB61" i="10"/>
  <c r="AB72" i="10"/>
  <c r="AC72" i="10" s="1"/>
  <c r="AB69" i="10"/>
  <c r="AC69" i="10" s="1"/>
  <c r="AB29" i="10"/>
  <c r="AC29" i="10" s="1"/>
  <c r="AB48" i="10"/>
  <c r="AC48" i="10" s="1"/>
  <c r="U37" i="10"/>
  <c r="U49" i="10"/>
  <c r="U64" i="10"/>
  <c r="U67" i="10"/>
  <c r="AB56" i="10"/>
  <c r="AC56" i="10" s="1"/>
  <c r="AB71" i="10"/>
  <c r="AC71" i="10" s="1"/>
  <c r="U31" i="10"/>
  <c r="U40" i="10"/>
  <c r="U55" i="10"/>
  <c r="AB50" i="10"/>
  <c r="AC50" i="10" s="1"/>
  <c r="U34" i="10"/>
  <c r="AB80" i="10"/>
  <c r="AC80" i="10" s="1"/>
  <c r="AB57" i="10"/>
  <c r="AC57" i="10" s="1"/>
  <c r="AB78" i="10"/>
  <c r="AC78" i="10" s="1"/>
  <c r="AB83" i="10"/>
  <c r="AC83" i="10" s="1"/>
  <c r="AB62" i="10"/>
  <c r="AC62" i="10" s="1"/>
  <c r="AB77" i="10"/>
  <c r="AC77" i="10" s="1"/>
  <c r="U46" i="10"/>
  <c r="U61" i="10"/>
  <c r="U73" i="10"/>
  <c r="U79" i="10"/>
  <c r="U85" i="10"/>
  <c r="U52" i="10"/>
  <c r="U82" i="10"/>
  <c r="AB26" i="10"/>
  <c r="U43" i="10"/>
  <c r="U58" i="10"/>
  <c r="U70" i="10"/>
  <c r="U76" i="10"/>
  <c r="AL29" i="9"/>
  <c r="E106" i="9" s="1"/>
  <c r="K106" i="9" s="1"/>
  <c r="AI30" i="9"/>
  <c r="P103" i="9"/>
  <c r="L125" i="7" l="1"/>
  <c r="M125" i="7" s="1"/>
  <c r="O125" i="7" s="1"/>
  <c r="AC43" i="10"/>
  <c r="L120" i="10"/>
  <c r="AC85" i="10"/>
  <c r="L162" i="10"/>
  <c r="AC46" i="10"/>
  <c r="L123" i="10"/>
  <c r="U91" i="10"/>
  <c r="AC28" i="10"/>
  <c r="L105" i="10"/>
  <c r="AC64" i="10"/>
  <c r="L141" i="10"/>
  <c r="R103" i="9"/>
  <c r="AC76" i="10"/>
  <c r="L153" i="10"/>
  <c r="AB91" i="10"/>
  <c r="AC26" i="10"/>
  <c r="AC79" i="10"/>
  <c r="L156" i="10"/>
  <c r="AC55" i="10"/>
  <c r="L132" i="10"/>
  <c r="AC49" i="10"/>
  <c r="L126" i="10"/>
  <c r="AC82" i="10"/>
  <c r="L159" i="10"/>
  <c r="AC73" i="10"/>
  <c r="L150" i="10"/>
  <c r="AC40" i="10"/>
  <c r="L117" i="10"/>
  <c r="AC37" i="10"/>
  <c r="L114" i="10"/>
  <c r="K105" i="9"/>
  <c r="AC70" i="10"/>
  <c r="L147" i="10"/>
  <c r="AL30" i="9"/>
  <c r="E107" i="9" s="1"/>
  <c r="K107" i="9" s="1"/>
  <c r="AI31" i="9"/>
  <c r="AC58" i="10"/>
  <c r="L135" i="10"/>
  <c r="AC52" i="10"/>
  <c r="L129" i="10"/>
  <c r="AC61" i="10"/>
  <c r="L138" i="10"/>
  <c r="AC34" i="10"/>
  <c r="L111" i="10"/>
  <c r="AC31" i="10"/>
  <c r="L108" i="10"/>
  <c r="AC67" i="10"/>
  <c r="L144" i="10"/>
  <c r="P125" i="7" l="1"/>
  <c r="Q125" i="7" s="1"/>
  <c r="K126" i="7" s="1"/>
  <c r="N126" i="7"/>
  <c r="AC91" i="10"/>
  <c r="AD91" i="10" s="1"/>
  <c r="AD26" i="10"/>
  <c r="Q104" i="9"/>
  <c r="S103" i="9"/>
  <c r="L168" i="10"/>
  <c r="AI32" i="9"/>
  <c r="AL31" i="9"/>
  <c r="E108" i="9" s="1"/>
  <c r="K108" i="9" s="1"/>
  <c r="L126" i="7" l="1"/>
  <c r="M126" i="7" s="1"/>
  <c r="O126" i="7" s="1"/>
  <c r="AD27" i="10"/>
  <c r="AE26" i="10"/>
  <c r="T103" i="9"/>
  <c r="AL32" i="9"/>
  <c r="AI33" i="9"/>
  <c r="N127" i="7" l="1"/>
  <c r="P126" i="7"/>
  <c r="Q126" i="7" s="1"/>
  <c r="K127" i="7" s="1"/>
  <c r="AL33" i="9"/>
  <c r="E110" i="9" s="1"/>
  <c r="K110" i="9" s="1"/>
  <c r="AI34" i="9"/>
  <c r="N104" i="9"/>
  <c r="E109" i="9"/>
  <c r="AF26" i="10"/>
  <c r="AG26" i="10"/>
  <c r="AE27" i="10"/>
  <c r="AD28" i="10"/>
  <c r="L127" i="7" l="1"/>
  <c r="M127" i="7" s="1"/>
  <c r="O127" i="7" s="1"/>
  <c r="AL34" i="9"/>
  <c r="E111" i="9" s="1"/>
  <c r="K111" i="9" s="1"/>
  <c r="AI35" i="9"/>
  <c r="AE28" i="10"/>
  <c r="AD29" i="10"/>
  <c r="K109" i="9"/>
  <c r="AH26" i="10"/>
  <c r="AF27" i="10"/>
  <c r="AG27" i="10"/>
  <c r="AH27" i="10" s="1"/>
  <c r="O104" i="9"/>
  <c r="N128" i="7" l="1"/>
  <c r="P127" i="7"/>
  <c r="Q127" i="7" s="1"/>
  <c r="K128" i="7" s="1"/>
  <c r="P104" i="9"/>
  <c r="AF28" i="10"/>
  <c r="AG28" i="10"/>
  <c r="AL35" i="9"/>
  <c r="E112" i="9" s="1"/>
  <c r="AI36" i="9"/>
  <c r="AE29" i="10"/>
  <c r="AD30" i="10"/>
  <c r="L128" i="7" l="1"/>
  <c r="M128" i="7" s="1"/>
  <c r="O128" i="7" s="1"/>
  <c r="AH28" i="10"/>
  <c r="K112" i="9"/>
  <c r="R104" i="9"/>
  <c r="AL36" i="9"/>
  <c r="E113" i="9" s="1"/>
  <c r="K113" i="9" s="1"/>
  <c r="AI37" i="9"/>
  <c r="AE30" i="10"/>
  <c r="AD31" i="10"/>
  <c r="AG29" i="10"/>
  <c r="AH29" i="10" s="1"/>
  <c r="AF29" i="10"/>
  <c r="N129" i="7" l="1"/>
  <c r="P128" i="7"/>
  <c r="Q128" i="7" s="1"/>
  <c r="K129" i="7" s="1"/>
  <c r="AE31" i="10"/>
  <c r="AD32" i="10"/>
  <c r="AG30" i="10"/>
  <c r="AH30" i="10" s="1"/>
  <c r="AF30" i="10"/>
  <c r="Q105" i="9"/>
  <c r="S104" i="9"/>
  <c r="AL37" i="9"/>
  <c r="E114" i="9" s="1"/>
  <c r="K114" i="9" s="1"/>
  <c r="AI38" i="9"/>
  <c r="L129" i="7" l="1"/>
  <c r="M129" i="7" s="1"/>
  <c r="O129" i="7" s="1"/>
  <c r="T104" i="9"/>
  <c r="AE32" i="10"/>
  <c r="AD33" i="10"/>
  <c r="AL38" i="9"/>
  <c r="E115" i="9" s="1"/>
  <c r="K115" i="9" s="1"/>
  <c r="AI39" i="9"/>
  <c r="AF31" i="10"/>
  <c r="AG31" i="10"/>
  <c r="AH31" i="10" s="1"/>
  <c r="N130" i="7" l="1"/>
  <c r="P129" i="7"/>
  <c r="Q129" i="7" s="1"/>
  <c r="K130" i="7" s="1"/>
  <c r="AL39" i="9"/>
  <c r="E116" i="9" s="1"/>
  <c r="K116" i="9" s="1"/>
  <c r="AI40" i="9"/>
  <c r="N105" i="9"/>
  <c r="AE33" i="10"/>
  <c r="AD34" i="10"/>
  <c r="AF32" i="10"/>
  <c r="AG32" i="10"/>
  <c r="AH32" i="10" s="1"/>
  <c r="L130" i="7" l="1"/>
  <c r="M130" i="7" s="1"/>
  <c r="O130" i="7" s="1"/>
  <c r="O105" i="9"/>
  <c r="AE34" i="10"/>
  <c r="AD35" i="10"/>
  <c r="AI41" i="9"/>
  <c r="AL40" i="9"/>
  <c r="E117" i="9" s="1"/>
  <c r="K117" i="9" s="1"/>
  <c r="AF33" i="10"/>
  <c r="AG33" i="10"/>
  <c r="AH33" i="10" s="1"/>
  <c r="N131" i="7" l="1"/>
  <c r="P130" i="7"/>
  <c r="Q130" i="7" s="1"/>
  <c r="K131" i="7" s="1"/>
  <c r="AL41" i="9"/>
  <c r="E118" i="9" s="1"/>
  <c r="K118" i="9" s="1"/>
  <c r="AI42" i="9"/>
  <c r="P105" i="9"/>
  <c r="AE35" i="10"/>
  <c r="AD36" i="10"/>
  <c r="AG34" i="10"/>
  <c r="AH34" i="10" s="1"/>
  <c r="AF34" i="10"/>
  <c r="L131" i="7" l="1"/>
  <c r="M131" i="7" s="1"/>
  <c r="O131" i="7" s="1"/>
  <c r="AF35" i="10"/>
  <c r="AG35" i="10"/>
  <c r="AH35" i="10" s="1"/>
  <c r="R105" i="9"/>
  <c r="AE36" i="10"/>
  <c r="AD37" i="10"/>
  <c r="AL42" i="9"/>
  <c r="E119" i="9" s="1"/>
  <c r="K119" i="9" s="1"/>
  <c r="AI43" i="9"/>
  <c r="P131" i="7" l="1"/>
  <c r="Q131" i="7" s="1"/>
  <c r="K132" i="7" s="1"/>
  <c r="N132" i="7"/>
  <c r="AI44" i="9"/>
  <c r="AL43" i="9"/>
  <c r="E120" i="9" s="1"/>
  <c r="K120" i="9" s="1"/>
  <c r="Q106" i="9"/>
  <c r="S105" i="9"/>
  <c r="AE37" i="10"/>
  <c r="AD38" i="10"/>
  <c r="AF36" i="10"/>
  <c r="AG36" i="10"/>
  <c r="AH36" i="10" s="1"/>
  <c r="L132" i="7" l="1"/>
  <c r="M132" i="7" s="1"/>
  <c r="O132" i="7" s="1"/>
  <c r="T105" i="9"/>
  <c r="AE38" i="10"/>
  <c r="AD39" i="10"/>
  <c r="AF37" i="10"/>
  <c r="AG37" i="10"/>
  <c r="AH37" i="10" s="1"/>
  <c r="AL44" i="9"/>
  <c r="E121" i="9" s="1"/>
  <c r="K121" i="9" s="1"/>
  <c r="AI45" i="9"/>
  <c r="N133" i="7" l="1"/>
  <c r="P132" i="7"/>
  <c r="Q132" i="7" s="1"/>
  <c r="K133" i="7" s="1"/>
  <c r="AL45" i="9"/>
  <c r="E122" i="9" s="1"/>
  <c r="K122" i="9" s="1"/>
  <c r="AI46" i="9"/>
  <c r="AE39" i="10"/>
  <c r="AD40" i="10"/>
  <c r="AG38" i="10"/>
  <c r="AH38" i="10" s="1"/>
  <c r="AF38" i="10"/>
  <c r="N106" i="9"/>
  <c r="L133" i="7" l="1"/>
  <c r="M133" i="7" s="1"/>
  <c r="O133" i="7" s="1"/>
  <c r="AL46" i="9"/>
  <c r="E123" i="9" s="1"/>
  <c r="K123" i="9" s="1"/>
  <c r="AI47" i="9"/>
  <c r="O106" i="9"/>
  <c r="AE40" i="10"/>
  <c r="AD41" i="10"/>
  <c r="AG39" i="10"/>
  <c r="AH39" i="10" s="1"/>
  <c r="AF39" i="10"/>
  <c r="N134" i="7" l="1"/>
  <c r="P133" i="7"/>
  <c r="Q133" i="7" s="1"/>
  <c r="K134" i="7" s="1"/>
  <c r="AF40" i="10"/>
  <c r="AG40" i="10"/>
  <c r="AH40" i="10" s="1"/>
  <c r="AL47" i="9"/>
  <c r="E124" i="9" s="1"/>
  <c r="K124" i="9" s="1"/>
  <c r="AI48" i="9"/>
  <c r="P106" i="9"/>
  <c r="AE41" i="10"/>
  <c r="AD42" i="10"/>
  <c r="L134" i="7" l="1"/>
  <c r="M134" i="7" s="1"/>
  <c r="O134" i="7" s="1"/>
  <c r="AL48" i="9"/>
  <c r="E125" i="9" s="1"/>
  <c r="K125" i="9" s="1"/>
  <c r="AI49" i="9"/>
  <c r="AF41" i="10"/>
  <c r="AG41" i="10"/>
  <c r="AH41" i="10" s="1"/>
  <c r="R106" i="9"/>
  <c r="AE42" i="10"/>
  <c r="AD43" i="10"/>
  <c r="P134" i="7" l="1"/>
  <c r="Q134" i="7" s="1"/>
  <c r="K135" i="7" s="1"/>
  <c r="N135" i="7"/>
  <c r="AF42" i="10"/>
  <c r="AG42" i="10"/>
  <c r="AH42" i="10" s="1"/>
  <c r="AL49" i="9"/>
  <c r="E126" i="9" s="1"/>
  <c r="K126" i="9" s="1"/>
  <c r="AI50" i="9"/>
  <c r="Q107" i="9"/>
  <c r="S106" i="9"/>
  <c r="AE43" i="10"/>
  <c r="AD44" i="10"/>
  <c r="L135" i="7" l="1"/>
  <c r="M135" i="7" s="1"/>
  <c r="O135" i="7" s="1"/>
  <c r="AL50" i="9"/>
  <c r="E127" i="9" s="1"/>
  <c r="K127" i="9" s="1"/>
  <c r="AI51" i="9"/>
  <c r="T106" i="9"/>
  <c r="AE44" i="10"/>
  <c r="AD45" i="10"/>
  <c r="AF43" i="10"/>
  <c r="AG43" i="10"/>
  <c r="AH43" i="10" s="1"/>
  <c r="N136" i="7" l="1"/>
  <c r="P135" i="7"/>
  <c r="Q135" i="7" s="1"/>
  <c r="K136" i="7" s="1"/>
  <c r="AE45" i="10"/>
  <c r="AD46" i="10"/>
  <c r="AF44" i="10"/>
  <c r="AG44" i="10"/>
  <c r="AH44" i="10" s="1"/>
  <c r="N107" i="9"/>
  <c r="AI52" i="9"/>
  <c r="AL51" i="9"/>
  <c r="E128" i="9" s="1"/>
  <c r="K128" i="9" s="1"/>
  <c r="L136" i="7" l="1"/>
  <c r="M136" i="7" s="1"/>
  <c r="O136" i="7" s="1"/>
  <c r="AE46" i="10"/>
  <c r="AD47" i="10"/>
  <c r="O107" i="9"/>
  <c r="AF45" i="10"/>
  <c r="AG45" i="10"/>
  <c r="AH45" i="10" s="1"/>
  <c r="AL52" i="9"/>
  <c r="E129" i="9" s="1"/>
  <c r="K129" i="9" s="1"/>
  <c r="AI53" i="9"/>
  <c r="N137" i="7" l="1"/>
  <c r="P136" i="7"/>
  <c r="Q136" i="7" s="1"/>
  <c r="K137" i="7" s="1"/>
  <c r="P107" i="9"/>
  <c r="AE47" i="10"/>
  <c r="AD48" i="10"/>
  <c r="AL53" i="9"/>
  <c r="E130" i="9" s="1"/>
  <c r="K130" i="9" s="1"/>
  <c r="AI54" i="9"/>
  <c r="AF46" i="10"/>
  <c r="AG46" i="10"/>
  <c r="AH46" i="10" s="1"/>
  <c r="L137" i="7" l="1"/>
  <c r="M137" i="7" s="1"/>
  <c r="O137" i="7" s="1"/>
  <c r="AL54" i="9"/>
  <c r="E131" i="9" s="1"/>
  <c r="K131" i="9" s="1"/>
  <c r="AI55" i="9"/>
  <c r="R107" i="9"/>
  <c r="AE48" i="10"/>
  <c r="AD49" i="10"/>
  <c r="AF47" i="10"/>
  <c r="AG47" i="10"/>
  <c r="AH47" i="10" s="1"/>
  <c r="N138" i="7" l="1"/>
  <c r="P137" i="7"/>
  <c r="Q137" i="7" s="1"/>
  <c r="K138" i="7" s="1"/>
  <c r="AF48" i="10"/>
  <c r="AG48" i="10"/>
  <c r="AH48" i="10" s="1"/>
  <c r="AL55" i="9"/>
  <c r="E132" i="9" s="1"/>
  <c r="K132" i="9" s="1"/>
  <c r="AI56" i="9"/>
  <c r="AE49" i="10"/>
  <c r="AD50" i="10"/>
  <c r="Q108" i="9"/>
  <c r="S107" i="9"/>
  <c r="L138" i="7" l="1"/>
  <c r="M138" i="7" s="1"/>
  <c r="O138" i="7" s="1"/>
  <c r="AI57" i="9"/>
  <c r="AL56" i="9"/>
  <c r="E133" i="9" s="1"/>
  <c r="K133" i="9" s="1"/>
  <c r="AE50" i="10"/>
  <c r="AD51" i="10"/>
  <c r="AF49" i="10"/>
  <c r="AG49" i="10"/>
  <c r="AH49" i="10" s="1"/>
  <c r="T107" i="9"/>
  <c r="N139" i="7" l="1"/>
  <c r="P138" i="7"/>
  <c r="Q138" i="7" s="1"/>
  <c r="K139" i="7" s="1"/>
  <c r="N108" i="9"/>
  <c r="AL57" i="9"/>
  <c r="E134" i="9" s="1"/>
  <c r="K134" i="9" s="1"/>
  <c r="AI58" i="9"/>
  <c r="AF50" i="10"/>
  <c r="AG50" i="10"/>
  <c r="AH50" i="10" s="1"/>
  <c r="AE51" i="10"/>
  <c r="AD52" i="10"/>
  <c r="L139" i="7" l="1"/>
  <c r="M139" i="7" s="1"/>
  <c r="O139" i="7" s="1"/>
  <c r="AE52" i="10"/>
  <c r="AD53" i="10"/>
  <c r="AL58" i="9"/>
  <c r="E135" i="9" s="1"/>
  <c r="K135" i="9" s="1"/>
  <c r="AI59" i="9"/>
  <c r="AF51" i="10"/>
  <c r="AG51" i="10"/>
  <c r="AH51" i="10" s="1"/>
  <c r="O108" i="9"/>
  <c r="N140" i="7" l="1"/>
  <c r="P139" i="7"/>
  <c r="Q139" i="7" s="1"/>
  <c r="K140" i="7" s="1"/>
  <c r="AE53" i="10"/>
  <c r="AD54" i="10"/>
  <c r="AF52" i="10"/>
  <c r="AG52" i="10"/>
  <c r="AH52" i="10" s="1"/>
  <c r="AI60" i="9"/>
  <c r="AL59" i="9"/>
  <c r="E136" i="9" s="1"/>
  <c r="K136" i="9" s="1"/>
  <c r="P108" i="9"/>
  <c r="R108" i="9" s="1"/>
  <c r="L140" i="7" l="1"/>
  <c r="M140" i="7" s="1"/>
  <c r="O140" i="7" s="1"/>
  <c r="AE54" i="10"/>
  <c r="AD55" i="10"/>
  <c r="AL60" i="9"/>
  <c r="E137" i="9" s="1"/>
  <c r="K137" i="9" s="1"/>
  <c r="AI61" i="9"/>
  <c r="AF53" i="10"/>
  <c r="AG53" i="10"/>
  <c r="AH53" i="10" s="1"/>
  <c r="S108" i="9"/>
  <c r="T108" i="9" s="1"/>
  <c r="N109" i="9" s="1"/>
  <c r="O109" i="9" s="1"/>
  <c r="P109" i="9" s="1"/>
  <c r="Q109" i="9"/>
  <c r="N141" i="7" l="1"/>
  <c r="P140" i="7"/>
  <c r="Q140" i="7" s="1"/>
  <c r="K141" i="7" s="1"/>
  <c r="R109" i="9"/>
  <c r="S109" i="9" s="1"/>
  <c r="T109" i="9" s="1"/>
  <c r="N110" i="9" s="1"/>
  <c r="O110" i="9" s="1"/>
  <c r="P110" i="9" s="1"/>
  <c r="AE55" i="10"/>
  <c r="AD56" i="10"/>
  <c r="AF54" i="10"/>
  <c r="AG54" i="10"/>
  <c r="AH54" i="10" s="1"/>
  <c r="AL61" i="9"/>
  <c r="E138" i="9" s="1"/>
  <c r="K138" i="9" s="1"/>
  <c r="AI62" i="9"/>
  <c r="L141" i="7" l="1"/>
  <c r="M141" i="7" s="1"/>
  <c r="O141" i="7" s="1"/>
  <c r="Q110" i="9"/>
  <c r="R110" i="9" s="1"/>
  <c r="AE56" i="10"/>
  <c r="AD57" i="10"/>
  <c r="AL62" i="9"/>
  <c r="E139" i="9" s="1"/>
  <c r="K139" i="9" s="1"/>
  <c r="AI63" i="9"/>
  <c r="AG55" i="10"/>
  <c r="AH55" i="10" s="1"/>
  <c r="AF55" i="10"/>
  <c r="P141" i="7" l="1"/>
  <c r="Q141" i="7" s="1"/>
  <c r="K142" i="7" s="1"/>
  <c r="N142" i="7"/>
  <c r="S110" i="9"/>
  <c r="T110" i="9" s="1"/>
  <c r="N111" i="9" s="1"/>
  <c r="O111" i="9" s="1"/>
  <c r="P111" i="9" s="1"/>
  <c r="Q111" i="9"/>
  <c r="AE57" i="10"/>
  <c r="AD58" i="10"/>
  <c r="AF56" i="10"/>
  <c r="AG56" i="10"/>
  <c r="AH56" i="10" s="1"/>
  <c r="AI64" i="9"/>
  <c r="AL63" i="9"/>
  <c r="E140" i="9" s="1"/>
  <c r="K140" i="9" s="1"/>
  <c r="R111" i="9" l="1"/>
  <c r="Q112" i="9" s="1"/>
  <c r="L142" i="7"/>
  <c r="M142" i="7" s="1"/>
  <c r="O142" i="7" s="1"/>
  <c r="AE58" i="10"/>
  <c r="AD59" i="10"/>
  <c r="AF57" i="10"/>
  <c r="AG57" i="10"/>
  <c r="AH57" i="10" s="1"/>
  <c r="AI65" i="9"/>
  <c r="AL64" i="9"/>
  <c r="E141" i="9" s="1"/>
  <c r="K141" i="9" s="1"/>
  <c r="S111" i="9" l="1"/>
  <c r="T111" i="9" s="1"/>
  <c r="N112" i="9" s="1"/>
  <c r="O112" i="9" s="1"/>
  <c r="P112" i="9" s="1"/>
  <c r="R112" i="9" s="1"/>
  <c r="N143" i="7"/>
  <c r="P142" i="7"/>
  <c r="Q142" i="7" s="1"/>
  <c r="K143" i="7" s="1"/>
  <c r="AF58" i="10"/>
  <c r="AG58" i="10"/>
  <c r="AH58" i="10" s="1"/>
  <c r="AL65" i="9"/>
  <c r="E142" i="9" s="1"/>
  <c r="K142" i="9" s="1"/>
  <c r="AI66" i="9"/>
  <c r="AE59" i="10"/>
  <c r="AD60" i="10"/>
  <c r="Q113" i="9" l="1"/>
  <c r="S112" i="9"/>
  <c r="T112" i="9" s="1"/>
  <c r="N113" i="9" s="1"/>
  <c r="O113" i="9" s="1"/>
  <c r="P113" i="9" s="1"/>
  <c r="L143" i="7"/>
  <c r="M143" i="7" s="1"/>
  <c r="O143" i="7" s="1"/>
  <c r="AL66" i="9"/>
  <c r="E143" i="9" s="1"/>
  <c r="K143" i="9" s="1"/>
  <c r="AI67" i="9"/>
  <c r="AE60" i="10"/>
  <c r="AD61" i="10"/>
  <c r="AF59" i="10"/>
  <c r="AG59" i="10"/>
  <c r="AH59" i="10" s="1"/>
  <c r="R113" i="9" l="1"/>
  <c r="Q114" i="9" s="1"/>
  <c r="N144" i="7"/>
  <c r="P143" i="7"/>
  <c r="Q143" i="7" s="1"/>
  <c r="K144" i="7" s="1"/>
  <c r="AI68" i="9"/>
  <c r="AL67" i="9"/>
  <c r="E144" i="9" s="1"/>
  <c r="K144" i="9" s="1"/>
  <c r="AE61" i="10"/>
  <c r="AD62" i="10"/>
  <c r="AG60" i="10"/>
  <c r="AH60" i="10" s="1"/>
  <c r="AF60" i="10"/>
  <c r="S113" i="9" l="1"/>
  <c r="T113" i="9" s="1"/>
  <c r="N114" i="9" s="1"/>
  <c r="O114" i="9" s="1"/>
  <c r="P114" i="9" s="1"/>
  <c r="R114" i="9" s="1"/>
  <c r="Q115" i="9" s="1"/>
  <c r="L144" i="7"/>
  <c r="M144" i="7" s="1"/>
  <c r="O144" i="7" s="1"/>
  <c r="AL68" i="9"/>
  <c r="E145" i="9" s="1"/>
  <c r="K145" i="9" s="1"/>
  <c r="AI69" i="9"/>
  <c r="AE62" i="10"/>
  <c r="AD63" i="10"/>
  <c r="AG61" i="10"/>
  <c r="AH61" i="10" s="1"/>
  <c r="AF61" i="10"/>
  <c r="S114" i="9" l="1"/>
  <c r="T114" i="9" s="1"/>
  <c r="N115" i="9" s="1"/>
  <c r="O115" i="9" s="1"/>
  <c r="P115" i="9" s="1"/>
  <c r="R115" i="9" s="1"/>
  <c r="P144" i="7"/>
  <c r="Q144" i="7" s="1"/>
  <c r="K145" i="7" s="1"/>
  <c r="N145" i="7"/>
  <c r="AE63" i="10"/>
  <c r="AD64" i="10"/>
  <c r="AF62" i="10"/>
  <c r="AG62" i="10"/>
  <c r="AH62" i="10" s="1"/>
  <c r="AL69" i="9"/>
  <c r="E146" i="9" s="1"/>
  <c r="K146" i="9" s="1"/>
  <c r="AI70" i="9"/>
  <c r="L145" i="7" l="1"/>
  <c r="M145" i="7" s="1"/>
  <c r="O145" i="7" s="1"/>
  <c r="AE64" i="10"/>
  <c r="AD65" i="10"/>
  <c r="Q116" i="9"/>
  <c r="S115" i="9"/>
  <c r="T115" i="9" s="1"/>
  <c r="N116" i="9" s="1"/>
  <c r="O116" i="9" s="1"/>
  <c r="P116" i="9" s="1"/>
  <c r="AG63" i="10"/>
  <c r="AH63" i="10" s="1"/>
  <c r="AF63" i="10"/>
  <c r="AL70" i="9"/>
  <c r="E147" i="9" s="1"/>
  <c r="K147" i="9" s="1"/>
  <c r="AI71" i="9"/>
  <c r="R116" i="9" l="1"/>
  <c r="Q117" i="9" s="1"/>
  <c r="P145" i="7"/>
  <c r="Q145" i="7" s="1"/>
  <c r="K146" i="7" s="1"/>
  <c r="N146" i="7"/>
  <c r="AF64" i="10"/>
  <c r="AG64" i="10"/>
  <c r="AH64" i="10" s="1"/>
  <c r="AL71" i="9"/>
  <c r="E148" i="9" s="1"/>
  <c r="K148" i="9" s="1"/>
  <c r="AI72" i="9"/>
  <c r="AE65" i="10"/>
  <c r="AD66" i="10"/>
  <c r="S116" i="9" l="1"/>
  <c r="T116" i="9" s="1"/>
  <c r="N117" i="9" s="1"/>
  <c r="O117" i="9" s="1"/>
  <c r="P117" i="9" s="1"/>
  <c r="R117" i="9" s="1"/>
  <c r="L146" i="7"/>
  <c r="M146" i="7" s="1"/>
  <c r="O146" i="7" s="1"/>
  <c r="AE66" i="10"/>
  <c r="AD67" i="10"/>
  <c r="AF65" i="10"/>
  <c r="AG65" i="10"/>
  <c r="AH65" i="10" s="1"/>
  <c r="AI73" i="9"/>
  <c r="AL72" i="9"/>
  <c r="E149" i="9" s="1"/>
  <c r="K149" i="9" s="1"/>
  <c r="Q118" i="9" l="1"/>
  <c r="S117" i="9"/>
  <c r="T117" i="9" s="1"/>
  <c r="N118" i="9" s="1"/>
  <c r="O118" i="9" s="1"/>
  <c r="P118" i="9" s="1"/>
  <c r="P146" i="7"/>
  <c r="Q146" i="7" s="1"/>
  <c r="K147" i="7" s="1"/>
  <c r="N147" i="7"/>
  <c r="AL73" i="9"/>
  <c r="E150" i="9" s="1"/>
  <c r="K150" i="9" s="1"/>
  <c r="AI74" i="9"/>
  <c r="AF66" i="10"/>
  <c r="AG66" i="10"/>
  <c r="AH66" i="10" s="1"/>
  <c r="AE67" i="10"/>
  <c r="AD68" i="10"/>
  <c r="R118" i="9" l="1"/>
  <c r="S118" i="9" s="1"/>
  <c r="T118" i="9" s="1"/>
  <c r="N119" i="9" s="1"/>
  <c r="O119" i="9" s="1"/>
  <c r="P119" i="9" s="1"/>
  <c r="L147" i="7"/>
  <c r="M147" i="7" s="1"/>
  <c r="O147" i="7" s="1"/>
  <c r="AF67" i="10"/>
  <c r="AG67" i="10"/>
  <c r="AH67" i="10" s="1"/>
  <c r="AE68" i="10"/>
  <c r="AD69" i="10"/>
  <c r="AL74" i="9"/>
  <c r="E151" i="9" s="1"/>
  <c r="K151" i="9" s="1"/>
  <c r="AI75" i="9"/>
  <c r="Q119" i="9" l="1"/>
  <c r="R119" i="9" s="1"/>
  <c r="P147" i="7"/>
  <c r="Q147" i="7" s="1"/>
  <c r="K148" i="7" s="1"/>
  <c r="N148" i="7"/>
  <c r="AE69" i="10"/>
  <c r="AD70" i="10"/>
  <c r="AF68" i="10"/>
  <c r="AG68" i="10"/>
  <c r="AH68" i="10" s="1"/>
  <c r="AI76" i="9"/>
  <c r="AL75" i="9"/>
  <c r="E152" i="9" s="1"/>
  <c r="K152" i="9" s="1"/>
  <c r="L148" i="7" l="1"/>
  <c r="M148" i="7" s="1"/>
  <c r="O148" i="7" s="1"/>
  <c r="AL76" i="9"/>
  <c r="E153" i="9" s="1"/>
  <c r="K153" i="9" s="1"/>
  <c r="AI77" i="9"/>
  <c r="AD71" i="10"/>
  <c r="AE70" i="10"/>
  <c r="Q120" i="9"/>
  <c r="S119" i="9"/>
  <c r="T119" i="9" s="1"/>
  <c r="N120" i="9" s="1"/>
  <c r="O120" i="9" s="1"/>
  <c r="P120" i="9" s="1"/>
  <c r="AF69" i="10"/>
  <c r="AG69" i="10"/>
  <c r="AH69" i="10" s="1"/>
  <c r="N149" i="7" l="1"/>
  <c r="P148" i="7"/>
  <c r="Q148" i="7" s="1"/>
  <c r="K149" i="7" s="1"/>
  <c r="AF70" i="10"/>
  <c r="AG70" i="10"/>
  <c r="AH70" i="10" s="1"/>
  <c r="AE71" i="10"/>
  <c r="AD72" i="10"/>
  <c r="AI78" i="9"/>
  <c r="AL77" i="9"/>
  <c r="E154" i="9" s="1"/>
  <c r="K154" i="9" s="1"/>
  <c r="R120" i="9"/>
  <c r="L149" i="7" l="1"/>
  <c r="M149" i="7" s="1"/>
  <c r="O149" i="7" s="1"/>
  <c r="AE72" i="10"/>
  <c r="AD73" i="10"/>
  <c r="AF71" i="10"/>
  <c r="AG71" i="10"/>
  <c r="AH71" i="10" s="1"/>
  <c r="Q121" i="9"/>
  <c r="S120" i="9"/>
  <c r="T120" i="9" s="1"/>
  <c r="N121" i="9" s="1"/>
  <c r="O121" i="9" s="1"/>
  <c r="P121" i="9" s="1"/>
  <c r="AL78" i="9"/>
  <c r="E155" i="9" s="1"/>
  <c r="K155" i="9" s="1"/>
  <c r="AI79" i="9"/>
  <c r="N150" i="7" l="1"/>
  <c r="P149" i="7"/>
  <c r="Q149" i="7" s="1"/>
  <c r="K150" i="7" s="1"/>
  <c r="AI80" i="9"/>
  <c r="AL79" i="9"/>
  <c r="E156" i="9" s="1"/>
  <c r="K156" i="9" s="1"/>
  <c r="AE73" i="10"/>
  <c r="AD74" i="10"/>
  <c r="R121" i="9"/>
  <c r="AF72" i="10"/>
  <c r="AG72" i="10"/>
  <c r="AH72" i="10" s="1"/>
  <c r="L150" i="7" l="1"/>
  <c r="M150" i="7" s="1"/>
  <c r="O150" i="7" s="1"/>
  <c r="AL80" i="9"/>
  <c r="E157" i="9" s="1"/>
  <c r="K157" i="9" s="1"/>
  <c r="AI81" i="9"/>
  <c r="Q122" i="9"/>
  <c r="S121" i="9"/>
  <c r="T121" i="9" s="1"/>
  <c r="N122" i="9" s="1"/>
  <c r="O122" i="9" s="1"/>
  <c r="P122" i="9" s="1"/>
  <c r="AE74" i="10"/>
  <c r="AD75" i="10"/>
  <c r="AF73" i="10"/>
  <c r="AG73" i="10"/>
  <c r="AH73" i="10" s="1"/>
  <c r="N151" i="7" l="1"/>
  <c r="P150" i="7"/>
  <c r="Q150" i="7" s="1"/>
  <c r="K151" i="7" s="1"/>
  <c r="R122" i="9"/>
  <c r="S122" i="9" s="1"/>
  <c r="T122" i="9" s="1"/>
  <c r="N123" i="9" s="1"/>
  <c r="O123" i="9" s="1"/>
  <c r="P123" i="9" s="1"/>
  <c r="AF74" i="10"/>
  <c r="AG74" i="10"/>
  <c r="AH74" i="10" s="1"/>
  <c r="AL81" i="9"/>
  <c r="E158" i="9" s="1"/>
  <c r="K158" i="9" s="1"/>
  <c r="AI82" i="9"/>
  <c r="AE75" i="10"/>
  <c r="AD76" i="10"/>
  <c r="Q123" i="9" l="1"/>
  <c r="R123" i="9" s="1"/>
  <c r="Q124" i="9" s="1"/>
  <c r="L151" i="7"/>
  <c r="M151" i="7" s="1"/>
  <c r="O151" i="7" s="1"/>
  <c r="AF75" i="10"/>
  <c r="AG75" i="10"/>
  <c r="AH75" i="10" s="1"/>
  <c r="AL82" i="9"/>
  <c r="E159" i="9" s="1"/>
  <c r="K159" i="9" s="1"/>
  <c r="AI83" i="9"/>
  <c r="AD77" i="10"/>
  <c r="AE76" i="10"/>
  <c r="N152" i="7" l="1"/>
  <c r="P151" i="7"/>
  <c r="Q151" i="7" s="1"/>
  <c r="K152" i="7" s="1"/>
  <c r="S123" i="9"/>
  <c r="T123" i="9" s="1"/>
  <c r="N124" i="9" s="1"/>
  <c r="O124" i="9" s="1"/>
  <c r="P124" i="9" s="1"/>
  <c r="R124" i="9" s="1"/>
  <c r="Q125" i="9" s="1"/>
  <c r="AF76" i="10"/>
  <c r="AG76" i="10"/>
  <c r="AH76" i="10" s="1"/>
  <c r="AE77" i="10"/>
  <c r="AD78" i="10"/>
  <c r="AI84" i="9"/>
  <c r="AL83" i="9"/>
  <c r="E160" i="9" s="1"/>
  <c r="K160" i="9" s="1"/>
  <c r="L152" i="7" l="1"/>
  <c r="M152" i="7" s="1"/>
  <c r="O152" i="7" s="1"/>
  <c r="S124" i="9"/>
  <c r="T124" i="9" s="1"/>
  <c r="N125" i="9" s="1"/>
  <c r="O125" i="9" s="1"/>
  <c r="P125" i="9" s="1"/>
  <c r="R125" i="9" s="1"/>
  <c r="AF77" i="10"/>
  <c r="AG77" i="10"/>
  <c r="AH77" i="10" s="1"/>
  <c r="AI85" i="9"/>
  <c r="AL84" i="9"/>
  <c r="E161" i="9" s="1"/>
  <c r="K161" i="9" s="1"/>
  <c r="AE78" i="10"/>
  <c r="AD79" i="10"/>
  <c r="N153" i="7" l="1"/>
  <c r="P152" i="7"/>
  <c r="Q152" i="7" s="1"/>
  <c r="K153" i="7" s="1"/>
  <c r="AF78" i="10"/>
  <c r="AG78" i="10"/>
  <c r="AH78" i="10" s="1"/>
  <c r="Q126" i="9"/>
  <c r="S125" i="9"/>
  <c r="T125" i="9" s="1"/>
  <c r="N126" i="9" s="1"/>
  <c r="O126" i="9" s="1"/>
  <c r="P126" i="9" s="1"/>
  <c r="AL85" i="9"/>
  <c r="AI91" i="9"/>
  <c r="AE79" i="10"/>
  <c r="AD80" i="10"/>
  <c r="L153" i="7" l="1"/>
  <c r="M153" i="7" s="1"/>
  <c r="O153" i="7" s="1"/>
  <c r="R126" i="9"/>
  <c r="Q127" i="9" s="1"/>
  <c r="E162" i="9"/>
  <c r="AL91" i="9"/>
  <c r="AE80" i="10"/>
  <c r="AD81" i="10"/>
  <c r="AF79" i="10"/>
  <c r="AG79" i="10"/>
  <c r="AH79" i="10" s="1"/>
  <c r="S126" i="9" l="1"/>
  <c r="T126" i="9" s="1"/>
  <c r="N127" i="9" s="1"/>
  <c r="O127" i="9" s="1"/>
  <c r="P127" i="9" s="1"/>
  <c r="R127" i="9" s="1"/>
  <c r="Q128" i="9" s="1"/>
  <c r="P153" i="7"/>
  <c r="Q153" i="7" s="1"/>
  <c r="K154" i="7" s="1"/>
  <c r="N154" i="7"/>
  <c r="AE81" i="10"/>
  <c r="AD82" i="10"/>
  <c r="AG80" i="10"/>
  <c r="AH80" i="10" s="1"/>
  <c r="AF80" i="10"/>
  <c r="K162" i="9"/>
  <c r="E168" i="9"/>
  <c r="S127" i="9" l="1"/>
  <c r="T127" i="9" s="1"/>
  <c r="N128" i="9" s="1"/>
  <c r="O128" i="9" s="1"/>
  <c r="P128" i="9" s="1"/>
  <c r="R128" i="9" s="1"/>
  <c r="S128" i="9" s="1"/>
  <c r="T128" i="9" s="1"/>
  <c r="N129" i="9" s="1"/>
  <c r="O129" i="9" s="1"/>
  <c r="P129" i="9" s="1"/>
  <c r="L154" i="7"/>
  <c r="M154" i="7" s="1"/>
  <c r="O154" i="7" s="1"/>
  <c r="AD83" i="10"/>
  <c r="AE82" i="10"/>
  <c r="AG81" i="10"/>
  <c r="AH81" i="10" s="1"/>
  <c r="AF81" i="10"/>
  <c r="K168" i="9"/>
  <c r="Q129" i="9" l="1"/>
  <c r="R129" i="9" s="1"/>
  <c r="N155" i="7"/>
  <c r="P154" i="7"/>
  <c r="Q154" i="7" s="1"/>
  <c r="K155" i="7" s="1"/>
  <c r="AF82" i="10"/>
  <c r="AG82" i="10"/>
  <c r="AH82" i="10" s="1"/>
  <c r="AE83" i="10"/>
  <c r="AD84" i="10"/>
  <c r="L155" i="7" l="1"/>
  <c r="M155" i="7" s="1"/>
  <c r="O155" i="7" s="1"/>
  <c r="AF83" i="10"/>
  <c r="AG83" i="10"/>
  <c r="AH83" i="10" s="1"/>
  <c r="Q130" i="9"/>
  <c r="S129" i="9"/>
  <c r="T129" i="9" s="1"/>
  <c r="N130" i="9" s="1"/>
  <c r="O130" i="9" s="1"/>
  <c r="P130" i="9" s="1"/>
  <c r="AD85" i="10"/>
  <c r="AE85" i="10" s="1"/>
  <c r="AE84" i="10"/>
  <c r="N156" i="7" l="1"/>
  <c r="P155" i="7"/>
  <c r="Q155" i="7" s="1"/>
  <c r="K156" i="7" s="1"/>
  <c r="R130" i="9"/>
  <c r="Q131" i="9" s="1"/>
  <c r="AG84" i="10"/>
  <c r="AH84" i="10" s="1"/>
  <c r="AF84" i="10"/>
  <c r="AG85" i="10"/>
  <c r="AF85" i="10"/>
  <c r="AE91" i="10"/>
  <c r="AF91" i="10" l="1"/>
  <c r="S130" i="9"/>
  <c r="T130" i="9" s="1"/>
  <c r="N131" i="9" s="1"/>
  <c r="O131" i="9" s="1"/>
  <c r="P131" i="9" s="1"/>
  <c r="R131" i="9" s="1"/>
  <c r="Q132" i="9" s="1"/>
  <c r="L156" i="7"/>
  <c r="M156" i="7" s="1"/>
  <c r="O156" i="7" s="1"/>
  <c r="AH85" i="10"/>
  <c r="AH91" i="10" s="1"/>
  <c r="AI26" i="10" s="1"/>
  <c r="AG91" i="10"/>
  <c r="S131" i="9" l="1"/>
  <c r="T131" i="9" s="1"/>
  <c r="N132" i="9" s="1"/>
  <c r="O132" i="9" s="1"/>
  <c r="P132" i="9" s="1"/>
  <c r="R132" i="9" s="1"/>
  <c r="Q133" i="9" s="1"/>
  <c r="N157" i="7"/>
  <c r="P156" i="7"/>
  <c r="Q156" i="7" s="1"/>
  <c r="K157" i="7" s="1"/>
  <c r="G27" i="1"/>
  <c r="H27" i="1" s="1"/>
  <c r="AL26" i="10"/>
  <c r="AI27" i="10"/>
  <c r="S132" i="9" l="1"/>
  <c r="T132" i="9" s="1"/>
  <c r="N133" i="9" s="1"/>
  <c r="O133" i="9" s="1"/>
  <c r="P133" i="9" s="1"/>
  <c r="R133" i="9" s="1"/>
  <c r="Q134" i="9" s="1"/>
  <c r="L157" i="7"/>
  <c r="AL27" i="10"/>
  <c r="E104" i="10" s="1"/>
  <c r="K104" i="10" s="1"/>
  <c r="AI28" i="10"/>
  <c r="E103" i="10"/>
  <c r="K103" i="10" s="1"/>
  <c r="G28" i="1"/>
  <c r="M157" i="7" l="1"/>
  <c r="S133" i="9"/>
  <c r="T133" i="9" s="1"/>
  <c r="N134" i="9" s="1"/>
  <c r="O134" i="9" s="1"/>
  <c r="P134" i="9" s="1"/>
  <c r="R134" i="9" s="1"/>
  <c r="S134" i="9" s="1"/>
  <c r="T134" i="9" s="1"/>
  <c r="N135" i="9" s="1"/>
  <c r="O135" i="9" s="1"/>
  <c r="P135" i="9" s="1"/>
  <c r="H29" i="1"/>
  <c r="H30" i="1" s="1"/>
  <c r="H28" i="1"/>
  <c r="H34" i="1" s="1"/>
  <c r="H39" i="1" s="1"/>
  <c r="AI29" i="10"/>
  <c r="AL28" i="10"/>
  <c r="E105" i="10" s="1"/>
  <c r="K105" i="10" s="1"/>
  <c r="P103" i="10"/>
  <c r="Q135" i="9" l="1"/>
  <c r="R135" i="9" s="1"/>
  <c r="O157" i="7"/>
  <c r="AL29" i="10"/>
  <c r="AI30" i="10"/>
  <c r="R103" i="10"/>
  <c r="N158" i="7" l="1"/>
  <c r="P157" i="7"/>
  <c r="Q136" i="9"/>
  <c r="S135" i="9"/>
  <c r="T135" i="9" s="1"/>
  <c r="N136" i="9" s="1"/>
  <c r="O136" i="9" s="1"/>
  <c r="P136" i="9" s="1"/>
  <c r="AL30" i="10"/>
  <c r="E107" i="10" s="1"/>
  <c r="K107" i="10" s="1"/>
  <c r="AI31" i="10"/>
  <c r="E106" i="10"/>
  <c r="K106" i="10" s="1"/>
  <c r="Q104" i="10"/>
  <c r="S103" i="10"/>
  <c r="R136" i="9" l="1"/>
  <c r="S136" i="9" s="1"/>
  <c r="T136" i="9" s="1"/>
  <c r="N137" i="9" s="1"/>
  <c r="O137" i="9" s="1"/>
  <c r="P137" i="9" s="1"/>
  <c r="Q157" i="7"/>
  <c r="K158" i="7" s="1"/>
  <c r="AL31" i="10"/>
  <c r="E108" i="10" s="1"/>
  <c r="K108" i="10" s="1"/>
  <c r="AI32" i="10"/>
  <c r="T103" i="10"/>
  <c r="Q137" i="9" l="1"/>
  <c r="R137" i="9" s="1"/>
  <c r="Q138" i="9" s="1"/>
  <c r="L158" i="7"/>
  <c r="N104" i="10"/>
  <c r="AI33" i="10"/>
  <c r="AL32" i="10"/>
  <c r="S137" i="9" l="1"/>
  <c r="T137" i="9" s="1"/>
  <c r="N138" i="9" s="1"/>
  <c r="O138" i="9" s="1"/>
  <c r="P138" i="9" s="1"/>
  <c r="R138" i="9" s="1"/>
  <c r="M158" i="7"/>
  <c r="E109" i="10"/>
  <c r="K109" i="10" s="1"/>
  <c r="AL33" i="10"/>
  <c r="E110" i="10" s="1"/>
  <c r="K110" i="10" s="1"/>
  <c r="AI34" i="10"/>
  <c r="O104" i="10"/>
  <c r="Q139" i="9" l="1"/>
  <c r="S138" i="9"/>
  <c r="T138" i="9" s="1"/>
  <c r="N139" i="9" s="1"/>
  <c r="O139" i="9" s="1"/>
  <c r="P139" i="9" s="1"/>
  <c r="O158" i="7"/>
  <c r="AL34" i="10"/>
  <c r="E111" i="10" s="1"/>
  <c r="K111" i="10" s="1"/>
  <c r="AI35" i="10"/>
  <c r="P104" i="10"/>
  <c r="R139" i="9" l="1"/>
  <c r="N159" i="7"/>
  <c r="P158" i="7"/>
  <c r="AL35" i="10"/>
  <c r="E112" i="10" s="1"/>
  <c r="K112" i="10" s="1"/>
  <c r="AI36" i="10"/>
  <c r="R104" i="10"/>
  <c r="Q140" i="9" l="1"/>
  <c r="S139" i="9"/>
  <c r="T139" i="9" s="1"/>
  <c r="N140" i="9" s="1"/>
  <c r="O140" i="9" s="1"/>
  <c r="P140" i="9" s="1"/>
  <c r="Q158" i="7"/>
  <c r="K159" i="7" s="1"/>
  <c r="AI37" i="10"/>
  <c r="AL36" i="10"/>
  <c r="E113" i="10" s="1"/>
  <c r="K113" i="10" s="1"/>
  <c r="Q105" i="10"/>
  <c r="S104" i="10"/>
  <c r="R140" i="9" l="1"/>
  <c r="L159" i="7"/>
  <c r="AL37" i="10"/>
  <c r="E114" i="10" s="1"/>
  <c r="K114" i="10" s="1"/>
  <c r="AI38" i="10"/>
  <c r="T104" i="10"/>
  <c r="Q141" i="9" l="1"/>
  <c r="S140" i="9"/>
  <c r="T140" i="9" s="1"/>
  <c r="N141" i="9" s="1"/>
  <c r="O141" i="9" s="1"/>
  <c r="P141" i="9" s="1"/>
  <c r="M159" i="7"/>
  <c r="AI39" i="10"/>
  <c r="AL38" i="10"/>
  <c r="E115" i="10" s="1"/>
  <c r="K115" i="10" s="1"/>
  <c r="N105" i="10"/>
  <c r="R141" i="9" l="1"/>
  <c r="O159" i="7"/>
  <c r="O105" i="10"/>
  <c r="AI40" i="10"/>
  <c r="AL39" i="10"/>
  <c r="E116" i="10" s="1"/>
  <c r="K116" i="10" s="1"/>
  <c r="S141" i="9" l="1"/>
  <c r="T141" i="9" s="1"/>
  <c r="N142" i="9" s="1"/>
  <c r="O142" i="9" s="1"/>
  <c r="P142" i="9" s="1"/>
  <c r="Q142" i="9"/>
  <c r="N160" i="7"/>
  <c r="P159" i="7"/>
  <c r="AI41" i="10"/>
  <c r="AL40" i="10"/>
  <c r="E117" i="10" s="1"/>
  <c r="K117" i="10" s="1"/>
  <c r="P105" i="10"/>
  <c r="R142" i="9" l="1"/>
  <c r="Q159" i="7"/>
  <c r="K160" i="7" s="1"/>
  <c r="AL41" i="10"/>
  <c r="E118" i="10" s="1"/>
  <c r="K118" i="10" s="1"/>
  <c r="AI42" i="10"/>
  <c r="R105" i="10"/>
  <c r="Q143" i="9" l="1"/>
  <c r="S142" i="9"/>
  <c r="T142" i="9" s="1"/>
  <c r="N143" i="9" s="1"/>
  <c r="O143" i="9" s="1"/>
  <c r="P143" i="9" s="1"/>
  <c r="L160" i="7"/>
  <c r="M160" i="7" s="1"/>
  <c r="Q106" i="10"/>
  <c r="S105" i="10"/>
  <c r="AL42" i="10"/>
  <c r="E119" i="10" s="1"/>
  <c r="K119" i="10" s="1"/>
  <c r="AI43" i="10"/>
  <c r="R143" i="9" l="1"/>
  <c r="S143" i="9" s="1"/>
  <c r="T143" i="9" s="1"/>
  <c r="N144" i="9" s="1"/>
  <c r="O144" i="9" s="1"/>
  <c r="P144" i="9" s="1"/>
  <c r="O160" i="7"/>
  <c r="T105" i="10"/>
  <c r="AL43" i="10"/>
  <c r="E120" i="10" s="1"/>
  <c r="K120" i="10" s="1"/>
  <c r="AI44" i="10"/>
  <c r="Q144" i="9" l="1"/>
  <c r="R144" i="9" s="1"/>
  <c r="N161" i="7"/>
  <c r="P160" i="7"/>
  <c r="AI45" i="10"/>
  <c r="AL44" i="10"/>
  <c r="E121" i="10" s="1"/>
  <c r="K121" i="10" s="1"/>
  <c r="N106" i="10"/>
  <c r="S144" i="9" l="1"/>
  <c r="T144" i="9" s="1"/>
  <c r="N145" i="9" s="1"/>
  <c r="O145" i="9" s="1"/>
  <c r="P145" i="9" s="1"/>
  <c r="Q145" i="9"/>
  <c r="Q160" i="7"/>
  <c r="K161" i="7" s="1"/>
  <c r="AL45" i="10"/>
  <c r="E122" i="10" s="1"/>
  <c r="K122" i="10" s="1"/>
  <c r="AI46" i="10"/>
  <c r="O106" i="10"/>
  <c r="R145" i="9" l="1"/>
  <c r="S145" i="9" s="1"/>
  <c r="T145" i="9" s="1"/>
  <c r="N146" i="9" s="1"/>
  <c r="O146" i="9" s="1"/>
  <c r="P146" i="9" s="1"/>
  <c r="L161" i="7"/>
  <c r="M161" i="7" s="1"/>
  <c r="AI47" i="10"/>
  <c r="AL46" i="10"/>
  <c r="E123" i="10" s="1"/>
  <c r="K123" i="10" s="1"/>
  <c r="P106" i="10"/>
  <c r="Q146" i="9" l="1"/>
  <c r="R146" i="9" s="1"/>
  <c r="O161" i="7"/>
  <c r="R106" i="10"/>
  <c r="AL47" i="10"/>
  <c r="E124" i="10" s="1"/>
  <c r="K124" i="10" s="1"/>
  <c r="AI48" i="10"/>
  <c r="Q147" i="9" l="1"/>
  <c r="S146" i="9"/>
  <c r="T146" i="9" s="1"/>
  <c r="N147" i="9" s="1"/>
  <c r="O147" i="9" s="1"/>
  <c r="P147" i="9" s="1"/>
  <c r="N162" i="7"/>
  <c r="P161" i="7"/>
  <c r="AI49" i="10"/>
  <c r="AL48" i="10"/>
  <c r="E125" i="10" s="1"/>
  <c r="K125" i="10" s="1"/>
  <c r="Q107" i="10"/>
  <c r="S106" i="10"/>
  <c r="R147" i="9" l="1"/>
  <c r="Q161" i="7"/>
  <c r="K162" i="7" s="1"/>
  <c r="L162" i="7" s="1"/>
  <c r="M162" i="7" s="1"/>
  <c r="O162" i="7" s="1"/>
  <c r="T106" i="10"/>
  <c r="AI50" i="10"/>
  <c r="AL49" i="10"/>
  <c r="E126" i="10" s="1"/>
  <c r="K126" i="10" s="1"/>
  <c r="S147" i="9" l="1"/>
  <c r="T147" i="9" s="1"/>
  <c r="N148" i="9" s="1"/>
  <c r="O148" i="9" s="1"/>
  <c r="P148" i="9" s="1"/>
  <c r="Q148" i="9"/>
  <c r="N163" i="7"/>
  <c r="P162" i="7"/>
  <c r="AL50" i="10"/>
  <c r="E127" i="10" s="1"/>
  <c r="K127" i="10" s="1"/>
  <c r="AI51" i="10"/>
  <c r="N107" i="10"/>
  <c r="K163" i="7" l="1"/>
  <c r="L163" i="7" s="1"/>
  <c r="M163" i="7" s="1"/>
  <c r="O163" i="7" s="1"/>
  <c r="N164" i="7" s="1"/>
  <c r="R148" i="9"/>
  <c r="S148" i="9" s="1"/>
  <c r="T148" i="9" s="1"/>
  <c r="N149" i="9" s="1"/>
  <c r="O149" i="9" s="1"/>
  <c r="P149" i="9" s="1"/>
  <c r="O107" i="10"/>
  <c r="AL51" i="10"/>
  <c r="E128" i="10" s="1"/>
  <c r="K128" i="10" s="1"/>
  <c r="AI52" i="10"/>
  <c r="P163" i="7" l="1"/>
  <c r="Q149" i="9"/>
  <c r="R149" i="9" s="1"/>
  <c r="P107" i="10"/>
  <c r="AL52" i="10"/>
  <c r="E129" i="10" s="1"/>
  <c r="K129" i="10" s="1"/>
  <c r="AI53" i="10"/>
  <c r="K164" i="7" l="1"/>
  <c r="L164" i="7" s="1"/>
  <c r="M164" i="7" s="1"/>
  <c r="O164" i="7" s="1"/>
  <c r="S149" i="9"/>
  <c r="T149" i="9" s="1"/>
  <c r="N150" i="9" s="1"/>
  <c r="O150" i="9" s="1"/>
  <c r="P150" i="9" s="1"/>
  <c r="Q150" i="9"/>
  <c r="R107" i="10"/>
  <c r="AI54" i="10"/>
  <c r="AL53" i="10"/>
  <c r="E130" i="10" s="1"/>
  <c r="K130" i="10" s="1"/>
  <c r="P164" i="7" l="1"/>
  <c r="N165" i="7"/>
  <c r="R150" i="9"/>
  <c r="Q151" i="9" s="1"/>
  <c r="AL54" i="10"/>
  <c r="E131" i="10" s="1"/>
  <c r="K131" i="10" s="1"/>
  <c r="AI55" i="10"/>
  <c r="Q108" i="10"/>
  <c r="S107" i="10"/>
  <c r="K165" i="7" l="1"/>
  <c r="S150" i="9"/>
  <c r="T150" i="9" s="1"/>
  <c r="N151" i="9" s="1"/>
  <c r="O151" i="9" s="1"/>
  <c r="P151" i="9" s="1"/>
  <c r="R151" i="9" s="1"/>
  <c r="Q152" i="9" s="1"/>
  <c r="T107" i="10"/>
  <c r="AL55" i="10"/>
  <c r="E132" i="10" s="1"/>
  <c r="K132" i="10" s="1"/>
  <c r="AI56" i="10"/>
  <c r="L165" i="7" l="1"/>
  <c r="M165" i="7" s="1"/>
  <c r="O165" i="7" s="1"/>
  <c r="S151" i="9"/>
  <c r="T151" i="9" s="1"/>
  <c r="N152" i="9" s="1"/>
  <c r="O152" i="9" s="1"/>
  <c r="P152" i="9" s="1"/>
  <c r="R152" i="9" s="1"/>
  <c r="N108" i="10"/>
  <c r="AI57" i="10"/>
  <c r="AL56" i="10"/>
  <c r="E133" i="10" s="1"/>
  <c r="K133" i="10" s="1"/>
  <c r="P165" i="7" l="1"/>
  <c r="N166" i="7"/>
  <c r="S152" i="9"/>
  <c r="T152" i="9" s="1"/>
  <c r="N153" i="9" s="1"/>
  <c r="O153" i="9" s="1"/>
  <c r="P153" i="9" s="1"/>
  <c r="Q153" i="9"/>
  <c r="AL57" i="10"/>
  <c r="E134" i="10" s="1"/>
  <c r="K134" i="10" s="1"/>
  <c r="AI58" i="10"/>
  <c r="O108" i="10"/>
  <c r="K166" i="7" l="1"/>
  <c r="R153" i="9"/>
  <c r="P108" i="10"/>
  <c r="R108" i="10" s="1"/>
  <c r="AL58" i="10"/>
  <c r="E135" i="10" s="1"/>
  <c r="K135" i="10" s="1"/>
  <c r="AI59" i="10"/>
  <c r="L166" i="7" l="1"/>
  <c r="K167" i="7"/>
  <c r="BA92" i="7" s="1"/>
  <c r="S153" i="9"/>
  <c r="T153" i="9" s="1"/>
  <c r="N154" i="9" s="1"/>
  <c r="O154" i="9" s="1"/>
  <c r="P154" i="9" s="1"/>
  <c r="Q154" i="9"/>
  <c r="Q109" i="10"/>
  <c r="S108" i="10"/>
  <c r="T108" i="10" s="1"/>
  <c r="N109" i="10" s="1"/>
  <c r="O109" i="10" s="1"/>
  <c r="P109" i="10" s="1"/>
  <c r="AL59" i="10"/>
  <c r="E136" i="10" s="1"/>
  <c r="K136" i="10" s="1"/>
  <c r="AI60" i="10"/>
  <c r="L167" i="7" l="1"/>
  <c r="M166" i="7"/>
  <c r="R154" i="9"/>
  <c r="Q155" i="9" s="1"/>
  <c r="R109" i="10"/>
  <c r="Q110" i="10" s="1"/>
  <c r="AL60" i="10"/>
  <c r="E137" i="10" s="1"/>
  <c r="K137" i="10" s="1"/>
  <c r="AI61" i="10"/>
  <c r="O166" i="7" l="1"/>
  <c r="P166" i="7" s="1"/>
  <c r="M167" i="7"/>
  <c r="S154" i="9"/>
  <c r="T154" i="9" s="1"/>
  <c r="N155" i="9" s="1"/>
  <c r="O155" i="9" s="1"/>
  <c r="P155" i="9" s="1"/>
  <c r="R155" i="9" s="1"/>
  <c r="S109" i="10"/>
  <c r="T109" i="10" s="1"/>
  <c r="N110" i="10" s="1"/>
  <c r="O110" i="10" s="1"/>
  <c r="P110" i="10" s="1"/>
  <c r="R110" i="10" s="1"/>
  <c r="Q111" i="10" s="1"/>
  <c r="AI62" i="10"/>
  <c r="AL61" i="10"/>
  <c r="E138" i="10" s="1"/>
  <c r="K138" i="10" s="1"/>
  <c r="Q167" i="7" l="1"/>
  <c r="D50" i="1" s="1"/>
  <c r="D53" i="1" s="1"/>
  <c r="D57" i="1" s="1"/>
  <c r="P167" i="7"/>
  <c r="S155" i="9"/>
  <c r="T155" i="9" s="1"/>
  <c r="N156" i="9" s="1"/>
  <c r="O156" i="9" s="1"/>
  <c r="P156" i="9" s="1"/>
  <c r="Q156" i="9"/>
  <c r="S110" i="10"/>
  <c r="T110" i="10" s="1"/>
  <c r="N111" i="10" s="1"/>
  <c r="O111" i="10" s="1"/>
  <c r="P111" i="10" s="1"/>
  <c r="R111" i="10" s="1"/>
  <c r="S111" i="10" s="1"/>
  <c r="T111" i="10" s="1"/>
  <c r="N112" i="10" s="1"/>
  <c r="O112" i="10" s="1"/>
  <c r="P112" i="10" s="1"/>
  <c r="AL62" i="10"/>
  <c r="E139" i="10" s="1"/>
  <c r="K139" i="10" s="1"/>
  <c r="AI63" i="10"/>
  <c r="R156" i="9" l="1"/>
  <c r="S156" i="9" s="1"/>
  <c r="T156" i="9" s="1"/>
  <c r="N157" i="9" s="1"/>
  <c r="O157" i="9" s="1"/>
  <c r="P157" i="9" s="1"/>
  <c r="Q112" i="10"/>
  <c r="R112" i="10" s="1"/>
  <c r="AL63" i="10"/>
  <c r="E140" i="10" s="1"/>
  <c r="K140" i="10" s="1"/>
  <c r="AI64" i="10"/>
  <c r="Q157" i="9" l="1"/>
  <c r="R157" i="9" s="1"/>
  <c r="Q113" i="10"/>
  <c r="S112" i="10"/>
  <c r="T112" i="10" s="1"/>
  <c r="N113" i="10" s="1"/>
  <c r="O113" i="10" s="1"/>
  <c r="P113" i="10" s="1"/>
  <c r="AL64" i="10"/>
  <c r="E141" i="10" s="1"/>
  <c r="K141" i="10" s="1"/>
  <c r="AI65" i="10"/>
  <c r="Q158" i="9" l="1"/>
  <c r="S157" i="9"/>
  <c r="T157" i="9" s="1"/>
  <c r="N158" i="9" s="1"/>
  <c r="O158" i="9" s="1"/>
  <c r="P158" i="9" s="1"/>
  <c r="R113" i="10"/>
  <c r="S113" i="10" s="1"/>
  <c r="T113" i="10" s="1"/>
  <c r="N114" i="10" s="1"/>
  <c r="O114" i="10" s="1"/>
  <c r="P114" i="10" s="1"/>
  <c r="AI66" i="10"/>
  <c r="AL65" i="10"/>
  <c r="E142" i="10" s="1"/>
  <c r="K142" i="10" s="1"/>
  <c r="Q114" i="10" l="1"/>
  <c r="R114" i="10" s="1"/>
  <c r="S114" i="10" s="1"/>
  <c r="T114" i="10" s="1"/>
  <c r="N115" i="10" s="1"/>
  <c r="O115" i="10" s="1"/>
  <c r="P115" i="10" s="1"/>
  <c r="R158" i="9"/>
  <c r="AL66" i="10"/>
  <c r="E143" i="10" s="1"/>
  <c r="K143" i="10" s="1"/>
  <c r="AI67" i="10"/>
  <c r="Q115" i="10" l="1"/>
  <c r="R115" i="10" s="1"/>
  <c r="Q159" i="9"/>
  <c r="S158" i="9"/>
  <c r="T158" i="9" s="1"/>
  <c r="N159" i="9" s="1"/>
  <c r="O159" i="9" s="1"/>
  <c r="P159" i="9" s="1"/>
  <c r="AL67" i="10"/>
  <c r="E144" i="10" s="1"/>
  <c r="K144" i="10" s="1"/>
  <c r="AI68" i="10"/>
  <c r="Q116" i="10" l="1"/>
  <c r="S115" i="10"/>
  <c r="T115" i="10" s="1"/>
  <c r="N116" i="10" s="1"/>
  <c r="O116" i="10" s="1"/>
  <c r="P116" i="10" s="1"/>
  <c r="R159" i="9"/>
  <c r="AI69" i="10"/>
  <c r="AL68" i="10"/>
  <c r="E145" i="10" s="1"/>
  <c r="K145" i="10" s="1"/>
  <c r="R116" i="10" l="1"/>
  <c r="Q117" i="10" s="1"/>
  <c r="S159" i="9"/>
  <c r="T159" i="9" s="1"/>
  <c r="N160" i="9" s="1"/>
  <c r="Q160" i="9"/>
  <c r="AL69" i="10"/>
  <c r="E146" i="10" s="1"/>
  <c r="K146" i="10" s="1"/>
  <c r="AI70" i="10"/>
  <c r="S116" i="10" l="1"/>
  <c r="T116" i="10" s="1"/>
  <c r="N117" i="10" s="1"/>
  <c r="O117" i="10" s="1"/>
  <c r="P117" i="10" s="1"/>
  <c r="R117" i="10" s="1"/>
  <c r="O160" i="9"/>
  <c r="AI71" i="10"/>
  <c r="AL70" i="10"/>
  <c r="E147" i="10" s="1"/>
  <c r="K147" i="10" s="1"/>
  <c r="S117" i="10" l="1"/>
  <c r="T117" i="10" s="1"/>
  <c r="N118" i="10" s="1"/>
  <c r="O118" i="10" s="1"/>
  <c r="P118" i="10" s="1"/>
  <c r="Q118" i="10"/>
  <c r="P160" i="9"/>
  <c r="AL71" i="10"/>
  <c r="E148" i="10" s="1"/>
  <c r="K148" i="10" s="1"/>
  <c r="AI72" i="10"/>
  <c r="R118" i="10" l="1"/>
  <c r="Q119" i="10" s="1"/>
  <c r="R160" i="9"/>
  <c r="AL72" i="10"/>
  <c r="E149" i="10" s="1"/>
  <c r="K149" i="10" s="1"/>
  <c r="AI73" i="10"/>
  <c r="S118" i="10" l="1"/>
  <c r="T118" i="10" s="1"/>
  <c r="N119" i="10" s="1"/>
  <c r="O119" i="10" s="1"/>
  <c r="P119" i="10" s="1"/>
  <c r="R119" i="10" s="1"/>
  <c r="Q161" i="9"/>
  <c r="S160" i="9"/>
  <c r="AI74" i="10"/>
  <c r="AL73" i="10"/>
  <c r="E150" i="10" s="1"/>
  <c r="K150" i="10" s="1"/>
  <c r="S119" i="10" l="1"/>
  <c r="T119" i="10" s="1"/>
  <c r="N120" i="10" s="1"/>
  <c r="O120" i="10" s="1"/>
  <c r="P120" i="10" s="1"/>
  <c r="Q120" i="10"/>
  <c r="T160" i="9"/>
  <c r="N161" i="9" s="1"/>
  <c r="AL74" i="10"/>
  <c r="E151" i="10" s="1"/>
  <c r="K151" i="10" s="1"/>
  <c r="AI75" i="10"/>
  <c r="R120" i="10" l="1"/>
  <c r="Q121" i="10" s="1"/>
  <c r="O161" i="9"/>
  <c r="AL75" i="10"/>
  <c r="E152" i="10" s="1"/>
  <c r="K152" i="10" s="1"/>
  <c r="AI76" i="10"/>
  <c r="S120" i="10" l="1"/>
  <c r="T120" i="10" s="1"/>
  <c r="N121" i="10" s="1"/>
  <c r="O121" i="10" s="1"/>
  <c r="P121" i="10" s="1"/>
  <c r="R121" i="10" s="1"/>
  <c r="Q122" i="10" s="1"/>
  <c r="P161" i="9"/>
  <c r="AI77" i="10"/>
  <c r="AL76" i="10"/>
  <c r="E153" i="10" s="1"/>
  <c r="K153" i="10" s="1"/>
  <c r="S121" i="10" l="1"/>
  <c r="T121" i="10" s="1"/>
  <c r="N122" i="10" s="1"/>
  <c r="O122" i="10" s="1"/>
  <c r="P122" i="10" s="1"/>
  <c r="R122" i="10" s="1"/>
  <c r="S122" i="10" s="1"/>
  <c r="T122" i="10" s="1"/>
  <c r="N123" i="10" s="1"/>
  <c r="O123" i="10" s="1"/>
  <c r="P123" i="10" s="1"/>
  <c r="R161" i="9"/>
  <c r="AL77" i="10"/>
  <c r="E154" i="10" s="1"/>
  <c r="K154" i="10" s="1"/>
  <c r="AI78" i="10"/>
  <c r="Q123" i="10" l="1"/>
  <c r="R123" i="10" s="1"/>
  <c r="S161" i="9"/>
  <c r="Q162" i="9"/>
  <c r="AL78" i="10"/>
  <c r="E155" i="10" s="1"/>
  <c r="K155" i="10" s="1"/>
  <c r="AI79" i="10"/>
  <c r="T161" i="9" l="1"/>
  <c r="N162" i="9" s="1"/>
  <c r="Q124" i="10"/>
  <c r="S123" i="10"/>
  <c r="T123" i="10" s="1"/>
  <c r="N124" i="10" s="1"/>
  <c r="O124" i="10" s="1"/>
  <c r="P124" i="10" s="1"/>
  <c r="AL79" i="10"/>
  <c r="E156" i="10" s="1"/>
  <c r="K156" i="10" s="1"/>
  <c r="AI80" i="10"/>
  <c r="R124" i="10" l="1"/>
  <c r="S124" i="10" s="1"/>
  <c r="T124" i="10" s="1"/>
  <c r="N125" i="10" s="1"/>
  <c r="O125" i="10" s="1"/>
  <c r="P125" i="10" s="1"/>
  <c r="O162" i="9"/>
  <c r="AI81" i="10"/>
  <c r="AL80" i="10"/>
  <c r="E157" i="10" s="1"/>
  <c r="K157" i="10" s="1"/>
  <c r="Q125" i="10" l="1"/>
  <c r="R125" i="10" s="1"/>
  <c r="P162" i="9"/>
  <c r="AL81" i="10"/>
  <c r="E158" i="10" s="1"/>
  <c r="K158" i="10" s="1"/>
  <c r="AI82" i="10"/>
  <c r="R162" i="9" l="1"/>
  <c r="Q126" i="10"/>
  <c r="S125" i="10"/>
  <c r="T125" i="10" s="1"/>
  <c r="N126" i="10" s="1"/>
  <c r="O126" i="10" s="1"/>
  <c r="P126" i="10" s="1"/>
  <c r="AL82" i="10"/>
  <c r="E159" i="10" s="1"/>
  <c r="K159" i="10" s="1"/>
  <c r="AI83" i="10"/>
  <c r="S162" i="9" l="1"/>
  <c r="Q163" i="9"/>
  <c r="R126" i="10"/>
  <c r="Q127" i="10" s="1"/>
  <c r="AL83" i="10"/>
  <c r="E160" i="10" s="1"/>
  <c r="K160" i="10" s="1"/>
  <c r="AI84" i="10"/>
  <c r="S126" i="10" l="1"/>
  <c r="T126" i="10" s="1"/>
  <c r="N127" i="10" s="1"/>
  <c r="O127" i="10" s="1"/>
  <c r="P127" i="10" s="1"/>
  <c r="R127" i="10" s="1"/>
  <c r="T162" i="9"/>
  <c r="N163" i="9" s="1"/>
  <c r="AL84" i="10"/>
  <c r="E161" i="10" s="1"/>
  <c r="K161" i="10" s="1"/>
  <c r="AI85" i="10"/>
  <c r="O163" i="9" l="1"/>
  <c r="Q128" i="10"/>
  <c r="S127" i="10"/>
  <c r="T127" i="10" s="1"/>
  <c r="N128" i="10" s="1"/>
  <c r="O128" i="10" s="1"/>
  <c r="P128" i="10" s="1"/>
  <c r="AL85" i="10"/>
  <c r="AI91" i="10"/>
  <c r="P163" i="9" l="1"/>
  <c r="R128" i="10"/>
  <c r="Q129" i="10" s="1"/>
  <c r="E162" i="10"/>
  <c r="K162" i="10" s="1"/>
  <c r="AL91" i="10"/>
  <c r="E168" i="10" s="1"/>
  <c r="S128" i="10" l="1"/>
  <c r="T128" i="10" s="1"/>
  <c r="N129" i="10" s="1"/>
  <c r="O129" i="10" s="1"/>
  <c r="P129" i="10" s="1"/>
  <c r="R129" i="10" s="1"/>
  <c r="Q130" i="10" s="1"/>
  <c r="R163" i="9"/>
  <c r="K168" i="10"/>
  <c r="Q164" i="9" l="1"/>
  <c r="S163" i="9"/>
  <c r="S129" i="10"/>
  <c r="T129" i="10" s="1"/>
  <c r="N130" i="10" s="1"/>
  <c r="O130" i="10" s="1"/>
  <c r="P130" i="10" s="1"/>
  <c r="R130" i="10" s="1"/>
  <c r="Q131" i="10" s="1"/>
  <c r="T163" i="9" l="1"/>
  <c r="N164" i="9" s="1"/>
  <c r="S130" i="10"/>
  <c r="T130" i="10" s="1"/>
  <c r="N131" i="10" s="1"/>
  <c r="O131" i="10" s="1"/>
  <c r="P131" i="10" s="1"/>
  <c r="R131" i="10" s="1"/>
  <c r="Q132" i="10" s="1"/>
  <c r="O164" i="9" l="1"/>
  <c r="S131" i="10"/>
  <c r="T131" i="10" s="1"/>
  <c r="N132" i="10" s="1"/>
  <c r="O132" i="10" s="1"/>
  <c r="P132" i="10" s="1"/>
  <c r="R132" i="10" s="1"/>
  <c r="Q133" i="10" s="1"/>
  <c r="P164" i="9" l="1"/>
  <c r="S132" i="10"/>
  <c r="T132" i="10" s="1"/>
  <c r="N133" i="10" s="1"/>
  <c r="O133" i="10" s="1"/>
  <c r="P133" i="10" s="1"/>
  <c r="R133" i="10" s="1"/>
  <c r="Q134" i="10" s="1"/>
  <c r="R164" i="9" l="1"/>
  <c r="S133" i="10"/>
  <c r="T133" i="10" s="1"/>
  <c r="N134" i="10" s="1"/>
  <c r="O134" i="10" s="1"/>
  <c r="P134" i="10" s="1"/>
  <c r="R134" i="10" s="1"/>
  <c r="S134" i="10" s="1"/>
  <c r="T134" i="10" s="1"/>
  <c r="N135" i="10" s="1"/>
  <c r="O135" i="10" s="1"/>
  <c r="P135" i="10" s="1"/>
  <c r="Q165" i="9" l="1"/>
  <c r="S164" i="9"/>
  <c r="Q135" i="10"/>
  <c r="R135" i="10" s="1"/>
  <c r="T164" i="9" l="1"/>
  <c r="N165" i="9" s="1"/>
  <c r="O165" i="9" s="1"/>
  <c r="P165" i="9" s="1"/>
  <c r="R165" i="9" s="1"/>
  <c r="Q136" i="10"/>
  <c r="S135" i="10"/>
  <c r="T135" i="10" s="1"/>
  <c r="N136" i="10" s="1"/>
  <c r="O136" i="10" s="1"/>
  <c r="P136" i="10" s="1"/>
  <c r="S165" i="9" l="1"/>
  <c r="T165" i="9" s="1"/>
  <c r="N166" i="9" s="1"/>
  <c r="O166" i="9" s="1"/>
  <c r="P166" i="9" s="1"/>
  <c r="Q166" i="9"/>
  <c r="R136" i="10"/>
  <c r="Q137" i="10" s="1"/>
  <c r="R166" i="9" l="1"/>
  <c r="Q167" i="9" s="1"/>
  <c r="S136" i="10"/>
  <c r="T136" i="10" s="1"/>
  <c r="N137" i="10" s="1"/>
  <c r="O137" i="10" s="1"/>
  <c r="P137" i="10" s="1"/>
  <c r="R137" i="10" s="1"/>
  <c r="S137" i="10" s="1"/>
  <c r="T137" i="10" s="1"/>
  <c r="N138" i="10" s="1"/>
  <c r="O138" i="10" s="1"/>
  <c r="P138" i="10" s="1"/>
  <c r="S166" i="9" l="1"/>
  <c r="T166" i="9" s="1"/>
  <c r="N167" i="9" s="1"/>
  <c r="O167" i="9" s="1"/>
  <c r="Q138" i="10"/>
  <c r="R138" i="10" s="1"/>
  <c r="N168" i="9" l="1"/>
  <c r="BD92" i="9" s="1"/>
  <c r="P167" i="9"/>
  <c r="O168" i="9"/>
  <c r="Q139" i="10"/>
  <c r="S138" i="10"/>
  <c r="T138" i="10" s="1"/>
  <c r="N139" i="10" s="1"/>
  <c r="O139" i="10" s="1"/>
  <c r="P139" i="10" s="1"/>
  <c r="R167" i="9" l="1"/>
  <c r="S167" i="9" s="1"/>
  <c r="P168" i="9"/>
  <c r="R139" i="10"/>
  <c r="Q140" i="10" s="1"/>
  <c r="T167" i="9" l="1"/>
  <c r="T168" i="9" s="1"/>
  <c r="E50" i="1" s="1"/>
  <c r="F53" i="1" s="1"/>
  <c r="F57" i="1" s="1"/>
  <c r="S168" i="9"/>
  <c r="S139" i="10"/>
  <c r="T139" i="10" s="1"/>
  <c r="N140" i="10" s="1"/>
  <c r="O140" i="10" s="1"/>
  <c r="P140" i="10" s="1"/>
  <c r="R140" i="10" s="1"/>
  <c r="Q141" i="10" s="1"/>
  <c r="F50" i="1" l="1"/>
  <c r="F58" i="1"/>
  <c r="F60" i="1" s="1"/>
  <c r="S140" i="10"/>
  <c r="T140" i="10" s="1"/>
  <c r="N141" i="10" s="1"/>
  <c r="O141" i="10" s="1"/>
  <c r="P141" i="10" s="1"/>
  <c r="R141" i="10" s="1"/>
  <c r="Q142" i="10" s="1"/>
  <c r="S141" i="10" l="1"/>
  <c r="T141" i="10" s="1"/>
  <c r="N142" i="10" s="1"/>
  <c r="O142" i="10" s="1"/>
  <c r="P142" i="10" s="1"/>
  <c r="R142" i="10" s="1"/>
  <c r="Q143" i="10" s="1"/>
  <c r="S142" i="10" l="1"/>
  <c r="T142" i="10" s="1"/>
  <c r="N143" i="10" s="1"/>
  <c r="O143" i="10" s="1"/>
  <c r="P143" i="10" s="1"/>
  <c r="R143" i="10" s="1"/>
  <c r="S143" i="10" s="1"/>
  <c r="T143" i="10" s="1"/>
  <c r="N144" i="10" s="1"/>
  <c r="O144" i="10" s="1"/>
  <c r="P144" i="10" s="1"/>
  <c r="Q144" i="10" l="1"/>
  <c r="R144" i="10" s="1"/>
  <c r="Q145" i="10" l="1"/>
  <c r="S144" i="10"/>
  <c r="T144" i="10" s="1"/>
  <c r="N145" i="10" s="1"/>
  <c r="O145" i="10" s="1"/>
  <c r="P145" i="10" s="1"/>
  <c r="R145" i="10" l="1"/>
  <c r="Q146" i="10" s="1"/>
  <c r="S145" i="10" l="1"/>
  <c r="T145" i="10" s="1"/>
  <c r="N146" i="10" s="1"/>
  <c r="O146" i="10" s="1"/>
  <c r="P146" i="10" s="1"/>
  <c r="R146" i="10" s="1"/>
  <c r="S146" i="10" s="1"/>
  <c r="T146" i="10" s="1"/>
  <c r="N147" i="10" s="1"/>
  <c r="O147" i="10" s="1"/>
  <c r="P147" i="10" s="1"/>
  <c r="Q147" i="10" l="1"/>
  <c r="R147" i="10" s="1"/>
  <c r="Q148" i="10" l="1"/>
  <c r="S147" i="10"/>
  <c r="T147" i="10" s="1"/>
  <c r="N148" i="10" s="1"/>
  <c r="O148" i="10" s="1"/>
  <c r="P148" i="10" s="1"/>
  <c r="R148" i="10" l="1"/>
  <c r="Q149" i="10" s="1"/>
  <c r="S148" i="10" l="1"/>
  <c r="T148" i="10" s="1"/>
  <c r="N149" i="10" s="1"/>
  <c r="O149" i="10" s="1"/>
  <c r="P149" i="10" s="1"/>
  <c r="R149" i="10" s="1"/>
  <c r="Q150" i="10" s="1"/>
  <c r="S149" i="10" l="1"/>
  <c r="T149" i="10" s="1"/>
  <c r="N150" i="10" s="1"/>
  <c r="O150" i="10" s="1"/>
  <c r="P150" i="10" s="1"/>
  <c r="R150" i="10" s="1"/>
  <c r="Q151" i="10" s="1"/>
  <c r="S150" i="10" l="1"/>
  <c r="T150" i="10" s="1"/>
  <c r="N151" i="10" s="1"/>
  <c r="O151" i="10" s="1"/>
  <c r="P151" i="10" s="1"/>
  <c r="R151" i="10" s="1"/>
  <c r="Q152" i="10" s="1"/>
  <c r="S151" i="10" l="1"/>
  <c r="T151" i="10" s="1"/>
  <c r="N152" i="10" s="1"/>
  <c r="O152" i="10" s="1"/>
  <c r="P152" i="10" s="1"/>
  <c r="R152" i="10" s="1"/>
  <c r="Q153" i="10" s="1"/>
  <c r="S152" i="10" l="1"/>
  <c r="T152" i="10" s="1"/>
  <c r="N153" i="10" s="1"/>
  <c r="O153" i="10" s="1"/>
  <c r="P153" i="10" s="1"/>
  <c r="R153" i="10" s="1"/>
  <c r="Q154" i="10" s="1"/>
  <c r="S153" i="10" l="1"/>
  <c r="T153" i="10" s="1"/>
  <c r="N154" i="10" s="1"/>
  <c r="O154" i="10" s="1"/>
  <c r="P154" i="10" s="1"/>
  <c r="R154" i="10" s="1"/>
  <c r="Q155" i="10" s="1"/>
  <c r="S154" i="10" l="1"/>
  <c r="T154" i="10" s="1"/>
  <c r="N155" i="10" s="1"/>
  <c r="O155" i="10" s="1"/>
  <c r="P155" i="10" s="1"/>
  <c r="R155" i="10" s="1"/>
  <c r="Q156" i="10" s="1"/>
  <c r="S155" i="10" l="1"/>
  <c r="T155" i="10" s="1"/>
  <c r="N156" i="10" s="1"/>
  <c r="O156" i="10" s="1"/>
  <c r="P156" i="10" s="1"/>
  <c r="R156" i="10" s="1"/>
  <c r="Q157" i="10" s="1"/>
  <c r="S156" i="10" l="1"/>
  <c r="T156" i="10" s="1"/>
  <c r="N157" i="10" s="1"/>
  <c r="O157" i="10" s="1"/>
  <c r="P157" i="10" s="1"/>
  <c r="R157" i="10" s="1"/>
  <c r="Q158" i="10" l="1"/>
  <c r="S157" i="10"/>
  <c r="T157" i="10" s="1"/>
  <c r="N158" i="10" s="1"/>
  <c r="O158" i="10" s="1"/>
  <c r="P158" i="10" s="1"/>
  <c r="R158" i="10" l="1"/>
  <c r="S158" i="10" s="1"/>
  <c r="T158" i="10" s="1"/>
  <c r="N159" i="10" s="1"/>
  <c r="O159" i="10" s="1"/>
  <c r="P159" i="10" s="1"/>
  <c r="Q159" i="10" l="1"/>
  <c r="R159" i="10" s="1"/>
  <c r="Q160" i="10" s="1"/>
  <c r="S159" i="10" l="1"/>
  <c r="T159" i="10" s="1"/>
  <c r="N160" i="10" s="1"/>
  <c r="O160" i="10" s="1"/>
  <c r="P160" i="10" s="1"/>
  <c r="R160" i="10" s="1"/>
  <c r="Q161" i="10" s="1"/>
  <c r="S160" i="10" l="1"/>
  <c r="T160" i="10" s="1"/>
  <c r="N161" i="10" s="1"/>
  <c r="O161" i="10" s="1"/>
  <c r="P161" i="10" s="1"/>
  <c r="R161" i="10" s="1"/>
  <c r="Q162" i="10" s="1"/>
  <c r="S161" i="10" l="1"/>
  <c r="T161" i="10" s="1"/>
  <c r="N162" i="10" s="1"/>
  <c r="O162" i="10" s="1"/>
  <c r="P162" i="10" s="1"/>
  <c r="R162" i="10" s="1"/>
  <c r="Q163" i="10" s="1"/>
  <c r="S162" i="10" l="1"/>
  <c r="T162" i="10" s="1"/>
  <c r="S168" i="10" l="1"/>
  <c r="N163" i="10"/>
  <c r="T168" i="10"/>
  <c r="G50" i="1" s="1"/>
  <c r="H50" i="1" l="1"/>
  <c r="H53" i="1"/>
  <c r="H65" i="1" s="1"/>
  <c r="H68" i="1" s="1"/>
  <c r="H70" i="1" s="1"/>
  <c r="O163" i="10"/>
  <c r="N168" i="10"/>
  <c r="BD92" i="10" s="1"/>
  <c r="H57" i="1" l="1"/>
  <c r="P163" i="10"/>
  <c r="O168" i="10"/>
  <c r="H58" i="1" l="1"/>
  <c r="H60" i="1" s="1"/>
  <c r="G65" i="1"/>
  <c r="G68" i="1" s="1"/>
  <c r="G70" i="1" s="1"/>
  <c r="R163" i="10"/>
  <c r="Q164" i="10" s="1"/>
  <c r="R164" i="10" s="1"/>
  <c r="Q165" i="10" s="1"/>
  <c r="R165" i="10" s="1"/>
  <c r="Q166" i="10" s="1"/>
  <c r="R166" i="10" s="1"/>
  <c r="Q167" i="10" s="1"/>
  <c r="P168" i="10"/>
  <c r="R167" i="10" l="1"/>
  <c r="R168" i="10" s="1"/>
  <c r="Q16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bsi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O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P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R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O7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R7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W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G7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Payment Settlement before BAST (%)</t>
        </r>
      </text>
    </comment>
    <comment ref="AM7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O8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R8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8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W8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8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G8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M8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O9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V9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W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9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G9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M9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O10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0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V10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W10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10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H10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M10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1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O11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R11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V11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W11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1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M11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O12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2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2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M12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O1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3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O14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R14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O15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D17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berlaku selama lease period
-----------
ditambah Insurance Income (Comission Amount), dan dibayar bersamaan dengan pembayaran Biaya Insurance Total Gross,dalam hal ini ketika execution date=&gt;confirmed March 23,2016
dan perlu dikonfirmasi lagi, kapan mulai kehitung</t>
        </r>
      </text>
    </comment>
    <comment ref="AP17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O18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R19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X1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O25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P25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Q25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T25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Z26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A26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B2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B93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tidak dipakai</t>
        </r>
      </text>
    </comment>
    <comment ref="J98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Insurance Income sudah tidak masuk di Income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bsi</author>
  </authors>
  <commentList>
    <comment ref="B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7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F7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8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F8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L8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 xr:uid="{00000000-0006-0000-0500-00001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9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F9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L9" authorId="0" shapeId="0" xr:uid="{00000000-0006-0000-0500-00001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 xr:uid="{00000000-0006-0000-0500-00002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 xr:uid="{00000000-0006-0000-0500-00002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 xr:uid="{00000000-0006-0000-0500-00002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 xr:uid="{00000000-0006-0000-0500-00002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G10" authorId="0" shapeId="0" xr:uid="{00000000-0006-0000-0500-00002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L10" authorId="0" shapeId="0" xr:uid="{00000000-0006-0000-0500-00002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 xr:uid="{00000000-0006-0000-0500-00002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 xr:uid="{00000000-0006-0000-0500-00002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 xr:uid="{00000000-0006-0000-0500-00002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 xr:uid="{00000000-0006-0000-0500-00002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 xr:uid="{00000000-0006-0000-0500-00002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1" authorId="0" shapeId="0" xr:uid="{00000000-0006-0000-0500-00002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L11" authorId="0" shapeId="0" xr:uid="{00000000-0006-0000-0500-00003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 xr:uid="{00000000-0006-0000-0500-00003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 xr:uid="{00000000-0006-0000-0500-00003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 xr:uid="{00000000-0006-0000-0500-00003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2" authorId="0" shapeId="0" xr:uid="{00000000-0006-0000-0500-00003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L12" authorId="0" shapeId="0" xr:uid="{00000000-0006-0000-0500-00003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 xr:uid="{00000000-0006-0000-0500-00003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 xr:uid="{00000000-0006-0000-0500-00003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 xr:uid="{00000000-0006-0000-0500-00003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 xr:uid="{00000000-0006-0000-0500-00003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 xr:uid="{00000000-0006-0000-0500-00003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 xr:uid="{00000000-0006-0000-0500-00003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 xr:uid="{00000000-0006-0000-0500-00003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S17" authorId="0" shapeId="0" xr:uid="{00000000-0006-0000-0500-00003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 xr:uid="{00000000-0006-0000-0500-00003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 xr:uid="{00000000-0006-0000-0500-00004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W19" authorId="0" shapeId="0" xr:uid="{00000000-0006-0000-0500-00004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 xr:uid="{00000000-0006-0000-0500-00004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 xr:uid="{00000000-0006-0000-0500-00004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 xr:uid="{00000000-0006-0000-0500-00004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 xr:uid="{00000000-0006-0000-0500-00004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 xr:uid="{00000000-0006-0000-0500-00004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 xr:uid="{00000000-0006-0000-0500-00004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 xr:uid="{00000000-0006-0000-0500-00004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 xr:uid="{00000000-0006-0000-0500-00004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 xr:uid="{00000000-0006-0000-0500-00004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 xr:uid="{00000000-0006-0000-0500-00004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 xr:uid="{00000000-0006-0000-0500-00004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Y26" authorId="0" shapeId="0" xr:uid="{00000000-0006-0000-0500-00004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Z26" authorId="0" shapeId="0" xr:uid="{00000000-0006-0000-0500-00004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N37" authorId="0" shapeId="0" xr:uid="{00000000-0006-0000-0500-00004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49" authorId="0" shapeId="0" xr:uid="{00000000-0006-0000-0500-00005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61" authorId="0" shapeId="0" xr:uid="{00000000-0006-0000-0500-00005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73" authorId="0" shapeId="0" xr:uid="{00000000-0006-0000-0500-00005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85" authorId="0" shapeId="0" xr:uid="{00000000-0006-0000-0500-00005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bsi</author>
  </authors>
  <commentList>
    <comment ref="B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bsi</author>
  </authors>
  <commentList>
    <comment ref="B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sharedStrings.xml><?xml version="1.0" encoding="utf-8"?>
<sst xmlns="http://schemas.openxmlformats.org/spreadsheetml/2006/main" count="1234" uniqueCount="459">
  <si>
    <t>Project Title</t>
  </si>
  <si>
    <t>MITS. FUSO TRUCK E2 FN527MS</t>
  </si>
  <si>
    <t>Kontrak</t>
    <phoneticPr fontId="69"/>
  </si>
  <si>
    <t>Tenor</t>
    <phoneticPr fontId="69"/>
  </si>
  <si>
    <t>Lending Rate</t>
  </si>
  <si>
    <t>Borrowing Rate</t>
  </si>
  <si>
    <t>TOP(Day)</t>
    <phoneticPr fontId="69"/>
  </si>
  <si>
    <t>Mobil</t>
    <phoneticPr fontId="69"/>
  </si>
  <si>
    <t>Vehicle list price(Unit/Termasuk VAT)</t>
    <phoneticPr fontId="69"/>
  </si>
  <si>
    <t>⇒DIS</t>
    <phoneticPr fontId="69"/>
  </si>
  <si>
    <t>⇒VAT</t>
    <phoneticPr fontId="69"/>
  </si>
  <si>
    <t>Vehicle list price(BOX/Termasuk VAT)</t>
    <phoneticPr fontId="69"/>
  </si>
  <si>
    <t>Accessory</t>
    <phoneticPr fontId="69"/>
  </si>
  <si>
    <t>RV (%)</t>
    <phoneticPr fontId="69"/>
  </si>
  <si>
    <t>RV(termasuk VAT)</t>
    <phoneticPr fontId="69"/>
  </si>
  <si>
    <t>VAT（TOTAL)</t>
    <phoneticPr fontId="69"/>
  </si>
  <si>
    <t>Harga (termasuk VAT)</t>
    <phoneticPr fontId="69"/>
  </si>
  <si>
    <t>Harga (tidak termasuk VAT)</t>
    <phoneticPr fontId="69"/>
  </si>
  <si>
    <t>Insurance</t>
  </si>
  <si>
    <t>Insurance Expenses</t>
    <phoneticPr fontId="69"/>
  </si>
  <si>
    <t>Commission</t>
  </si>
  <si>
    <t>Maintenance(tidak termasuk VAT)</t>
    <phoneticPr fontId="69"/>
  </si>
  <si>
    <t>Maintenance(Buran)</t>
  </si>
  <si>
    <t>Maintenance(Total)</t>
    <phoneticPr fontId="69"/>
  </si>
  <si>
    <t>Replacement</t>
  </si>
  <si>
    <t>Registration</t>
    <phoneticPr fontId="69"/>
  </si>
  <si>
    <t>Registration</t>
  </si>
  <si>
    <t>Mobilisasi</t>
  </si>
  <si>
    <t>Subsidi</t>
  </si>
  <si>
    <t>Subsidi KTB/MMKSI</t>
  </si>
  <si>
    <t>Mediator Fee</t>
  </si>
  <si>
    <t>4 th</t>
  </si>
  <si>
    <t>Calculation</t>
    <phoneticPr fontId="69"/>
  </si>
  <si>
    <t>Project Title</t>
    <phoneticPr fontId="69"/>
  </si>
  <si>
    <t>①</t>
    <phoneticPr fontId="69"/>
  </si>
  <si>
    <t>②</t>
    <phoneticPr fontId="69"/>
  </si>
  <si>
    <t>③(①+②)</t>
    <phoneticPr fontId="69"/>
  </si>
  <si>
    <t>④</t>
    <phoneticPr fontId="69"/>
  </si>
  <si>
    <t>⑤（③+④）</t>
    <phoneticPr fontId="69"/>
  </si>
  <si>
    <t>Tidak termasuk VAT TAX</t>
    <phoneticPr fontId="69"/>
  </si>
  <si>
    <r>
      <rPr>
        <b/>
        <sz val="9"/>
        <color rgb="FFC00000"/>
        <rFont val="Meiryo UI"/>
        <family val="3"/>
        <charset val="128"/>
      </rPr>
      <t>VAT</t>
    </r>
    <r>
      <rPr>
        <b/>
        <sz val="9"/>
        <color theme="0"/>
        <rFont val="Meiryo UI"/>
        <family val="3"/>
        <charset val="128"/>
      </rPr>
      <t xml:space="preserve"> Amount / Borrowing Cost</t>
    </r>
    <phoneticPr fontId="69"/>
  </si>
  <si>
    <t>Termasuk VAT</t>
    <phoneticPr fontId="69"/>
  </si>
  <si>
    <r>
      <rPr>
        <b/>
        <sz val="9"/>
        <color rgb="FFC00000"/>
        <rFont val="Meiryo UI"/>
        <family val="3"/>
        <charset val="128"/>
      </rPr>
      <t>With Tax</t>
    </r>
    <r>
      <rPr>
        <b/>
        <sz val="9"/>
        <color theme="0"/>
        <rFont val="Meiryo UI"/>
        <family val="3"/>
        <charset val="128"/>
      </rPr>
      <t xml:space="preserve">  - Amount / Borrowing Cost</t>
    </r>
    <phoneticPr fontId="69"/>
  </si>
  <si>
    <t>Termasuk TAX</t>
    <phoneticPr fontId="69"/>
  </si>
  <si>
    <t>Spread</t>
    <phoneticPr fontId="69"/>
  </si>
  <si>
    <t xml:space="preserve">RV </t>
  </si>
  <si>
    <t>Vehicle list price</t>
    <phoneticPr fontId="69"/>
  </si>
  <si>
    <t>RV(termasuk VAT)</t>
  </si>
  <si>
    <t xml:space="preserve">Installment </t>
    <phoneticPr fontId="69"/>
  </si>
  <si>
    <t>Burang (Tidak include VAT＆TAX)</t>
    <phoneticPr fontId="69"/>
  </si>
  <si>
    <t xml:space="preserve"> ⇒Total</t>
    <phoneticPr fontId="69"/>
  </si>
  <si>
    <t>Tidak include VAT</t>
    <phoneticPr fontId="69"/>
  </si>
  <si>
    <t>　⇒Total</t>
    <phoneticPr fontId="69"/>
  </si>
  <si>
    <t>Include VAT</t>
    <phoneticPr fontId="69"/>
  </si>
  <si>
    <t xml:space="preserve">Income </t>
    <phoneticPr fontId="69"/>
  </si>
  <si>
    <t xml:space="preserve">Installment Total </t>
    <phoneticPr fontId="69"/>
  </si>
  <si>
    <t>Admin. Fee</t>
    <phoneticPr fontId="69"/>
  </si>
  <si>
    <t>RV (Tidak termasuk VAT)</t>
    <phoneticPr fontId="69"/>
  </si>
  <si>
    <t>Commission</t>
    <phoneticPr fontId="69"/>
  </si>
  <si>
    <t>Subtotal</t>
    <phoneticPr fontId="69"/>
  </si>
  <si>
    <t xml:space="preserve">Expenses </t>
    <phoneticPr fontId="69"/>
  </si>
  <si>
    <t xml:space="preserve">Unit Price </t>
    <phoneticPr fontId="69"/>
  </si>
  <si>
    <t>TOP</t>
    <phoneticPr fontId="69"/>
  </si>
  <si>
    <t>DP budget</t>
    <phoneticPr fontId="69"/>
  </si>
  <si>
    <t>Maintenance</t>
    <phoneticPr fontId="69"/>
  </si>
  <si>
    <t>Borrowing Cost</t>
    <phoneticPr fontId="69"/>
  </si>
  <si>
    <t>Replacement</t>
    <phoneticPr fontId="69"/>
  </si>
  <si>
    <t>Profit</t>
    <phoneticPr fontId="69"/>
  </si>
  <si>
    <t>Net Income DSF</t>
  </si>
  <si>
    <t>Per year</t>
  </si>
  <si>
    <t>Average asset</t>
  </si>
  <si>
    <t>ROA</t>
  </si>
  <si>
    <t>Accounting</t>
    <phoneticPr fontId="69"/>
  </si>
  <si>
    <t>YEARLY</t>
  </si>
  <si>
    <t>TOTAL</t>
  </si>
  <si>
    <t>Income Before + Overhead + Write-Off + SPAF+SUBVENTION + Insurance Promotion Fee</t>
    <phoneticPr fontId="69"/>
  </si>
  <si>
    <t>Overhead</t>
  </si>
  <si>
    <t>Write-Off</t>
  </si>
  <si>
    <t>Net Income</t>
  </si>
  <si>
    <t>Average Asset</t>
  </si>
  <si>
    <t>SPAF+SUBVENTION</t>
    <phoneticPr fontId="69"/>
  </si>
  <si>
    <t>Insurance Promotion Fee</t>
    <phoneticPr fontId="69"/>
  </si>
  <si>
    <t>PERHITUNGAN SEWA OPERATING LEASE BASED ON CASH FLOW METHOD</t>
  </si>
  <si>
    <t>= INPUT DATA</t>
  </si>
  <si>
    <t>LEASED ITEM</t>
  </si>
  <si>
    <t>TERM &amp; CONDITION CONTRACT</t>
  </si>
  <si>
    <t xml:space="preserve">Leased Item Type &amp; Year     </t>
  </si>
  <si>
    <t>Pajero</t>
  </si>
  <si>
    <t>KONDISI KONTRAK SEWA OPL</t>
  </si>
  <si>
    <t>KONDISI HARGA UNIT</t>
  </si>
  <si>
    <t>KONDISI HARGA KAROSERI / AKSESORIS / BIAYA MOBILISASI</t>
  </si>
  <si>
    <t>KONDISI MAINTENANCE</t>
  </si>
  <si>
    <t>KONDISI BIAYA - BIAYA LAINNYA</t>
  </si>
  <si>
    <t>KONDISI PEMBAYARAN PEMBELIAN UNIT / KAROSERI / AKSESORIS</t>
  </si>
  <si>
    <t>Registration No.</t>
  </si>
  <si>
    <t>Nilai Sewa</t>
  </si>
  <si>
    <t>Harga Unit Include VAT IN</t>
  </si>
  <si>
    <t>Harga Karoseri Include VAT IN</t>
    <phoneticPr fontId="5"/>
  </si>
  <si>
    <t>Detail</t>
  </si>
  <si>
    <t>Per Bulan</t>
  </si>
  <si>
    <t>Total</t>
  </si>
  <si>
    <t>ESTIMASI UANG MUKA (DP)</t>
  </si>
  <si>
    <t>%</t>
  </si>
  <si>
    <t>Amount</t>
  </si>
  <si>
    <t>ESTIMASI PELUNASAN SEBELUM DELIVERY UNIT</t>
  </si>
  <si>
    <t>Exec. Date</t>
  </si>
  <si>
    <t>Periode Sewa</t>
  </si>
  <si>
    <t>Discount Dealer dan KTB melalui Dealer</t>
  </si>
  <si>
    <t>Harga Aksesoris Include VAT IN</t>
  </si>
  <si>
    <t>Estimasi Pemakaian Unit/Bulan (KM)</t>
  </si>
  <si>
    <t>Mediator Fee</t>
    <phoneticPr fontId="5"/>
  </si>
  <si>
    <t>DP Pembelian UNIT</t>
  </si>
  <si>
    <t>pelunasan UNIT include VAT</t>
    <phoneticPr fontId="5"/>
  </si>
  <si>
    <t>Purchase Date</t>
  </si>
  <si>
    <t>Dd/Mm/Yy</t>
  </si>
  <si>
    <t>Type Pemakaian (City or Site)</t>
  </si>
  <si>
    <t>City</t>
  </si>
  <si>
    <t>Harga Beli</t>
  </si>
  <si>
    <t>Biaya Mobilisasi Include VAT IN</t>
  </si>
  <si>
    <t>Biaya CSD Maintenance handle by third party</t>
  </si>
  <si>
    <t>Total Gross Insurance</t>
    <phoneticPr fontId="5"/>
  </si>
  <si>
    <t>DP Pembelian KAROSERI</t>
  </si>
  <si>
    <t>pelunasan KAROSERI include VAT</t>
  </si>
  <si>
    <t>Lokasi Pemakaian</t>
  </si>
  <si>
    <t>Jabotabek</t>
  </si>
  <si>
    <t>VAT IN Unit</t>
  </si>
  <si>
    <t>Biaya Full Maintenance handle by third party</t>
  </si>
  <si>
    <t>Registration Fee</t>
  </si>
  <si>
    <t>DP Pembelian AKSESORIS</t>
  </si>
  <si>
    <t>pelunasan AKSESORIS include VAT</t>
  </si>
  <si>
    <t>TARGET IRR Current(Tanpa Kompensasi VAT IN)</t>
  </si>
  <si>
    <t>Term of Payment (Days)</t>
  </si>
  <si>
    <t>Rasio Kompensasi VAT IN Unit</t>
  </si>
  <si>
    <t>Total Harga Karoseri dll</t>
  </si>
  <si>
    <t>Biaya CSD Maintenance handle by DSF</t>
  </si>
  <si>
    <t xml:space="preserve">Ratio Replacement Car </t>
  </si>
  <si>
    <t>SELISIH BULAN dari PMT DP UNIT ke DELIVERY UNIT (maks. 3 bulan)</t>
  </si>
  <si>
    <t>SELISIH BULAN dari PELUNASAN UNIT ke DELIVERY UNIT (maks. 1 bulan)</t>
  </si>
  <si>
    <t>IRR Current(Tanpa Kompensasi VAT IN)</t>
  </si>
  <si>
    <t>Discount KTB Langsung ke DSF</t>
  </si>
  <si>
    <t>VAT IN Karoseri</t>
  </si>
  <si>
    <t>Biaya Full Maintenance handle by DSF</t>
  </si>
  <si>
    <t>Insurance Commision Amount</t>
    <phoneticPr fontId="5"/>
  </si>
  <si>
    <t>SELISIH BULAN dari PMT DP KAROSERI ke DELIVERY UNIT (maks. 3 bulan)</t>
  </si>
  <si>
    <t>SELISIH BULAN dari PELUNASAN KAROSERI ke DELIVERY UNIT (maks. 1 bulan)</t>
  </si>
  <si>
    <t>IRR Current(Dengan Kompensasi VAT IN)</t>
  </si>
  <si>
    <t>Step 1</t>
  </si>
  <si>
    <t>VAT OUT Discount KTB</t>
  </si>
  <si>
    <t>VAT IN Aksesoris</t>
  </si>
  <si>
    <t>SELISIH BULAN dari PMT DP AKSESORIS ke DELIVERY UNIT (maks. 3 bulan)</t>
  </si>
  <si>
    <t>SELISIH BULAN dari PELUNASAN AKSESORIS ke DELIVERY UNIT (maks. 1 bulan)</t>
  </si>
  <si>
    <t>DSF Landing Rate</t>
  </si>
  <si>
    <t>W/H Tax Discount KTB</t>
  </si>
  <si>
    <t>VAT IN Mobilisasi</t>
  </si>
  <si>
    <t>Ratio Kompensasi VAT IN CSD/Full Maintenance handle by third party</t>
  </si>
  <si>
    <t>DSF Borrowing Rate</t>
  </si>
  <si>
    <t>Residual Value (Estimasil Sold Price)</t>
  </si>
  <si>
    <t>Rasio Kompensasi VAT IN Karoseri Dll</t>
  </si>
  <si>
    <t>DSF Spread Income</t>
  </si>
  <si>
    <t>VAT OUT Sold Unit</t>
  </si>
  <si>
    <t>PMT No</t>
  </si>
  <si>
    <t>Month</t>
  </si>
  <si>
    <t>Year</t>
  </si>
  <si>
    <t>CASH OUT FLOW</t>
  </si>
  <si>
    <t>TOTAL CASH OUT FLOW</t>
  </si>
  <si>
    <t>CASH IN FLOW</t>
  </si>
  <si>
    <t>TOTAL CASH IN FLOW TIDAK TERMASUK VAT OUT</t>
  </si>
  <si>
    <t>TOTAL CASH IN + OUT FLOW INVESTMENT TIDAK TERMASUK VAT OUT</t>
  </si>
  <si>
    <t>PRESENT VALUE INVESTMENT TIDAK TERMASUK VAT OUT</t>
  </si>
  <si>
    <t>MONTHLY INSTALLMENT</t>
  </si>
  <si>
    <t>KOMPENSASI VAT IN</t>
  </si>
  <si>
    <t>CLAIM W.H TAX</t>
  </si>
  <si>
    <t>TOTAL CASH FLOW TANPA KOMPENSASI VAT IN</t>
  </si>
  <si>
    <t>TOTAL CASH FLOW DENGAN KOMPENSASI VAT IN</t>
  </si>
  <si>
    <t>PERIOD</t>
  </si>
  <si>
    <t>INTEREST COST CALLCULATION DENGAN MEMPERHITUNGKAN KOMPENSASI VAT</t>
  </si>
  <si>
    <t>PURCHASE UNIT</t>
  </si>
  <si>
    <t>PURCHASE KAROSERI</t>
  </si>
  <si>
    <t>PURCHASE AKSESORIS</t>
  </si>
  <si>
    <t>BIAYA MOBILIASASI</t>
  </si>
  <si>
    <t>BIAYA STNK &amp; KEUR</t>
  </si>
  <si>
    <t>BIAYA ASURANSI</t>
  </si>
  <si>
    <t>BIAYA MEDIATOR</t>
  </si>
  <si>
    <t>BIAYA MAINTENANCE</t>
  </si>
  <si>
    <t>BUNGA PINJAMAN ATAS PEMBERIAN TOP</t>
  </si>
  <si>
    <t>BUNGA PINJAMAN ATAS PMT UNIT/KAROSERI/AKSESORIS SEBELUM DELIVERY UNIT</t>
  </si>
  <si>
    <t>REPLACEMENT CAR</t>
  </si>
  <si>
    <t>RESIDUAL VALUE (SOLD UNIT PRICE)</t>
  </si>
  <si>
    <t>DISCOUNT KTB LANGSUNG KE DSF</t>
  </si>
  <si>
    <t>RENTAL AMOUNT</t>
  </si>
  <si>
    <t>CSD HANDLE BY DSF</t>
  </si>
  <si>
    <t>TOTAL RENTAL AMOUNT</t>
  </si>
  <si>
    <t>VAT OUT</t>
  </si>
  <si>
    <t>W.H TAX</t>
  </si>
  <si>
    <t xml:space="preserve">TOTAL VAT OUT BULAN BERJALAN        </t>
  </si>
  <si>
    <t>TOTAL VAT IN BULAN BERJALAN</t>
  </si>
  <si>
    <t>CASH IN (OUT) KARENA KOMPENSASI VAT</t>
  </si>
  <si>
    <t>SALDO</t>
  </si>
  <si>
    <t>MONTH</t>
  </si>
  <si>
    <t>CASH IN</t>
  </si>
  <si>
    <t>CASH OUT</t>
  </si>
  <si>
    <t>TOTAL CASH IN - CASH OUT</t>
  </si>
  <si>
    <t>LOAN TO BANK</t>
  </si>
  <si>
    <t>INTEREST LOAN</t>
  </si>
  <si>
    <t>HARGA BELI</t>
  </si>
  <si>
    <t>VAT IN</t>
  </si>
  <si>
    <t>BIAYA</t>
  </si>
  <si>
    <t>SOLD PRICE</t>
  </si>
  <si>
    <t>DISCOUNT KTB</t>
  </si>
  <si>
    <t>Insurance Income</t>
  </si>
  <si>
    <t>SOLD UNIT</t>
  </si>
  <si>
    <t>KLAIM W/H TAX</t>
  </si>
  <si>
    <t>INVESTMENT INCLUDE VAT IN</t>
  </si>
  <si>
    <t>PAYMENT VAT OUT</t>
  </si>
  <si>
    <t>PAYMENT INTEREST LOAN</t>
  </si>
  <si>
    <t>MUTASI BULAN INI</t>
  </si>
  <si>
    <t>ENDING BALANCE BULAN KEMARIN</t>
  </si>
  <si>
    <t>ENDING BALANCE BULAN INI</t>
  </si>
  <si>
    <t>RENTAL AMOUNT INCLUDE WH TAX</t>
  </si>
  <si>
    <t>PRICE</t>
  </si>
  <si>
    <t>SUMMARY PROFIT (LOSS) TANPA KOMPENSASI VAT IN</t>
  </si>
  <si>
    <t>SUMMARY PROFIT (LOSS) DENGAN KOMPENSASI VAT IN</t>
  </si>
  <si>
    <t>NO</t>
  </si>
  <si>
    <t>KETERANGAN</t>
  </si>
  <si>
    <t>NOMINAL</t>
  </si>
  <si>
    <t>I</t>
  </si>
  <si>
    <t>OPERATING LEASE INCOME:</t>
  </si>
  <si>
    <t>1. JUMLAH NILAI SEWA UNIT OPERATING LEASE SELAMA PERIODE TRANSAKSI</t>
  </si>
  <si>
    <t>1. JUMLAH NILAI SEWA UNIT OPERATING LEASE SELAMA PERIODE TRANSAKSI</t>
    <phoneticPr fontId="5"/>
  </si>
  <si>
    <t>2. NILAI RESIDUAL VALUE UNIT OPERATING LEASE</t>
  </si>
  <si>
    <t>3. DISCOUNT KTB YANG DIBAYARKAN LANGSUNG KE DSF</t>
  </si>
  <si>
    <t>4. Insurance Income</t>
  </si>
  <si>
    <t>TOTAL OPERATING LEASE INCOME [1+2+3]</t>
  </si>
  <si>
    <t>II</t>
  </si>
  <si>
    <t>OPERATING LEASE COST:</t>
  </si>
  <si>
    <t>1. BIAYA PEMBELIAN UNIT, KAROSERI, dan AKSESORIS</t>
  </si>
  <si>
    <t>2. BIAYA MOBILISASI dan Demobilisasi</t>
  </si>
  <si>
    <t>3. BIAYA STNK &amp; KEUR</t>
  </si>
  <si>
    <t>4. BIAYA ASURANSI</t>
  </si>
  <si>
    <t>4. BIAYA ASURANSI</t>
    <phoneticPr fontId="5"/>
  </si>
  <si>
    <t>5. BIAYA MEDIATOR</t>
  </si>
  <si>
    <t>6. BIAYA MAINTENANCE</t>
  </si>
  <si>
    <t>7. BIAYA REPLACEMENT CAR</t>
  </si>
  <si>
    <t>8. TOTAL VAT IN YANG TIDAK BISA DIKOMPENSASI DENGAN VAT OUT</t>
  </si>
  <si>
    <t>9. Interest Cost for Term of Payment</t>
  </si>
  <si>
    <t>10. 
Insterest cost before BAST</t>
  </si>
  <si>
    <t>11. Interest Cost</t>
  </si>
  <si>
    <t>TOTAL OPERATING LEASE COST [1+2...+9]</t>
  </si>
  <si>
    <t>III</t>
  </si>
  <si>
    <t>OPERATING LEASE GROSS INCOME [I-II]</t>
  </si>
  <si>
    <t>PREVIOUS CALCULATION</t>
  </si>
  <si>
    <t>Lending Rate = 12.60%</t>
    <phoneticPr fontId="0"/>
  </si>
  <si>
    <t>Lending Rate = 12.00%</t>
  </si>
  <si>
    <t>Difference :</t>
  </si>
  <si>
    <t>1 unit Toyota Avanza 1.3 G M/T</t>
    <phoneticPr fontId="0"/>
  </si>
  <si>
    <t>(In Advance)</t>
  </si>
  <si>
    <t>1 unit Mitsubishi Mirage Exceed</t>
  </si>
  <si>
    <t xml:space="preserve">1. </t>
  </si>
  <si>
    <t>Vehicle : Avanza G -&gt; E &amp; adding Mirage GLX and Datsun GO+ Panca</t>
  </si>
  <si>
    <t>Harga</t>
  </si>
  <si>
    <t>2.</t>
  </si>
  <si>
    <t>Tenor</t>
  </si>
  <si>
    <t>3.</t>
  </si>
  <si>
    <t>Insurance Special Rate</t>
  </si>
  <si>
    <t>IR</t>
  </si>
  <si>
    <t>Eff</t>
  </si>
  <si>
    <t>4.</t>
  </si>
  <si>
    <t>Insurance Payment</t>
  </si>
  <si>
    <t>Flat</t>
  </si>
  <si>
    <t>5.</t>
  </si>
  <si>
    <t>Off The Road price for mirage</t>
  </si>
  <si>
    <t>DP (10%)</t>
  </si>
  <si>
    <t>NI</t>
  </si>
  <si>
    <t>Insurance NI Include</t>
  </si>
  <si>
    <t xml:space="preserve">Installment </t>
  </si>
  <si>
    <t xml:space="preserve">Insurance </t>
  </si>
  <si>
    <t>(AR Comprehensive)</t>
  </si>
  <si>
    <t>Income :</t>
  </si>
  <si>
    <t>- Interest</t>
  </si>
  <si>
    <t>- Admin. Fee</t>
  </si>
  <si>
    <t>- Commission</t>
  </si>
  <si>
    <t>subtotal</t>
  </si>
  <si>
    <t>- SPAF**</t>
  </si>
  <si>
    <t>Expenses :</t>
  </si>
  <si>
    <t>- Subsidy</t>
  </si>
  <si>
    <t>- Insurance refund</t>
  </si>
  <si>
    <t>- CoF Expense (Eff=10.40%)</t>
  </si>
  <si>
    <t>- Fiducia Fee</t>
  </si>
  <si>
    <t>* Insurance is paid cash in Advance for Year 1</t>
  </si>
  <si>
    <t xml:space="preserve">** Off The Road's pricing is </t>
  </si>
  <si>
    <t>NEW CALCULATION</t>
  </si>
  <si>
    <t>Lending Rate = 11,5%</t>
  </si>
  <si>
    <t>Lending Rate = 11.50%</t>
  </si>
  <si>
    <t>Lending Rate = 12.10%</t>
  </si>
  <si>
    <t>1 unit Toyota Avanza 1.3 E M/T</t>
  </si>
  <si>
    <t>1 unit Mitsubishi Mirage GLX</t>
  </si>
  <si>
    <t>1 unit Datsun Go+ Panca T Style</t>
  </si>
  <si>
    <t>1 unit Datsun Go+ Panca T Option</t>
  </si>
  <si>
    <t xml:space="preserve">Harga </t>
  </si>
  <si>
    <t>Disc KTB</t>
  </si>
  <si>
    <t>Harga Net</t>
  </si>
  <si>
    <t>DP</t>
  </si>
  <si>
    <t>(AR Comprehensive + TPL &amp; SRCC)</t>
  </si>
  <si>
    <t>- Discount TDP (Dealer Refund)</t>
  </si>
  <si>
    <t>- CoF Expense (Eff=9.85%)</t>
  </si>
  <si>
    <t>Real Isurance To Customer :</t>
  </si>
  <si>
    <t>PMT / PV</t>
  </si>
  <si>
    <t>PV</t>
  </si>
  <si>
    <t>PRESENT VALUE</t>
  </si>
  <si>
    <t>RATE</t>
  </si>
  <si>
    <t>INTEREST</t>
  </si>
  <si>
    <t>PMT</t>
  </si>
  <si>
    <t>ANGSURAN</t>
  </si>
  <si>
    <t>Borrowing Cost</t>
  </si>
  <si>
    <t>NPER</t>
  </si>
  <si>
    <t>PERIODE</t>
  </si>
  <si>
    <t>FV</t>
  </si>
  <si>
    <t>FUTURE VALUE</t>
  </si>
  <si>
    <t>TYPE</t>
  </si>
  <si>
    <t>0-ADDB           1-ADDM</t>
  </si>
  <si>
    <t>DATE</t>
  </si>
  <si>
    <t>TANGGAL</t>
  </si>
  <si>
    <t>X</t>
  </si>
  <si>
    <t>POKOK HUTANG</t>
  </si>
  <si>
    <t>POKOK HUTANG (%)</t>
  </si>
  <si>
    <t>ANGSURAN POKOK</t>
  </si>
  <si>
    <t>ANGSURAN BUNGA</t>
  </si>
  <si>
    <t>TOTAL ANGSURAN</t>
  </si>
  <si>
    <t/>
  </si>
  <si>
    <t xml:space="preserve">Installment Basic </t>
  </si>
  <si>
    <t>Mantenance</t>
  </si>
  <si>
    <t>Cash Flow Basis</t>
    <phoneticPr fontId="69"/>
  </si>
  <si>
    <t xml:space="preserve">Biaya Mobilisasi </t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</si>
  <si>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UNIT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</si>
  <si>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KAROSERI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</si>
  <si>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AKSESORIS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</si>
  <si>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t>Month</t>
    <phoneticPr fontId="69"/>
  </si>
  <si>
    <t>TOTAL CASH OUT FLOW</t>
    <phoneticPr fontId="69"/>
  </si>
  <si>
    <t>TOTAL CASH OUT FLOW
tidak termasuk HARGA BELI</t>
    <phoneticPr fontId="69"/>
  </si>
  <si>
    <t>Insurance Income</t>
    <phoneticPr fontId="69"/>
  </si>
  <si>
    <t>TOTAL CASH IN FLOW</t>
    <phoneticPr fontId="69"/>
  </si>
  <si>
    <t>IN Out</t>
    <phoneticPr fontId="69"/>
  </si>
  <si>
    <t>TOTAL CASH IN + OUT FLOW
termasuk 
HARGA BELI</t>
    <phoneticPr fontId="69"/>
  </si>
  <si>
    <t>TOTAL CASH IN + OUT FLOW
tidak termasuk HARGA BELI</t>
    <phoneticPr fontId="69"/>
  </si>
  <si>
    <t>PRESENT VALUE 1</t>
    <phoneticPr fontId="69"/>
  </si>
  <si>
    <t>PRESENT VALUE 2</t>
    <phoneticPr fontId="69"/>
  </si>
  <si>
    <t>PRESENT VALUE 1+2</t>
    <phoneticPr fontId="69"/>
  </si>
  <si>
    <t>PURCHASE UNIT</t>
    <phoneticPr fontId="69"/>
  </si>
  <si>
    <t>PURCHASE KAROSERI</t>
    <phoneticPr fontId="69"/>
  </si>
  <si>
    <t>PURCHASE AKSESORIS</t>
    <phoneticPr fontId="69"/>
  </si>
  <si>
    <t>BIAYA MOBILIASASI</t>
    <phoneticPr fontId="69"/>
  </si>
  <si>
    <t>BIAYA ASURANSI</t>
    <phoneticPr fontId="69"/>
  </si>
  <si>
    <t>BIAYA MAINTENANCE</t>
    <phoneticPr fontId="69"/>
  </si>
  <si>
    <t>BUNGA PINJAMAN ATAS PMT UNIT/KAROSERI/AKSESORIS SEBELUM DELIVERY UNIT</t>
    <phoneticPr fontId="69"/>
  </si>
  <si>
    <t>REPLACEMENT CAR</t>
    <phoneticPr fontId="69"/>
  </si>
  <si>
    <t>RESIDUAL VALUE (SOLD UNIT PRICE)</t>
    <phoneticPr fontId="69"/>
  </si>
  <si>
    <t>DISCOUNT KTB LANGSUNG KE DSF</t>
    <phoneticPr fontId="69"/>
  </si>
  <si>
    <t>RENTAL AMOUNT</t>
    <phoneticPr fontId="69"/>
  </si>
  <si>
    <t>HARGA BELI</t>
    <phoneticPr fontId="69"/>
  </si>
  <si>
    <t>SOLD UNIT</t>
    <phoneticPr fontId="69"/>
  </si>
  <si>
    <t>VAT OUT</t>
    <phoneticPr fontId="69"/>
  </si>
  <si>
    <t>PRICE
Insurance</t>
    <phoneticPr fontId="69"/>
  </si>
  <si>
    <t>KONVERSI FLAT KE EFFEKTIF</t>
  </si>
  <si>
    <t>TENOR</t>
  </si>
  <si>
    <t>FLAT</t>
  </si>
  <si>
    <t>Angsuran (M/B)</t>
  </si>
  <si>
    <t>EFF</t>
  </si>
  <si>
    <t>M</t>
  </si>
  <si>
    <t>KONVERSI EFFEKTIF KE FLAT</t>
  </si>
  <si>
    <t>Cash Flow Basis (vat)</t>
    <phoneticPr fontId="69"/>
  </si>
  <si>
    <t>VAT
TOTAL CASH OUT FLOW</t>
    <phoneticPr fontId="69"/>
  </si>
  <si>
    <t>VAT
TOTAL CASHIN  FLOW</t>
    <phoneticPr fontId="69"/>
  </si>
  <si>
    <t>VAT
IN Out</t>
    <phoneticPr fontId="69"/>
  </si>
  <si>
    <t>Balance</t>
  </si>
  <si>
    <t>PRESENT VALUE</t>
    <phoneticPr fontId="69"/>
  </si>
  <si>
    <t>VAT
AMOUNT</t>
    <phoneticPr fontId="69"/>
  </si>
  <si>
    <t>RENTAL AMOUNT
VAT</t>
    <phoneticPr fontId="69"/>
  </si>
  <si>
    <t>For reference</t>
    <phoneticPr fontId="69"/>
  </si>
  <si>
    <t>Cash Flow Basis (Tax)</t>
    <phoneticPr fontId="69"/>
  </si>
  <si>
    <t>TAX
TOTAL CASH OUT FLOW</t>
    <phoneticPr fontId="69"/>
  </si>
  <si>
    <t>TAX
TOTAL CASHIN  FLOW</t>
    <phoneticPr fontId="69"/>
  </si>
  <si>
    <t>TAX
IN Out</t>
    <phoneticPr fontId="69"/>
  </si>
  <si>
    <t>Special RV</t>
    <phoneticPr fontId="99"/>
  </si>
  <si>
    <t>（1）　Auction price case</t>
    <phoneticPr fontId="99"/>
  </si>
  <si>
    <t>Car type</t>
    <phoneticPr fontId="99"/>
  </si>
  <si>
    <t>Mission</t>
    <phoneticPr fontId="99"/>
  </si>
  <si>
    <t>1year later</t>
    <phoneticPr fontId="99"/>
  </si>
  <si>
    <t>2year later</t>
  </si>
  <si>
    <t>Rate</t>
    <phoneticPr fontId="99"/>
  </si>
  <si>
    <t>3year later</t>
  </si>
  <si>
    <t>4year later</t>
  </si>
  <si>
    <t>5year later</t>
  </si>
  <si>
    <t>6year later</t>
  </si>
  <si>
    <t>7year later</t>
  </si>
  <si>
    <t>Xpander</t>
    <phoneticPr fontId="99"/>
  </si>
  <si>
    <t>MT</t>
    <phoneticPr fontId="99"/>
  </si>
  <si>
    <t>AT</t>
    <phoneticPr fontId="99"/>
  </si>
  <si>
    <t>Avanza</t>
  </si>
  <si>
    <t>Xenia</t>
  </si>
  <si>
    <t>MT</t>
  </si>
  <si>
    <t>AT</t>
  </si>
  <si>
    <t>Innova
besin</t>
    <phoneticPr fontId="99"/>
  </si>
  <si>
    <t>Gran max</t>
  </si>
  <si>
    <t>（2）　Price information</t>
    <phoneticPr fontId="99"/>
  </si>
  <si>
    <t>①Price list</t>
    <phoneticPr fontId="99"/>
  </si>
  <si>
    <t>Diskon</t>
    <phoneticPr fontId="99"/>
  </si>
  <si>
    <t>②After Dis</t>
    <phoneticPr fontId="99"/>
  </si>
  <si>
    <t>②/①Base rate</t>
    <phoneticPr fontId="99"/>
  </si>
  <si>
    <t>Xpander</t>
  </si>
  <si>
    <t>⇒</t>
    <phoneticPr fontId="99"/>
  </si>
  <si>
    <t>Now discount 5J</t>
    <phoneticPr fontId="99"/>
  </si>
  <si>
    <t>Now discount 12J</t>
    <phoneticPr fontId="99"/>
  </si>
  <si>
    <t>Now discount 35J</t>
    <phoneticPr fontId="99"/>
  </si>
  <si>
    <t>Now discount 16J</t>
    <phoneticPr fontId="99"/>
  </si>
  <si>
    <t>（3）　Rental company case</t>
    <phoneticPr fontId="99"/>
  </si>
  <si>
    <t>5year later</t>
    <phoneticPr fontId="99"/>
  </si>
  <si>
    <t xml:space="preserve"> - This cace is use auction sales price until 5year later</t>
    <phoneticPr fontId="99"/>
  </si>
  <si>
    <t xml:space="preserve"> - 1year later Base rate - Annual depreciation</t>
    <phoneticPr fontId="99"/>
  </si>
  <si>
    <t xml:space="preserve"> - Straight down from the 2 year to the 4 year</t>
    <phoneticPr fontId="99"/>
  </si>
  <si>
    <t>（4）　Antara　RV　（3）-（1）</t>
    <phoneticPr fontId="99"/>
  </si>
  <si>
    <t>Tarif (Avanza)</t>
    <phoneticPr fontId="69"/>
  </si>
  <si>
    <t>Car type</t>
    <phoneticPr fontId="69"/>
  </si>
  <si>
    <t>Price list</t>
    <phoneticPr fontId="69"/>
  </si>
  <si>
    <t>Diskon</t>
    <phoneticPr fontId="69"/>
  </si>
  <si>
    <t>After diskon</t>
    <phoneticPr fontId="69"/>
  </si>
  <si>
    <t>Installment</t>
  </si>
  <si>
    <t>Lending rate</t>
    <phoneticPr fontId="69"/>
  </si>
  <si>
    <t>% to Vehicle Price</t>
  </si>
  <si>
    <t>RV (%)
DSF</t>
  </si>
  <si>
    <t>RV (%)
Rental</t>
  </si>
  <si>
    <t>RV (%)
Avg</t>
  </si>
  <si>
    <t>RV (incl. VAT)
Avg</t>
  </si>
  <si>
    <t>Insurance
Expenses</t>
  </si>
  <si>
    <t>Replacement Budget</t>
  </si>
  <si>
    <t>Registration Expense</t>
  </si>
  <si>
    <t>Maintenance Expense</t>
  </si>
  <si>
    <t>Borrowing
Cost</t>
  </si>
  <si>
    <t>Avanza 1.3 E A/T</t>
    <phoneticPr fontId="69"/>
  </si>
  <si>
    <t>Avanza 1.3 E M/T</t>
    <phoneticPr fontId="69"/>
  </si>
  <si>
    <t>Avanza 1.3 G A/T</t>
    <phoneticPr fontId="69"/>
  </si>
  <si>
    <t>Avanza 1.3 G M/T</t>
    <phoneticPr fontId="69"/>
  </si>
  <si>
    <t>Avanza 1.5 G M/T</t>
    <phoneticPr fontId="69"/>
  </si>
  <si>
    <t>Insurance / YEAR</t>
  </si>
  <si>
    <t>Avanza 1.3 E A/T</t>
  </si>
  <si>
    <t>Tarif (Xpander)</t>
    <phoneticPr fontId="69"/>
  </si>
  <si>
    <t>Xpander Ultimate A/T</t>
  </si>
  <si>
    <t>Xpander Sport A/T</t>
  </si>
  <si>
    <t>Xpander Sport M/T</t>
    <phoneticPr fontId="69"/>
  </si>
  <si>
    <t>Xpander Exceed A/T</t>
  </si>
  <si>
    <t>Xpander Exceed M/T</t>
    <phoneticPr fontId="69"/>
  </si>
  <si>
    <t>Xpander GLS A/T</t>
    <phoneticPr fontId="69"/>
  </si>
  <si>
    <t>Xpander GLS M/T</t>
  </si>
  <si>
    <t>Xpander GLX M/T</t>
  </si>
  <si>
    <t>Non White</t>
  </si>
  <si>
    <t>SPAF+SUBVENTION</t>
  </si>
  <si>
    <t>Depr Exp</t>
  </si>
  <si>
    <t>Book Value</t>
  </si>
  <si>
    <t>Sell</t>
  </si>
  <si>
    <t xml:space="preserve">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</si>
</sst>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(* #,##0_);_(* \(#,##0\);_(* &quot;-&quot;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[$IDR]\ #,##0.00"/>
    <numFmt numFmtId="167" formatCode="0.000%"/>
    <numFmt numFmtId="168" formatCode="0.0%"/>
    <numFmt numFmtId="169" formatCode="0.0000%"/>
    <numFmt numFmtId="170" formatCode="#,##0.000_);[Red]\(#,##0.000\)"/>
    <numFmt numFmtId="171" formatCode="_(* #,##0_);_(* \(#,##0\);_(* &quot;-&quot;??_);_(@_)"/>
    <numFmt numFmtId="172" formatCode="#,##0.0000000_);[Red]\(#,##0.0000000\)"/>
    <numFmt numFmtId="173" formatCode="d\-mmm\-yyyy"/>
    <numFmt numFmtId="174" formatCode="#,##0.0;[Red]\-#,##0.0"/>
    <numFmt numFmtId="175" formatCode="#,##0_ ;[Red]\-#,##0\ "/>
    <numFmt numFmtId="176" formatCode="0_);[Red]\(0\)"/>
    <numFmt numFmtId="177" formatCode="_ &quot;¥&quot;* #,##0.0_ ;_ &quot;¥&quot;* \-#,##0.0_ ;_ &quot;¥&quot;* &quot;-&quot;?_ ;_ @_ "/>
    <numFmt numFmtId="178" formatCode="0%;[Red]\-#%"/>
    <numFmt numFmtId="179" formatCode="_(* #,##0_);_(* \(#,##0\);_(* &quot;-&quot;?_);_(@_)"/>
    <numFmt numFmtId="180" formatCode="_(* #,##0.0_);_(* \(#,##0.0\);_(* &quot;-&quot;?_);_(@_)"/>
    <numFmt numFmtId="181" formatCode="_(* #,##0.0_);_(* \(#,##0.0\);_(* &quot;-&quot;??_);_(@_)"/>
  </numFmts>
  <fonts count="1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rebuchet MS"/>
      <family val="2"/>
    </font>
    <font>
      <b/>
      <u/>
      <sz val="14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indexed="10"/>
      <name val="Cambria"/>
      <family val="1"/>
      <scheme val="major"/>
    </font>
    <font>
      <sz val="11"/>
      <color rgb="FFFFFFFF"/>
      <name val="Calibri"/>
      <family val="2"/>
      <scheme val="minor"/>
    </font>
    <font>
      <sz val="10"/>
      <color rgb="FFFF0000"/>
      <name val="Cambria"/>
      <family val="1"/>
      <scheme val="major"/>
    </font>
    <font>
      <sz val="12"/>
      <name val="Cambria"/>
      <family val="1"/>
      <scheme val="major"/>
    </font>
    <font>
      <sz val="10"/>
      <color theme="0"/>
      <name val="Cambria"/>
      <family val="1"/>
      <scheme val="major"/>
    </font>
    <font>
      <sz val="8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charset val="128"/>
      <scheme val="minor"/>
    </font>
    <font>
      <sz val="12"/>
      <color indexed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ambria"/>
      <family val="3"/>
      <charset val="128"/>
      <scheme val="major"/>
    </font>
    <font>
      <sz val="8"/>
      <color rgb="FFFF0000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  <font>
      <sz val="10"/>
      <name val="News Gothic"/>
      <family val="2"/>
    </font>
    <font>
      <b/>
      <sz val="10"/>
      <name val="News Gothic"/>
      <family val="2"/>
    </font>
    <font>
      <u/>
      <sz val="10"/>
      <name val="News Gothic"/>
      <family val="2"/>
    </font>
    <font>
      <u val="singleAccounting"/>
      <sz val="10"/>
      <name val="News Gothic"/>
      <family val="2"/>
    </font>
    <font>
      <sz val="6"/>
      <name val="Calibri"/>
      <family val="3"/>
      <charset val="128"/>
      <scheme val="minor"/>
    </font>
    <font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8"/>
      <color theme="0"/>
      <name val="Meiryo UI"/>
      <family val="3"/>
      <charset val="128"/>
    </font>
    <font>
      <b/>
      <u/>
      <sz val="8"/>
      <name val="Meiryo UI"/>
      <family val="3"/>
      <charset val="128"/>
    </font>
    <font>
      <b/>
      <sz val="8"/>
      <color indexed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10"/>
      <name val="Meiryo UI"/>
      <family val="3"/>
      <charset val="128"/>
    </font>
    <font>
      <sz val="8"/>
      <color rgb="FFFFFFFF"/>
      <name val="Meiryo UI"/>
      <family val="3"/>
      <charset val="128"/>
    </font>
    <font>
      <sz val="8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rgb="FFC00000"/>
      <name val="Meiryo UI"/>
      <family val="3"/>
      <charset val="128"/>
    </font>
    <font>
      <b/>
      <sz val="12"/>
      <color indexed="8"/>
      <name val="Meiryo UI"/>
      <family val="3"/>
      <charset val="128"/>
    </font>
    <font>
      <b/>
      <sz val="10"/>
      <color indexed="8"/>
      <name val="Meiryo UI"/>
      <family val="3"/>
      <charset val="128"/>
    </font>
    <font>
      <b/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indexed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0"/>
      <color indexed="8"/>
      <name val="Arial"/>
      <family val="2"/>
    </font>
    <font>
      <b/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u/>
      <sz val="9"/>
      <color indexed="8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9"/>
      <color theme="0"/>
      <name val="Meiryo UI"/>
      <family val="2"/>
    </font>
    <font>
      <sz val="9"/>
      <color theme="1"/>
      <name val="Meiryo UI"/>
      <family val="2"/>
    </font>
    <font>
      <sz val="8"/>
      <color theme="1"/>
      <name val="Meiryo"/>
      <family val="2"/>
    </font>
    <font>
      <b/>
      <sz val="8"/>
      <color theme="1"/>
      <name val="Meiryo"/>
      <family val="2"/>
    </font>
    <font>
      <b/>
      <sz val="8"/>
      <name val="Meiryo"/>
      <family val="2"/>
    </font>
    <font>
      <sz val="8"/>
      <color indexed="8"/>
      <name val="Meiryo"/>
      <family val="2"/>
    </font>
    <font>
      <b/>
      <sz val="9"/>
      <color theme="1"/>
      <name val="Meiryo UI"/>
      <family val="2"/>
    </font>
    <font>
      <sz val="9"/>
      <color rgb="FF0000FF"/>
      <name val="Meiryo UI"/>
      <family val="3"/>
      <charset val="128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</fills>
  <borders count="1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rgb="FF0000FF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theme="0" tint="-4.9989318521683403E-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rgb="FF0000FF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double">
        <color rgb="FFC00000"/>
      </right>
      <top style="double">
        <color rgb="FFC00000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double">
        <color rgb="FFC00000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0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38" fontId="26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35" fillId="0" borderId="0"/>
    <xf numFmtId="9" fontId="2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7" fillId="0" borderId="12">
      <alignment horizontal="center"/>
    </xf>
    <xf numFmtId="3" fontId="36" fillId="0" borderId="0" applyFont="0" applyFill="0" applyBorder="0" applyAlignment="0" applyProtection="0"/>
    <xf numFmtId="0" fontId="36" fillId="33" borderId="0" applyNumberFormat="0" applyFont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8" borderId="124" applyNumberForma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40" borderId="125" applyNumberFormat="0" applyFont="0" applyAlignment="0" applyProtection="0">
      <alignment vertical="center"/>
    </xf>
    <xf numFmtId="0" fontId="43" fillId="0" borderId="126" applyNumberFormat="0" applyFill="0" applyAlignment="0" applyProtection="0">
      <alignment vertical="center"/>
    </xf>
    <xf numFmtId="0" fontId="44" fillId="24" borderId="127" applyNumberFormat="0" applyAlignment="0" applyProtection="0">
      <alignment vertical="center"/>
    </xf>
    <xf numFmtId="0" fontId="45" fillId="41" borderId="128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0" fontId="41" fillId="0" borderId="0"/>
    <xf numFmtId="0" fontId="41" fillId="0" borderId="0"/>
    <xf numFmtId="0" fontId="48" fillId="21" borderId="0" applyNumberFormat="0" applyBorder="0" applyAlignment="0" applyProtection="0">
      <alignment vertical="center"/>
    </xf>
    <xf numFmtId="0" fontId="49" fillId="0" borderId="129" applyNumberFormat="0" applyFill="0" applyAlignment="0" applyProtection="0">
      <alignment vertical="center"/>
    </xf>
    <xf numFmtId="0" fontId="50" fillId="0" borderId="130" applyNumberFormat="0" applyFill="0" applyAlignment="0" applyProtection="0">
      <alignment vertical="center"/>
    </xf>
    <xf numFmtId="0" fontId="51" fillId="0" borderId="13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1" borderId="12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64" fontId="41" fillId="0" borderId="0" applyFont="0" applyFill="0" applyBorder="0" applyAlignment="0" applyProtection="0"/>
    <xf numFmtId="0" fontId="55" fillId="0" borderId="132" applyNumberFormat="0" applyFill="0" applyAlignment="0" applyProtection="0">
      <alignment vertical="center"/>
    </xf>
    <xf numFmtId="0" fontId="56" fillId="0" borderId="0"/>
    <xf numFmtId="9" fontId="5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97" fillId="0" borderId="0"/>
    <xf numFmtId="9" fontId="97" fillId="0" borderId="0"/>
    <xf numFmtId="38" fontId="97" fillId="0" borderId="0" applyFont="0" applyFill="0" applyBorder="0" applyAlignment="0" applyProtection="0">
      <alignment vertical="center"/>
    </xf>
  </cellStyleXfs>
  <cellXfs count="1625">
    <xf numFmtId="0" fontId="0" fillId="0" borderId="0" xfId="0"/>
    <xf numFmtId="0" fontId="0" fillId="0" borderId="4" xfId="0" applyBorder="1"/>
    <xf numFmtId="0" fontId="3" fillId="0" borderId="5" xfId="0" applyFont="1" applyBorder="1" applyAlignment="1">
      <alignment horizontal="right"/>
    </xf>
    <xf numFmtId="38" fontId="0" fillId="0" borderId="5" xfId="0" applyNumberFormat="1" applyBorder="1"/>
    <xf numFmtId="38" fontId="0" fillId="0" borderId="5" xfId="1" applyNumberFormat="1" applyFont="1" applyBorder="1" applyAlignment="1">
      <alignment horizontal="right"/>
    </xf>
    <xf numFmtId="10" fontId="0" fillId="0" borderId="5" xfId="3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3" quotePrefix="1" applyNumberFormat="1" applyFont="1" applyBorder="1" applyAlignment="1">
      <alignment horizontal="right"/>
    </xf>
    <xf numFmtId="9" fontId="0" fillId="0" borderId="0" xfId="0" applyNumberFormat="1"/>
    <xf numFmtId="38" fontId="0" fillId="0" borderId="8" xfId="0" applyNumberFormat="1" applyBorder="1"/>
    <xf numFmtId="10" fontId="0" fillId="0" borderId="0" xfId="3" applyNumberFormat="1" applyFont="1" applyBorder="1"/>
    <xf numFmtId="0" fontId="0" fillId="0" borderId="4" xfId="0" quotePrefix="1" applyBorder="1"/>
    <xf numFmtId="0" fontId="0" fillId="0" borderId="0" xfId="0" quotePrefix="1"/>
    <xf numFmtId="9" fontId="0" fillId="0" borderId="0" xfId="0" quotePrefix="1" applyNumberFormat="1"/>
    <xf numFmtId="0" fontId="0" fillId="0" borderId="6" xfId="0" quotePrefix="1" applyBorder="1" applyAlignment="1">
      <alignment horizontal="left"/>
    </xf>
    <xf numFmtId="10" fontId="0" fillId="0" borderId="7" xfId="3" quotePrefix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38" fontId="4" fillId="0" borderId="11" xfId="0" applyNumberFormat="1" applyFont="1" applyBorder="1"/>
    <xf numFmtId="0" fontId="5" fillId="0" borderId="0" xfId="0" quotePrefix="1" applyFont="1"/>
    <xf numFmtId="166" fontId="4" fillId="0" borderId="0" xfId="0" applyNumberFormat="1" applyFont="1"/>
    <xf numFmtId="4" fontId="6" fillId="0" borderId="0" xfId="0" applyNumberFormat="1" applyFont="1"/>
    <xf numFmtId="41" fontId="7" fillId="0" borderId="5" xfId="2" applyFont="1" applyBorder="1" applyAlignment="1">
      <alignment horizontal="right"/>
    </xf>
    <xf numFmtId="41" fontId="8" fillId="0" borderId="5" xfId="2" applyFont="1" applyBorder="1" applyAlignment="1">
      <alignment horizontal="right"/>
    </xf>
    <xf numFmtId="10" fontId="0" fillId="0" borderId="0" xfId="0" applyNumberFormat="1"/>
    <xf numFmtId="167" fontId="0" fillId="0" borderId="0" xfId="3" applyNumberFormat="1" applyFont="1" applyBorder="1"/>
    <xf numFmtId="0" fontId="0" fillId="0" borderId="2" xfId="0" applyBorder="1"/>
    <xf numFmtId="41" fontId="5" fillId="0" borderId="0" xfId="2" quotePrefix="1" applyFont="1" applyBorder="1"/>
    <xf numFmtId="41" fontId="5" fillId="0" borderId="0" xfId="2" applyFont="1"/>
    <xf numFmtId="168" fontId="0" fillId="0" borderId="0" xfId="0" quotePrefix="1" applyNumberFormat="1"/>
    <xf numFmtId="38" fontId="0" fillId="0" borderId="0" xfId="0" applyNumberFormat="1"/>
    <xf numFmtId="37" fontId="0" fillId="0" borderId="5" xfId="0" applyNumberFormat="1" applyBorder="1"/>
    <xf numFmtId="0" fontId="0" fillId="0" borderId="1" xfId="0" applyBorder="1"/>
    <xf numFmtId="38" fontId="4" fillId="2" borderId="3" xfId="0" applyNumberFormat="1" applyFont="1" applyFill="1" applyBorder="1"/>
    <xf numFmtId="0" fontId="4" fillId="0" borderId="0" xfId="0" applyFont="1" applyAlignment="1">
      <alignment horizontal="left"/>
    </xf>
    <xf numFmtId="38" fontId="4" fillId="0" borderId="0" xfId="0" applyNumberFormat="1" applyFont="1"/>
    <xf numFmtId="10" fontId="0" fillId="0" borderId="0" xfId="0" quotePrefix="1" applyNumberFormat="1"/>
    <xf numFmtId="0" fontId="11" fillId="0" borderId="0" xfId="5" applyFont="1" applyAlignment="1">
      <alignment horizontal="left" vertical="center"/>
    </xf>
    <xf numFmtId="0" fontId="12" fillId="0" borderId="0" xfId="5" applyFont="1" applyAlignment="1">
      <alignment vertical="center"/>
    </xf>
    <xf numFmtId="38" fontId="12" fillId="0" borderId="0" xfId="5" applyNumberFormat="1" applyFont="1" applyAlignment="1">
      <alignment vertical="center"/>
    </xf>
    <xf numFmtId="38" fontId="12" fillId="0" borderId="0" xfId="5" applyNumberFormat="1" applyFont="1" applyAlignment="1">
      <alignment horizontal="center" vertical="center"/>
    </xf>
    <xf numFmtId="38" fontId="12" fillId="0" borderId="0" xfId="6" applyNumberFormat="1" applyFont="1" applyAlignment="1">
      <alignment vertical="center"/>
    </xf>
    <xf numFmtId="38" fontId="12" fillId="0" borderId="0" xfId="7" applyNumberFormat="1" applyFont="1" applyAlignment="1">
      <alignment vertical="center"/>
    </xf>
    <xf numFmtId="0" fontId="13" fillId="5" borderId="0" xfId="5" applyFont="1" applyFill="1" applyAlignment="1">
      <alignment vertical="center"/>
    </xf>
    <xf numFmtId="0" fontId="13" fillId="0" borderId="0" xfId="5" quotePrefix="1" applyFont="1" applyAlignment="1">
      <alignment vertical="center"/>
    </xf>
    <xf numFmtId="0" fontId="13" fillId="0" borderId="0" xfId="5" applyFont="1" applyAlignment="1">
      <alignment vertical="center"/>
    </xf>
    <xf numFmtId="14" fontId="12" fillId="0" borderId="0" xfId="5" applyNumberFormat="1" applyFont="1" applyAlignment="1">
      <alignment horizontal="left" vertical="center"/>
    </xf>
    <xf numFmtId="0" fontId="12" fillId="0" borderId="0" xfId="5" applyFont="1" applyAlignment="1">
      <alignment horizontal="right" vertical="center"/>
    </xf>
    <xf numFmtId="41" fontId="12" fillId="0" borderId="0" xfId="5" applyNumberFormat="1" applyFont="1" applyAlignment="1" applyProtection="1">
      <alignment vertical="center"/>
      <protection locked="0"/>
    </xf>
    <xf numFmtId="38" fontId="12" fillId="0" borderId="0" xfId="6" applyNumberFormat="1" applyFont="1" applyBorder="1" applyAlignment="1">
      <alignment vertical="center"/>
    </xf>
    <xf numFmtId="38" fontId="12" fillId="0" borderId="0" xfId="7" applyNumberFormat="1" applyFont="1" applyBorder="1" applyAlignment="1">
      <alignment vertical="center"/>
    </xf>
    <xf numFmtId="0" fontId="13" fillId="0" borderId="0" xfId="5" applyFont="1"/>
    <xf numFmtId="14" fontId="12" fillId="0" borderId="0" xfId="5" applyNumberFormat="1" applyFont="1" applyAlignment="1">
      <alignment horizontal="left"/>
    </xf>
    <xf numFmtId="0" fontId="12" fillId="0" borderId="0" xfId="5" applyFont="1" applyAlignment="1">
      <alignment horizontal="right"/>
    </xf>
    <xf numFmtId="15" fontId="12" fillId="0" borderId="0" xfId="5" applyNumberFormat="1" applyFont="1" applyProtection="1">
      <protection locked="0"/>
    </xf>
    <xf numFmtId="0" fontId="12" fillId="0" borderId="0" xfId="5" applyFont="1"/>
    <xf numFmtId="38" fontId="12" fillId="0" borderId="0" xfId="5" applyNumberFormat="1" applyFont="1"/>
    <xf numFmtId="38" fontId="12" fillId="0" borderId="0" xfId="5" applyNumberFormat="1" applyFont="1" applyAlignment="1">
      <alignment horizontal="center"/>
    </xf>
    <xf numFmtId="38" fontId="12" fillId="0" borderId="0" xfId="6" applyNumberFormat="1" applyFont="1" applyBorder="1" applyAlignment="1"/>
    <xf numFmtId="38" fontId="12" fillId="0" borderId="0" xfId="7" applyNumberFormat="1" applyFont="1" applyBorder="1" applyAlignment="1"/>
    <xf numFmtId="0" fontId="14" fillId="6" borderId="13" xfId="5" applyFont="1" applyFill="1" applyBorder="1" applyAlignment="1">
      <alignment vertical="center"/>
    </xf>
    <xf numFmtId="0" fontId="14" fillId="6" borderId="14" xfId="5" applyFont="1" applyFill="1" applyBorder="1" applyAlignment="1">
      <alignment vertical="center"/>
    </xf>
    <xf numFmtId="0" fontId="14" fillId="6" borderId="15" xfId="5" applyFont="1" applyFill="1" applyBorder="1" applyAlignment="1">
      <alignment vertical="center"/>
    </xf>
    <xf numFmtId="0" fontId="15" fillId="0" borderId="0" xfId="5" applyFont="1" applyAlignment="1">
      <alignment horizontal="center" vertical="center"/>
    </xf>
    <xf numFmtId="38" fontId="15" fillId="0" borderId="0" xfId="5" applyNumberFormat="1" applyFont="1" applyAlignment="1">
      <alignment horizontal="center" vertical="center"/>
    </xf>
    <xf numFmtId="38" fontId="15" fillId="0" borderId="0" xfId="6" applyNumberFormat="1" applyFont="1" applyBorder="1" applyAlignment="1">
      <alignment horizontal="center" vertical="center"/>
    </xf>
    <xf numFmtId="38" fontId="15" fillId="0" borderId="0" xfId="7" applyNumberFormat="1" applyFont="1" applyBorder="1" applyAlignment="1">
      <alignment horizontal="center" vertical="center"/>
    </xf>
    <xf numFmtId="0" fontId="16" fillId="0" borderId="0" xfId="5" applyFont="1" applyAlignment="1">
      <alignment horizontal="centerContinuous" vertical="center"/>
    </xf>
    <xf numFmtId="0" fontId="16" fillId="0" borderId="0" xfId="5" applyFont="1" applyAlignment="1">
      <alignment vertical="center"/>
    </xf>
    <xf numFmtId="0" fontId="17" fillId="0" borderId="16" xfId="5" applyFont="1" applyBorder="1"/>
    <xf numFmtId="0" fontId="17" fillId="0" borderId="17" xfId="5" applyFont="1" applyBorder="1"/>
    <xf numFmtId="0" fontId="17" fillId="0" borderId="18" xfId="5" applyFont="1" applyBorder="1"/>
    <xf numFmtId="0" fontId="18" fillId="6" borderId="14" xfId="5" applyFont="1" applyFill="1" applyBorder="1" applyAlignment="1">
      <alignment horizontal="center"/>
    </xf>
    <xf numFmtId="0" fontId="18" fillId="6" borderId="22" xfId="5" applyFont="1" applyFill="1" applyBorder="1" applyAlignment="1">
      <alignment horizontal="center"/>
    </xf>
    <xf numFmtId="0" fontId="18" fillId="0" borderId="0" xfId="5" applyFont="1" applyAlignment="1">
      <alignment horizontal="center"/>
    </xf>
    <xf numFmtId="38" fontId="18" fillId="0" borderId="0" xfId="5" applyNumberFormat="1" applyFont="1" applyAlignment="1">
      <alignment horizontal="center"/>
    </xf>
    <xf numFmtId="38" fontId="18" fillId="0" borderId="0" xfId="6" applyNumberFormat="1" applyFont="1" applyBorder="1" applyAlignment="1">
      <alignment horizontal="center"/>
    </xf>
    <xf numFmtId="38" fontId="18" fillId="0" borderId="0" xfId="7" applyNumberFormat="1" applyFont="1" applyBorder="1" applyAlignment="1">
      <alignment horizontal="center"/>
    </xf>
    <xf numFmtId="0" fontId="18" fillId="0" borderId="0" xfId="5" applyFont="1" applyAlignment="1">
      <alignment horizontal="centerContinuous"/>
    </xf>
    <xf numFmtId="0" fontId="18" fillId="0" borderId="0" xfId="5" applyFont="1"/>
    <xf numFmtId="0" fontId="17" fillId="0" borderId="23" xfId="5" applyFont="1" applyBorder="1"/>
    <xf numFmtId="0" fontId="17" fillId="0" borderId="24" xfId="5" applyFont="1" applyBorder="1"/>
    <xf numFmtId="0" fontId="17" fillId="0" borderId="25" xfId="5" applyFont="1" applyBorder="1"/>
    <xf numFmtId="0" fontId="17" fillId="0" borderId="26" xfId="5" applyFont="1" applyBorder="1"/>
    <xf numFmtId="0" fontId="18" fillId="0" borderId="27" xfId="5" applyFont="1" applyBorder="1"/>
    <xf numFmtId="0" fontId="18" fillId="0" borderId="28" xfId="5" applyFont="1" applyBorder="1"/>
    <xf numFmtId="3" fontId="18" fillId="0" borderId="29" xfId="6" applyNumberFormat="1" applyFont="1" applyBorder="1" applyAlignment="1">
      <alignment horizontal="left"/>
    </xf>
    <xf numFmtId="0" fontId="17" fillId="0" borderId="30" xfId="5" applyFont="1" applyBorder="1"/>
    <xf numFmtId="0" fontId="17" fillId="0" borderId="28" xfId="5" applyFont="1" applyBorder="1"/>
    <xf numFmtId="41" fontId="17" fillId="5" borderId="31" xfId="6" applyNumberFormat="1" applyFont="1" applyFill="1" applyBorder="1"/>
    <xf numFmtId="0" fontId="18" fillId="0" borderId="29" xfId="5" applyFont="1" applyBorder="1"/>
    <xf numFmtId="38" fontId="18" fillId="5" borderId="29" xfId="7" applyNumberFormat="1" applyFont="1" applyFill="1" applyBorder="1"/>
    <xf numFmtId="0" fontId="18" fillId="6" borderId="35" xfId="5" applyFont="1" applyFill="1" applyBorder="1" applyAlignment="1">
      <alignment horizontal="center"/>
    </xf>
    <xf numFmtId="0" fontId="18" fillId="6" borderId="8" xfId="5" applyFont="1" applyFill="1" applyBorder="1" applyAlignment="1">
      <alignment horizontal="center"/>
    </xf>
    <xf numFmtId="0" fontId="18" fillId="6" borderId="36" xfId="5" applyFont="1" applyFill="1" applyBorder="1" applyAlignment="1">
      <alignment horizontal="center"/>
    </xf>
    <xf numFmtId="0" fontId="18" fillId="6" borderId="7" xfId="5" applyFont="1" applyFill="1" applyBorder="1" applyAlignment="1">
      <alignment horizontal="center"/>
    </xf>
    <xf numFmtId="0" fontId="18" fillId="6" borderId="34" xfId="5" applyFont="1" applyFill="1" applyBorder="1" applyAlignment="1">
      <alignment horizontal="center"/>
    </xf>
    <xf numFmtId="0" fontId="18" fillId="6" borderId="33" xfId="5" applyFont="1" applyFill="1" applyBorder="1" applyAlignment="1">
      <alignment horizontal="center"/>
    </xf>
    <xf numFmtId="0" fontId="18" fillId="6" borderId="38" xfId="5" applyFont="1" applyFill="1" applyBorder="1" applyAlignment="1">
      <alignment horizontal="center"/>
    </xf>
    <xf numFmtId="0" fontId="18" fillId="0" borderId="24" xfId="5" applyFont="1" applyBorder="1"/>
    <xf numFmtId="0" fontId="18" fillId="0" borderId="25" xfId="5" applyFont="1" applyBorder="1"/>
    <xf numFmtId="0" fontId="17" fillId="5" borderId="24" xfId="5" applyFont="1" applyFill="1" applyBorder="1" applyAlignment="1">
      <alignment horizontal="center"/>
    </xf>
    <xf numFmtId="0" fontId="19" fillId="5" borderId="24" xfId="5" applyFont="1" applyFill="1" applyBorder="1" applyAlignment="1">
      <alignment horizontal="center"/>
    </xf>
    <xf numFmtId="0" fontId="18" fillId="5" borderId="26" xfId="5" applyFont="1" applyFill="1" applyBorder="1" applyAlignment="1">
      <alignment horizontal="center"/>
    </xf>
    <xf numFmtId="0" fontId="18" fillId="0" borderId="23" xfId="5" applyFont="1" applyBorder="1"/>
    <xf numFmtId="3" fontId="18" fillId="5" borderId="24" xfId="5" applyNumberFormat="1" applyFont="1" applyFill="1" applyBorder="1" applyAlignment="1">
      <alignment horizontal="left"/>
    </xf>
    <xf numFmtId="0" fontId="17" fillId="0" borderId="39" xfId="5" applyFont="1" applyBorder="1"/>
    <xf numFmtId="3" fontId="19" fillId="0" borderId="25" xfId="5" applyNumberFormat="1" applyFont="1" applyBorder="1"/>
    <xf numFmtId="41" fontId="17" fillId="5" borderId="40" xfId="6" applyNumberFormat="1" applyFont="1" applyFill="1" applyBorder="1"/>
    <xf numFmtId="38" fontId="18" fillId="5" borderId="24" xfId="7" applyNumberFormat="1" applyFont="1" applyFill="1" applyBorder="1"/>
    <xf numFmtId="0" fontId="18" fillId="0" borderId="41" xfId="5" applyFont="1" applyBorder="1" applyAlignment="1">
      <alignment horizontal="left"/>
    </xf>
    <xf numFmtId="10" fontId="18" fillId="0" borderId="17" xfId="8" applyNumberFormat="1" applyFont="1" applyFill="1" applyBorder="1"/>
    <xf numFmtId="0" fontId="18" fillId="0" borderId="17" xfId="5" applyFont="1" applyBorder="1"/>
    <xf numFmtId="3" fontId="18" fillId="5" borderId="42" xfId="5" applyNumberFormat="1" applyFont="1" applyFill="1" applyBorder="1"/>
    <xf numFmtId="3" fontId="18" fillId="0" borderId="43" xfId="5" applyNumberFormat="1" applyFont="1" applyBorder="1"/>
    <xf numFmtId="0" fontId="18" fillId="0" borderId="44" xfId="5" applyFont="1" applyBorder="1"/>
    <xf numFmtId="0" fontId="18" fillId="0" borderId="45" xfId="5" applyFont="1" applyBorder="1"/>
    <xf numFmtId="3" fontId="18" fillId="0" borderId="46" xfId="5" applyNumberFormat="1" applyFont="1" applyBorder="1"/>
    <xf numFmtId="3" fontId="18" fillId="5" borderId="47" xfId="5" applyNumberFormat="1" applyFont="1" applyFill="1" applyBorder="1"/>
    <xf numFmtId="3" fontId="18" fillId="5" borderId="44" xfId="5" applyNumberFormat="1" applyFont="1" applyFill="1" applyBorder="1"/>
    <xf numFmtId="0" fontId="18" fillId="0" borderId="48" xfId="5" applyFont="1" applyBorder="1"/>
    <xf numFmtId="9" fontId="18" fillId="5" borderId="45" xfId="8" applyFont="1" applyFill="1" applyBorder="1"/>
    <xf numFmtId="3" fontId="18" fillId="0" borderId="47" xfId="5" applyNumberFormat="1" applyFont="1" applyBorder="1"/>
    <xf numFmtId="0" fontId="18" fillId="0" borderId="47" xfId="5" applyFont="1" applyBorder="1"/>
    <xf numFmtId="3" fontId="18" fillId="0" borderId="45" xfId="5" applyNumberFormat="1" applyFont="1" applyBorder="1"/>
    <xf numFmtId="3" fontId="18" fillId="5" borderId="49" xfId="5" applyNumberFormat="1" applyFont="1" applyFill="1" applyBorder="1"/>
    <xf numFmtId="3" fontId="18" fillId="0" borderId="0" xfId="5" applyNumberFormat="1" applyFont="1"/>
    <xf numFmtId="38" fontId="18" fillId="0" borderId="0" xfId="5" applyNumberFormat="1" applyFont="1"/>
    <xf numFmtId="38" fontId="18" fillId="0" borderId="0" xfId="6" applyNumberFormat="1" applyFont="1" applyBorder="1"/>
    <xf numFmtId="38" fontId="18" fillId="0" borderId="0" xfId="7" applyNumberFormat="1" applyFont="1" applyBorder="1"/>
    <xf numFmtId="0" fontId="17" fillId="0" borderId="25" xfId="5" applyFont="1" applyBorder="1" applyAlignment="1">
      <alignment horizontal="left"/>
    </xf>
    <xf numFmtId="0" fontId="17" fillId="5" borderId="26" xfId="5" applyFont="1" applyFill="1" applyBorder="1" applyAlignment="1">
      <alignment horizontal="center"/>
    </xf>
    <xf numFmtId="3" fontId="17" fillId="5" borderId="24" xfId="6" applyNumberFormat="1" applyFont="1" applyFill="1" applyBorder="1"/>
    <xf numFmtId="41" fontId="17" fillId="0" borderId="25" xfId="8" applyNumberFormat="1" applyFont="1" applyFill="1" applyBorder="1"/>
    <xf numFmtId="41" fontId="18" fillId="0" borderId="40" xfId="6" applyNumberFormat="1" applyFont="1" applyFill="1" applyBorder="1"/>
    <xf numFmtId="0" fontId="18" fillId="7" borderId="39" xfId="5" applyFont="1" applyFill="1" applyBorder="1" applyAlignment="1">
      <alignment horizontal="left"/>
    </xf>
    <xf numFmtId="10" fontId="18" fillId="7" borderId="24" xfId="8" applyNumberFormat="1" applyFont="1" applyFill="1" applyBorder="1"/>
    <xf numFmtId="0" fontId="18" fillId="7" borderId="24" xfId="5" applyFont="1" applyFill="1" applyBorder="1"/>
    <xf numFmtId="3" fontId="18" fillId="5" borderId="50" xfId="5" applyNumberFormat="1" applyFont="1" applyFill="1" applyBorder="1"/>
    <xf numFmtId="3" fontId="18" fillId="0" borderId="40" xfId="5" applyNumberFormat="1" applyFont="1" applyBorder="1"/>
    <xf numFmtId="3" fontId="18" fillId="0" borderId="50" xfId="5" applyNumberFormat="1" applyFont="1" applyBorder="1"/>
    <xf numFmtId="3" fontId="18" fillId="5" borderId="51" xfId="5" applyNumberFormat="1" applyFont="1" applyFill="1" applyBorder="1"/>
    <xf numFmtId="3" fontId="18" fillId="5" borderId="24" xfId="5" applyNumberFormat="1" applyFont="1" applyFill="1" applyBorder="1"/>
    <xf numFmtId="0" fontId="18" fillId="0" borderId="39" xfId="5" applyFont="1" applyBorder="1"/>
    <xf numFmtId="9" fontId="18" fillId="5" borderId="25" xfId="8" applyFont="1" applyFill="1" applyBorder="1"/>
    <xf numFmtId="3" fontId="18" fillId="0" borderId="51" xfId="5" applyNumberFormat="1" applyFont="1" applyBorder="1"/>
    <xf numFmtId="0" fontId="18" fillId="0" borderId="51" xfId="5" applyFont="1" applyBorder="1"/>
    <xf numFmtId="3" fontId="18" fillId="0" borderId="25" xfId="5" applyNumberFormat="1" applyFont="1" applyBorder="1"/>
    <xf numFmtId="3" fontId="18" fillId="5" borderId="52" xfId="5" applyNumberFormat="1" applyFont="1" applyFill="1" applyBorder="1"/>
    <xf numFmtId="0" fontId="17" fillId="0" borderId="53" xfId="5" applyFont="1" applyBorder="1"/>
    <xf numFmtId="0" fontId="17" fillId="0" borderId="54" xfId="5" applyFont="1" applyBorder="1"/>
    <xf numFmtId="0" fontId="17" fillId="0" borderId="55" xfId="5" applyFont="1" applyBorder="1" applyAlignment="1">
      <alignment horizontal="left"/>
    </xf>
    <xf numFmtId="0" fontId="17" fillId="0" borderId="0" xfId="5" applyFont="1"/>
    <xf numFmtId="0" fontId="17" fillId="0" borderId="56" xfId="5" applyFont="1" applyBorder="1"/>
    <xf numFmtId="3" fontId="17" fillId="5" borderId="40" xfId="6" applyNumberFormat="1" applyFont="1" applyFill="1" applyBorder="1"/>
    <xf numFmtId="3" fontId="17" fillId="0" borderId="25" xfId="5" applyNumberFormat="1" applyFont="1" applyBorder="1"/>
    <xf numFmtId="171" fontId="17" fillId="5" borderId="40" xfId="6" applyNumberFormat="1" applyFont="1" applyFill="1" applyBorder="1"/>
    <xf numFmtId="38" fontId="18" fillId="0" borderId="24" xfId="7" applyNumberFormat="1" applyFont="1" applyFill="1" applyBorder="1"/>
    <xf numFmtId="0" fontId="18" fillId="0" borderId="39" xfId="7" applyNumberFormat="1" applyFont="1" applyFill="1" applyBorder="1"/>
    <xf numFmtId="10" fontId="18" fillId="0" borderId="24" xfId="8" applyNumberFormat="1" applyFont="1" applyFill="1" applyBorder="1"/>
    <xf numFmtId="9" fontId="18" fillId="5" borderId="50" xfId="8" applyFont="1" applyFill="1" applyBorder="1"/>
    <xf numFmtId="0" fontId="18" fillId="0" borderId="57" xfId="5" applyFont="1" applyBorder="1"/>
    <xf numFmtId="169" fontId="16" fillId="0" borderId="49" xfId="5" applyNumberFormat="1" applyFont="1" applyBorder="1"/>
    <xf numFmtId="0" fontId="17" fillId="2" borderId="39" xfId="5" applyFont="1" applyFill="1" applyBorder="1"/>
    <xf numFmtId="3" fontId="17" fillId="2" borderId="25" xfId="5" applyNumberFormat="1" applyFont="1" applyFill="1" applyBorder="1"/>
    <xf numFmtId="9" fontId="18" fillId="2" borderId="40" xfId="8" applyFont="1" applyFill="1" applyBorder="1"/>
    <xf numFmtId="0" fontId="18" fillId="0" borderId="24" xfId="7" applyNumberFormat="1" applyFont="1" applyFill="1" applyBorder="1" applyAlignment="1">
      <alignment vertical="center"/>
    </xf>
    <xf numFmtId="3" fontId="18" fillId="5" borderId="50" xfId="8" applyNumberFormat="1" applyFont="1" applyFill="1" applyBorder="1" applyAlignment="1">
      <alignment wrapText="1"/>
    </xf>
    <xf numFmtId="20" fontId="18" fillId="0" borderId="25" xfId="5" applyNumberFormat="1" applyFont="1" applyBorder="1" applyAlignment="1">
      <alignment horizontal="center"/>
    </xf>
    <xf numFmtId="20" fontId="18" fillId="0" borderId="24" xfId="5" applyNumberFormat="1" applyFont="1" applyBorder="1" applyAlignment="1">
      <alignment horizontal="center"/>
    </xf>
    <xf numFmtId="0" fontId="18" fillId="3" borderId="16" xfId="5" applyFont="1" applyFill="1" applyBorder="1"/>
    <xf numFmtId="0" fontId="18" fillId="3" borderId="17" xfId="5" applyFont="1" applyFill="1" applyBorder="1"/>
    <xf numFmtId="0" fontId="18" fillId="3" borderId="18" xfId="5" applyFont="1" applyFill="1" applyBorder="1"/>
    <xf numFmtId="10" fontId="16" fillId="3" borderId="19" xfId="8" applyNumberFormat="1" applyFont="1" applyFill="1" applyBorder="1"/>
    <xf numFmtId="0" fontId="17" fillId="0" borderId="58" xfId="5" applyFont="1" applyBorder="1"/>
    <xf numFmtId="41" fontId="17" fillId="0" borderId="59" xfId="8" applyNumberFormat="1" applyFont="1" applyFill="1" applyBorder="1"/>
    <xf numFmtId="3" fontId="18" fillId="0" borderId="0" xfId="6" applyNumberFormat="1" applyFont="1" applyFill="1" applyBorder="1"/>
    <xf numFmtId="0" fontId="18" fillId="0" borderId="39" xfId="8" applyNumberFormat="1" applyFont="1" applyFill="1" applyBorder="1" applyAlignment="1">
      <alignment horizontal="left"/>
    </xf>
    <xf numFmtId="0" fontId="18" fillId="0" borderId="25" xfId="5" applyFont="1" applyBorder="1" applyAlignment="1">
      <alignment horizontal="center"/>
    </xf>
    <xf numFmtId="37" fontId="18" fillId="5" borderId="40" xfId="5" applyNumberFormat="1" applyFont="1" applyFill="1" applyBorder="1" applyAlignment="1">
      <alignment horizontal="right"/>
    </xf>
    <xf numFmtId="0" fontId="18" fillId="0" borderId="59" xfId="5" applyFont="1" applyBorder="1"/>
    <xf numFmtId="3" fontId="18" fillId="0" borderId="60" xfId="5" applyNumberFormat="1" applyFont="1" applyBorder="1"/>
    <xf numFmtId="3" fontId="18" fillId="0" borderId="61" xfId="5" applyNumberFormat="1" applyFont="1" applyBorder="1"/>
    <xf numFmtId="0" fontId="18" fillId="3" borderId="23" xfId="5" applyFont="1" applyFill="1" applyBorder="1"/>
    <xf numFmtId="0" fontId="18" fillId="3" borderId="24" xfId="5" applyFont="1" applyFill="1" applyBorder="1"/>
    <xf numFmtId="0" fontId="18" fillId="3" borderId="25" xfId="5" applyFont="1" applyFill="1" applyBorder="1"/>
    <xf numFmtId="10" fontId="16" fillId="8" borderId="26" xfId="8" applyNumberFormat="1" applyFont="1" applyFill="1" applyBorder="1"/>
    <xf numFmtId="0" fontId="20" fillId="0" borderId="0" xfId="9" applyFont="1" applyAlignment="1">
      <alignment horizontal="center"/>
    </xf>
    <xf numFmtId="3" fontId="17" fillId="0" borderId="59" xfId="5" applyNumberFormat="1" applyFont="1" applyBorder="1"/>
    <xf numFmtId="3" fontId="17" fillId="0" borderId="0" xfId="6" applyNumberFormat="1" applyFont="1" applyFill="1" applyBorder="1"/>
    <xf numFmtId="41" fontId="18" fillId="5" borderId="40" xfId="6" applyNumberFormat="1" applyFont="1" applyFill="1" applyBorder="1"/>
    <xf numFmtId="0" fontId="18" fillId="0" borderId="25" xfId="5" applyFont="1" applyBorder="1" applyAlignment="1">
      <alignment horizontal="right"/>
    </xf>
    <xf numFmtId="38" fontId="18" fillId="5" borderId="24" xfId="5" applyNumberFormat="1" applyFont="1" applyFill="1" applyBorder="1"/>
    <xf numFmtId="0" fontId="18" fillId="0" borderId="39" xfId="7" applyNumberFormat="1" applyFont="1" applyFill="1" applyBorder="1" applyAlignment="1">
      <alignment vertical="center"/>
    </xf>
    <xf numFmtId="0" fontId="18" fillId="0" borderId="24" xfId="7" applyNumberFormat="1" applyFont="1" applyFill="1" applyBorder="1" applyAlignment="1">
      <alignment vertical="center" wrapText="1"/>
    </xf>
    <xf numFmtId="0" fontId="18" fillId="0" borderId="25" xfId="7" applyNumberFormat="1" applyFont="1" applyFill="1" applyBorder="1" applyAlignment="1">
      <alignment vertical="center" wrapText="1"/>
    </xf>
    <xf numFmtId="38" fontId="18" fillId="0" borderId="50" xfId="5" applyNumberFormat="1" applyFont="1" applyBorder="1" applyAlignment="1">
      <alignment horizontal="right" vertical="center"/>
    </xf>
    <xf numFmtId="3" fontId="18" fillId="5" borderId="26" xfId="5" applyNumberFormat="1" applyFont="1" applyFill="1" applyBorder="1"/>
    <xf numFmtId="0" fontId="18" fillId="2" borderId="23" xfId="5" applyFont="1" applyFill="1" applyBorder="1"/>
    <xf numFmtId="0" fontId="18" fillId="2" borderId="24" xfId="5" applyFont="1" applyFill="1" applyBorder="1"/>
    <xf numFmtId="0" fontId="18" fillId="2" borderId="25" xfId="5" applyFont="1" applyFill="1" applyBorder="1"/>
    <xf numFmtId="10" fontId="16" fillId="2" borderId="26" xfId="8" applyNumberFormat="1" applyFont="1" applyFill="1" applyBorder="1"/>
    <xf numFmtId="3" fontId="17" fillId="0" borderId="0" xfId="8" applyNumberFormat="1" applyFont="1" applyFill="1" applyBorder="1"/>
    <xf numFmtId="171" fontId="18" fillId="0" borderId="39" xfId="7" applyNumberFormat="1" applyFont="1" applyFill="1" applyBorder="1" applyAlignment="1">
      <alignment horizontal="left"/>
    </xf>
    <xf numFmtId="41" fontId="18" fillId="0" borderId="25" xfId="6" applyNumberFormat="1" applyFont="1" applyFill="1" applyBorder="1" applyAlignment="1">
      <alignment horizontal="right"/>
    </xf>
    <xf numFmtId="0" fontId="18" fillId="2" borderId="63" xfId="5" applyFont="1" applyFill="1" applyBorder="1" applyAlignment="1">
      <alignment horizontal="center" vertical="center"/>
    </xf>
    <xf numFmtId="9" fontId="18" fillId="2" borderId="64" xfId="8" applyFont="1" applyFill="1" applyBorder="1" applyAlignment="1">
      <alignment vertical="center"/>
    </xf>
    <xf numFmtId="0" fontId="18" fillId="0" borderId="4" xfId="5" applyFont="1" applyBorder="1"/>
    <xf numFmtId="3" fontId="18" fillId="0" borderId="59" xfId="5" applyNumberFormat="1" applyFont="1" applyBorder="1"/>
    <xf numFmtId="0" fontId="18" fillId="0" borderId="61" xfId="5" applyFont="1" applyBorder="1"/>
    <xf numFmtId="3" fontId="18" fillId="0" borderId="56" xfId="5" applyNumberFormat="1" applyFont="1" applyBorder="1"/>
    <xf numFmtId="10" fontId="18" fillId="2" borderId="24" xfId="5" applyNumberFormat="1" applyFont="1" applyFill="1" applyBorder="1" applyAlignment="1">
      <alignment horizontal="left"/>
    </xf>
    <xf numFmtId="0" fontId="17" fillId="0" borderId="59" xfId="5" applyFont="1" applyBorder="1"/>
    <xf numFmtId="3" fontId="17" fillId="0" borderId="0" xfId="5" applyNumberFormat="1" applyFont="1"/>
    <xf numFmtId="0" fontId="18" fillId="2" borderId="25" xfId="5" applyFont="1" applyFill="1" applyBorder="1" applyAlignment="1">
      <alignment horizontal="right"/>
    </xf>
    <xf numFmtId="9" fontId="18" fillId="2" borderId="24" xfId="8" applyFont="1" applyFill="1" applyBorder="1"/>
    <xf numFmtId="0" fontId="18" fillId="2" borderId="65" xfId="5" applyFont="1" applyFill="1" applyBorder="1"/>
    <xf numFmtId="9" fontId="18" fillId="2" borderId="43" xfId="8" applyFont="1" applyFill="1" applyBorder="1" applyAlignment="1">
      <alignment vertical="center"/>
    </xf>
    <xf numFmtId="0" fontId="18" fillId="0" borderId="66" xfId="5" applyFont="1" applyBorder="1"/>
    <xf numFmtId="0" fontId="18" fillId="0" borderId="67" xfId="5" applyFont="1" applyBorder="1"/>
    <xf numFmtId="0" fontId="18" fillId="0" borderId="68" xfId="5" applyFont="1" applyBorder="1"/>
    <xf numFmtId="0" fontId="17" fillId="0" borderId="70" xfId="5" applyFont="1" applyBorder="1"/>
    <xf numFmtId="43" fontId="17" fillId="0" borderId="71" xfId="7" applyNumberFormat="1" applyFont="1" applyFill="1" applyBorder="1"/>
    <xf numFmtId="3" fontId="17" fillId="0" borderId="22" xfId="5" applyNumberFormat="1" applyFont="1" applyBorder="1"/>
    <xf numFmtId="0" fontId="17" fillId="0" borderId="72" xfId="5" applyFont="1" applyBorder="1"/>
    <xf numFmtId="3" fontId="17" fillId="0" borderId="68" xfId="5" applyNumberFormat="1" applyFont="1" applyBorder="1"/>
    <xf numFmtId="41" fontId="18" fillId="0" borderId="73" xfId="6" applyNumberFormat="1" applyFont="1" applyFill="1" applyBorder="1"/>
    <xf numFmtId="0" fontId="18" fillId="0" borderId="22" xfId="5" applyFont="1" applyBorder="1"/>
    <xf numFmtId="0" fontId="18" fillId="0" borderId="71" xfId="5" applyFont="1" applyBorder="1" applyAlignment="1">
      <alignment horizontal="right"/>
    </xf>
    <xf numFmtId="9" fontId="21" fillId="0" borderId="22" xfId="8" applyFont="1" applyFill="1" applyBorder="1"/>
    <xf numFmtId="0" fontId="18" fillId="0" borderId="74" xfId="5" applyFont="1" applyBorder="1"/>
    <xf numFmtId="10" fontId="18" fillId="0" borderId="22" xfId="8" applyNumberFormat="1" applyFont="1" applyFill="1" applyBorder="1"/>
    <xf numFmtId="0" fontId="18" fillId="0" borderId="75" xfId="5" applyFont="1" applyBorder="1"/>
    <xf numFmtId="0" fontId="18" fillId="0" borderId="76" xfId="5" applyFont="1" applyBorder="1"/>
    <xf numFmtId="0" fontId="18" fillId="0" borderId="71" xfId="5" applyFont="1" applyBorder="1"/>
    <xf numFmtId="3" fontId="18" fillId="0" borderId="75" xfId="5" applyNumberFormat="1" applyFont="1" applyBorder="1"/>
    <xf numFmtId="3" fontId="18" fillId="0" borderId="77" xfId="5" applyNumberFormat="1" applyFont="1" applyBorder="1"/>
    <xf numFmtId="3" fontId="18" fillId="0" borderId="22" xfId="5" applyNumberFormat="1" applyFont="1" applyBorder="1"/>
    <xf numFmtId="3" fontId="18" fillId="0" borderId="71" xfId="5" applyNumberFormat="1" applyFont="1" applyBorder="1"/>
    <xf numFmtId="0" fontId="18" fillId="0" borderId="77" xfId="5" applyFont="1" applyBorder="1"/>
    <xf numFmtId="3" fontId="18" fillId="0" borderId="78" xfId="5" applyNumberFormat="1" applyFont="1" applyBorder="1"/>
    <xf numFmtId="0" fontId="13" fillId="0" borderId="79" xfId="5" applyFont="1" applyBorder="1"/>
    <xf numFmtId="41" fontId="12" fillId="0" borderId="0" xfId="5" applyNumberFormat="1" applyFont="1"/>
    <xf numFmtId="0" fontId="12" fillId="0" borderId="79" xfId="5" applyFont="1" applyBorder="1"/>
    <xf numFmtId="38" fontId="12" fillId="0" borderId="0" xfId="6" applyNumberFormat="1" applyFont="1"/>
    <xf numFmtId="38" fontId="12" fillId="0" borderId="0" xfId="7" applyNumberFormat="1" applyFont="1"/>
    <xf numFmtId="0" fontId="12" fillId="0" borderId="0" xfId="5" applyFont="1" applyAlignment="1">
      <alignment horizontal="center" vertical="center"/>
    </xf>
    <xf numFmtId="0" fontId="22" fillId="0" borderId="85" xfId="5" applyFont="1" applyBorder="1" applyAlignment="1">
      <alignment horizontal="center" vertical="center"/>
    </xf>
    <xf numFmtId="38" fontId="22" fillId="0" borderId="0" xfId="5" applyNumberFormat="1" applyFont="1" applyAlignment="1">
      <alignment horizontal="left" vertical="center"/>
    </xf>
    <xf numFmtId="38" fontId="12" fillId="0" borderId="0" xfId="7" applyNumberFormat="1" applyFont="1" applyFill="1" applyAlignment="1">
      <alignment horizontal="center" vertical="center"/>
    </xf>
    <xf numFmtId="0" fontId="12" fillId="0" borderId="60" xfId="5" applyFont="1" applyBorder="1" applyAlignment="1">
      <alignment horizontal="center" vertical="center"/>
    </xf>
    <xf numFmtId="0" fontId="12" fillId="0" borderId="59" xfId="5" applyFont="1" applyBorder="1" applyAlignment="1">
      <alignment horizontal="center" vertical="center"/>
    </xf>
    <xf numFmtId="0" fontId="12" fillId="0" borderId="61" xfId="5" applyFont="1" applyBorder="1" applyAlignment="1">
      <alignment horizontal="center" vertical="center"/>
    </xf>
    <xf numFmtId="0" fontId="12" fillId="0" borderId="61" xfId="5" applyFont="1" applyBorder="1" applyAlignment="1">
      <alignment horizontal="center" vertical="center" wrapText="1"/>
    </xf>
    <xf numFmtId="38" fontId="12" fillId="0" borderId="87" xfId="5" applyNumberFormat="1" applyFont="1" applyBorder="1" applyAlignment="1">
      <alignment horizontal="center" vertical="top"/>
    </xf>
    <xf numFmtId="38" fontId="12" fillId="0" borderId="87" xfId="7" applyNumberFormat="1" applyFont="1" applyFill="1" applyBorder="1" applyAlignment="1">
      <alignment horizontal="center" vertical="top" wrapText="1"/>
    </xf>
    <xf numFmtId="38" fontId="12" fillId="0" borderId="87" xfId="7" applyNumberFormat="1" applyFont="1" applyFill="1" applyBorder="1" applyAlignment="1">
      <alignment horizontal="center" vertical="top"/>
    </xf>
    <xf numFmtId="0" fontId="12" fillId="0" borderId="0" xfId="5" applyFont="1" applyAlignment="1">
      <alignment horizontal="center" vertical="top"/>
    </xf>
    <xf numFmtId="0" fontId="12" fillId="0" borderId="90" xfId="5" applyFont="1" applyBorder="1" applyAlignment="1">
      <alignment horizontal="center" vertical="top"/>
    </xf>
    <xf numFmtId="38" fontId="12" fillId="0" borderId="91" xfId="5" applyNumberFormat="1" applyFont="1" applyBorder="1" applyAlignment="1">
      <alignment horizontal="center" vertical="top"/>
    </xf>
    <xf numFmtId="38" fontId="12" fillId="0" borderId="92" xfId="5" applyNumberFormat="1" applyFont="1" applyBorder="1" applyAlignment="1">
      <alignment horizontal="center" vertical="top" wrapText="1"/>
    </xf>
    <xf numFmtId="38" fontId="12" fillId="0" borderId="91" xfId="7" applyNumberFormat="1" applyFont="1" applyFill="1" applyBorder="1" applyAlignment="1">
      <alignment horizontal="center" vertical="top"/>
    </xf>
    <xf numFmtId="0" fontId="12" fillId="0" borderId="35" xfId="5" applyFont="1" applyBorder="1" applyAlignment="1">
      <alignment horizontal="center" vertical="center"/>
    </xf>
    <xf numFmtId="0" fontId="12" fillId="0" borderId="36" xfId="5" applyFont="1" applyBorder="1" applyAlignment="1">
      <alignment horizontal="center" vertical="center"/>
    </xf>
    <xf numFmtId="0" fontId="12" fillId="0" borderId="7" xfId="5" applyFont="1" applyBorder="1" applyAlignment="1">
      <alignment horizontal="center" vertical="center"/>
    </xf>
    <xf numFmtId="0" fontId="12" fillId="0" borderId="75" xfId="9" applyFont="1" applyBorder="1"/>
    <xf numFmtId="0" fontId="12" fillId="0" borderId="77" xfId="5" applyFont="1" applyBorder="1" applyAlignment="1">
      <alignment horizontal="center" vertical="center"/>
    </xf>
    <xf numFmtId="0" fontId="12" fillId="0" borderId="97" xfId="5" applyFont="1" applyBorder="1" applyAlignment="1">
      <alignment horizontal="center" vertical="top"/>
    </xf>
    <xf numFmtId="38" fontId="12" fillId="0" borderId="98" xfId="5" applyNumberFormat="1" applyFont="1" applyBorder="1" applyAlignment="1">
      <alignment horizontal="center" vertical="top"/>
    </xf>
    <xf numFmtId="38" fontId="12" fillId="0" borderId="95" xfId="5" applyNumberFormat="1" applyFont="1" applyBorder="1" applyAlignment="1">
      <alignment horizontal="center" vertical="top" wrapText="1"/>
    </xf>
    <xf numFmtId="38" fontId="12" fillId="0" borderId="96" xfId="5" applyNumberFormat="1" applyFont="1" applyBorder="1" applyAlignment="1">
      <alignment horizontal="center" vertical="top"/>
    </xf>
    <xf numFmtId="38" fontId="12" fillId="0" borderId="75" xfId="5" applyNumberFormat="1" applyFont="1" applyBorder="1" applyAlignment="1">
      <alignment horizontal="center" vertical="top"/>
    </xf>
    <xf numFmtId="38" fontId="12" fillId="0" borderId="97" xfId="5" applyNumberFormat="1" applyFont="1" applyBorder="1" applyAlignment="1">
      <alignment horizontal="center" vertical="top"/>
    </xf>
    <xf numFmtId="38" fontId="12" fillId="0" borderId="93" xfId="6" applyNumberFormat="1" applyFont="1" applyFill="1" applyBorder="1" applyAlignment="1">
      <alignment horizontal="center" vertical="top"/>
    </xf>
    <xf numFmtId="38" fontId="12" fillId="0" borderId="98" xfId="7" applyNumberFormat="1" applyFont="1" applyFill="1" applyBorder="1" applyAlignment="1">
      <alignment horizontal="center" vertical="top"/>
    </xf>
    <xf numFmtId="0" fontId="12" fillId="0" borderId="0" xfId="5" applyFont="1" applyAlignment="1">
      <alignment horizontal="center"/>
    </xf>
    <xf numFmtId="0" fontId="13" fillId="0" borderId="0" xfId="5" applyFont="1" applyAlignment="1">
      <alignment horizontal="center"/>
    </xf>
    <xf numFmtId="0" fontId="13" fillId="0" borderId="59" xfId="5" applyFont="1" applyBorder="1" applyAlignment="1">
      <alignment horizontal="center"/>
    </xf>
    <xf numFmtId="38" fontId="12" fillId="0" borderId="0" xfId="6" applyNumberFormat="1" applyFont="1" applyBorder="1" applyAlignment="1">
      <alignment horizontal="center"/>
    </xf>
    <xf numFmtId="38" fontId="12" fillId="0" borderId="0" xfId="7" applyNumberFormat="1" applyFont="1" applyAlignment="1">
      <alignment horizontal="center"/>
    </xf>
    <xf numFmtId="0" fontId="24" fillId="0" borderId="0" xfId="5" applyFont="1" applyAlignment="1">
      <alignment horizontal="center"/>
    </xf>
    <xf numFmtId="0" fontId="13" fillId="0" borderId="42" xfId="5" applyFont="1" applyBorder="1" applyAlignment="1">
      <alignment horizontal="center"/>
    </xf>
    <xf numFmtId="1" fontId="13" fillId="0" borderId="42" xfId="5" applyNumberFormat="1" applyFont="1" applyBorder="1" applyAlignment="1">
      <alignment horizontal="right"/>
    </xf>
    <xf numFmtId="1" fontId="13" fillId="0" borderId="99" xfId="5" applyNumberFormat="1" applyFont="1" applyBorder="1" applyAlignment="1">
      <alignment horizontal="right"/>
    </xf>
    <xf numFmtId="38" fontId="13" fillId="0" borderId="100" xfId="7" applyNumberFormat="1" applyFont="1" applyBorder="1" applyAlignment="1">
      <alignment horizontal="right"/>
    </xf>
    <xf numFmtId="38" fontId="13" fillId="0" borderId="101" xfId="7" applyNumberFormat="1" applyFont="1" applyBorder="1" applyAlignment="1">
      <alignment horizontal="right"/>
    </xf>
    <xf numFmtId="38" fontId="13" fillId="0" borderId="102" xfId="7" applyNumberFormat="1" applyFont="1" applyBorder="1" applyAlignment="1">
      <alignment horizontal="right"/>
    </xf>
    <xf numFmtId="0" fontId="13" fillId="0" borderId="100" xfId="5" applyFont="1" applyBorder="1" applyAlignment="1">
      <alignment horizontal="center"/>
    </xf>
    <xf numFmtId="0" fontId="13" fillId="0" borderId="101" xfId="5" applyFont="1" applyBorder="1" applyAlignment="1">
      <alignment horizontal="center"/>
    </xf>
    <xf numFmtId="0" fontId="13" fillId="0" borderId="102" xfId="5" applyFont="1" applyBorder="1" applyAlignment="1">
      <alignment horizontal="center"/>
    </xf>
    <xf numFmtId="0" fontId="13" fillId="0" borderId="102" xfId="5" applyFont="1" applyBorder="1" applyAlignment="1">
      <alignment horizontal="right"/>
    </xf>
    <xf numFmtId="38" fontId="13" fillId="0" borderId="103" xfId="5" applyNumberFormat="1" applyFont="1" applyBorder="1" applyAlignment="1">
      <alignment horizontal="right"/>
    </xf>
    <xf numFmtId="0" fontId="13" fillId="0" borderId="104" xfId="5" applyFont="1" applyBorder="1" applyAlignment="1">
      <alignment horizontal="center"/>
    </xf>
    <xf numFmtId="0" fontId="12" fillId="0" borderId="28" xfId="5" applyFont="1" applyBorder="1" applyAlignment="1">
      <alignment horizontal="center"/>
    </xf>
    <xf numFmtId="0" fontId="12" fillId="0" borderId="101" xfId="5" applyFont="1" applyBorder="1" applyAlignment="1">
      <alignment horizontal="center"/>
    </xf>
    <xf numFmtId="0" fontId="12" fillId="0" borderId="102" xfId="5" applyFont="1" applyBorder="1" applyAlignment="1">
      <alignment horizontal="center"/>
    </xf>
    <xf numFmtId="0" fontId="12" fillId="0" borderId="103" xfId="5" applyFont="1" applyBorder="1" applyAlignment="1">
      <alignment horizontal="center"/>
    </xf>
    <xf numFmtId="38" fontId="13" fillId="0" borderId="103" xfId="7" applyNumberFormat="1" applyFont="1" applyFill="1" applyBorder="1" applyAlignment="1">
      <alignment horizontal="right"/>
    </xf>
    <xf numFmtId="38" fontId="13" fillId="0" borderId="103" xfId="5" applyNumberFormat="1" applyFont="1" applyBorder="1" applyAlignment="1">
      <alignment horizontal="center"/>
    </xf>
    <xf numFmtId="38" fontId="12" fillId="0" borderId="103" xfId="5" applyNumberFormat="1" applyFont="1" applyBorder="1" applyAlignment="1">
      <alignment horizontal="center"/>
    </xf>
    <xf numFmtId="38" fontId="12" fillId="0" borderId="100" xfId="5" applyNumberFormat="1" applyFont="1" applyBorder="1" applyAlignment="1">
      <alignment horizontal="right"/>
    </xf>
    <xf numFmtId="38" fontId="12" fillId="0" borderId="101" xfId="5" applyNumberFormat="1" applyFont="1" applyBorder="1" applyAlignment="1">
      <alignment horizontal="right"/>
    </xf>
    <xf numFmtId="38" fontId="12" fillId="0" borderId="104" xfId="5" applyNumberFormat="1" applyFont="1" applyBorder="1" applyAlignment="1">
      <alignment horizontal="right"/>
    </xf>
    <xf numFmtId="38" fontId="12" fillId="0" borderId="100" xfId="6" applyNumberFormat="1" applyFont="1" applyBorder="1" applyAlignment="1">
      <alignment horizontal="right"/>
    </xf>
    <xf numFmtId="38" fontId="12" fillId="0" borderId="101" xfId="6" applyNumberFormat="1" applyFont="1" applyBorder="1" applyAlignment="1">
      <alignment horizontal="right"/>
    </xf>
    <xf numFmtId="38" fontId="12" fillId="0" borderId="104" xfId="6" applyNumberFormat="1" applyFont="1" applyBorder="1" applyAlignment="1">
      <alignment horizontal="right"/>
    </xf>
    <xf numFmtId="38" fontId="12" fillId="0" borderId="103" xfId="7" applyNumberFormat="1" applyFont="1" applyBorder="1" applyAlignment="1">
      <alignment horizontal="right"/>
    </xf>
    <xf numFmtId="0" fontId="13" fillId="0" borderId="50" xfId="5" applyFont="1" applyBorder="1" applyAlignment="1">
      <alignment horizontal="center"/>
    </xf>
    <xf numFmtId="1" fontId="13" fillId="0" borderId="50" xfId="5" applyNumberFormat="1" applyFont="1" applyBorder="1" applyAlignment="1">
      <alignment horizontal="right"/>
    </xf>
    <xf numFmtId="1" fontId="13" fillId="0" borderId="51" xfId="5" applyNumberFormat="1" applyFont="1" applyBorder="1" applyAlignment="1">
      <alignment horizontal="right"/>
    </xf>
    <xf numFmtId="38" fontId="13" fillId="0" borderId="105" xfId="7" applyNumberFormat="1" applyFont="1" applyBorder="1" applyAlignment="1">
      <alignment horizontal="right"/>
    </xf>
    <xf numFmtId="38" fontId="13" fillId="0" borderId="50" xfId="7" applyNumberFormat="1" applyFont="1" applyBorder="1" applyAlignment="1">
      <alignment horizontal="right"/>
    </xf>
    <xf numFmtId="38" fontId="13" fillId="0" borderId="51" xfId="7" applyNumberFormat="1" applyFont="1" applyBorder="1" applyAlignment="1">
      <alignment horizontal="right"/>
    </xf>
    <xf numFmtId="0" fontId="13" fillId="0" borderId="105" xfId="5" applyFont="1" applyBorder="1" applyAlignment="1">
      <alignment horizontal="center"/>
    </xf>
    <xf numFmtId="0" fontId="13" fillId="0" borderId="51" xfId="5" applyFont="1" applyBorder="1" applyAlignment="1">
      <alignment horizontal="center"/>
    </xf>
    <xf numFmtId="0" fontId="13" fillId="0" borderId="51" xfId="5" applyFont="1" applyBorder="1" applyAlignment="1">
      <alignment horizontal="right"/>
    </xf>
    <xf numFmtId="38" fontId="13" fillId="0" borderId="106" xfId="5" applyNumberFormat="1" applyFont="1" applyBorder="1" applyAlignment="1">
      <alignment horizontal="right"/>
    </xf>
    <xf numFmtId="38" fontId="13" fillId="0" borderId="17" xfId="5" applyNumberFormat="1" applyFont="1" applyBorder="1" applyAlignment="1">
      <alignment horizontal="right"/>
    </xf>
    <xf numFmtId="0" fontId="13" fillId="0" borderId="52" xfId="5" applyFont="1" applyBorder="1" applyAlignment="1">
      <alignment horizontal="center"/>
    </xf>
    <xf numFmtId="0" fontId="12" fillId="0" borderId="25" xfId="5" applyFont="1" applyBorder="1" applyAlignment="1">
      <alignment horizontal="center"/>
    </xf>
    <xf numFmtId="0" fontId="12" fillId="0" borderId="50" xfId="5" applyFont="1" applyBorder="1" applyAlignment="1">
      <alignment horizontal="center"/>
    </xf>
    <xf numFmtId="0" fontId="12" fillId="0" borderId="51" xfId="5" applyFont="1" applyBorder="1" applyAlignment="1">
      <alignment horizontal="center"/>
    </xf>
    <xf numFmtId="0" fontId="12" fillId="0" borderId="106" xfId="5" applyFont="1" applyBorder="1" applyAlignment="1">
      <alignment horizontal="center"/>
    </xf>
    <xf numFmtId="38" fontId="13" fillId="0" borderId="107" xfId="7" applyNumberFormat="1" applyFont="1" applyFill="1" applyBorder="1" applyAlignment="1">
      <alignment horizontal="right"/>
    </xf>
    <xf numFmtId="38" fontId="13" fillId="0" borderId="106" xfId="5" applyNumberFormat="1" applyFont="1" applyBorder="1" applyAlignment="1">
      <alignment horizontal="center"/>
    </xf>
    <xf numFmtId="38" fontId="12" fillId="0" borderId="106" xfId="5" applyNumberFormat="1" applyFont="1" applyBorder="1" applyAlignment="1">
      <alignment horizontal="center"/>
    </xf>
    <xf numFmtId="38" fontId="12" fillId="0" borderId="105" xfId="5" applyNumberFormat="1" applyFont="1" applyBorder="1" applyAlignment="1">
      <alignment horizontal="right"/>
    </xf>
    <xf numFmtId="38" fontId="12" fillId="0" borderId="50" xfId="5" applyNumberFormat="1" applyFont="1" applyBorder="1" applyAlignment="1">
      <alignment horizontal="right"/>
    </xf>
    <xf numFmtId="38" fontId="12" fillId="0" borderId="52" xfId="5" applyNumberFormat="1" applyFont="1" applyBorder="1" applyAlignment="1">
      <alignment horizontal="right"/>
    </xf>
    <xf numFmtId="38" fontId="12" fillId="0" borderId="105" xfId="6" applyNumberFormat="1" applyFont="1" applyBorder="1" applyAlignment="1">
      <alignment horizontal="right"/>
    </xf>
    <xf numFmtId="38" fontId="12" fillId="0" borderId="50" xfId="6" applyNumberFormat="1" applyFont="1" applyBorder="1" applyAlignment="1">
      <alignment horizontal="right"/>
    </xf>
    <xf numFmtId="38" fontId="12" fillId="0" borderId="52" xfId="6" applyNumberFormat="1" applyFont="1" applyBorder="1" applyAlignment="1">
      <alignment horizontal="right"/>
    </xf>
    <xf numFmtId="38" fontId="12" fillId="0" borderId="106" xfId="7" applyNumberFormat="1" applyFont="1" applyBorder="1" applyAlignment="1">
      <alignment horizontal="right"/>
    </xf>
    <xf numFmtId="38" fontId="12" fillId="0" borderId="42" xfId="7" applyNumberFormat="1" applyFont="1" applyFill="1" applyBorder="1" applyAlignment="1">
      <alignment horizontal="right"/>
    </xf>
    <xf numFmtId="0" fontId="12" fillId="0" borderId="50" xfId="5" applyFont="1" applyBorder="1" applyAlignment="1">
      <alignment horizontal="right"/>
    </xf>
    <xf numFmtId="38" fontId="12" fillId="0" borderId="26" xfId="7" applyNumberFormat="1" applyFont="1" applyFill="1" applyBorder="1" applyAlignment="1">
      <alignment horizontal="right"/>
    </xf>
    <xf numFmtId="1" fontId="13" fillId="0" borderId="65" xfId="5" applyNumberFormat="1" applyFont="1" applyBorder="1" applyAlignment="1">
      <alignment horizontal="right"/>
    </xf>
    <xf numFmtId="38" fontId="13" fillId="0" borderId="105" xfId="5" applyNumberFormat="1" applyFont="1" applyBorder="1" applyAlignment="1">
      <alignment horizontal="right"/>
    </xf>
    <xf numFmtId="38" fontId="13" fillId="0" borderId="42" xfId="5" applyNumberFormat="1" applyFont="1" applyBorder="1" applyAlignment="1">
      <alignment horizontal="right"/>
    </xf>
    <xf numFmtId="38" fontId="12" fillId="0" borderId="65" xfId="5" applyNumberFormat="1" applyFont="1" applyBorder="1" applyAlignment="1">
      <alignment horizontal="right"/>
    </xf>
    <xf numFmtId="38" fontId="13" fillId="0" borderId="108" xfId="5" applyNumberFormat="1" applyFont="1" applyBorder="1" applyAlignment="1">
      <alignment horizontal="right"/>
    </xf>
    <xf numFmtId="38" fontId="13" fillId="13" borderId="65" xfId="5" applyNumberFormat="1" applyFont="1" applyFill="1" applyBorder="1" applyAlignment="1">
      <alignment horizontal="right"/>
    </xf>
    <xf numFmtId="38" fontId="13" fillId="0" borderId="107" xfId="5" applyNumberFormat="1" applyFont="1" applyBorder="1" applyAlignment="1">
      <alignment horizontal="right"/>
    </xf>
    <xf numFmtId="38" fontId="13" fillId="0" borderId="99" xfId="5" applyNumberFormat="1" applyFont="1" applyBorder="1" applyAlignment="1">
      <alignment horizontal="right"/>
    </xf>
    <xf numFmtId="38" fontId="12" fillId="0" borderId="17" xfId="7" applyNumberFormat="1" applyFont="1" applyFill="1" applyBorder="1" applyAlignment="1">
      <alignment horizontal="right"/>
    </xf>
    <xf numFmtId="38" fontId="12" fillId="0" borderId="18" xfId="7" applyNumberFormat="1" applyFont="1" applyFill="1" applyBorder="1" applyAlignment="1">
      <alignment horizontal="right"/>
    </xf>
    <xf numFmtId="38" fontId="12" fillId="0" borderId="107" xfId="7" applyNumberFormat="1" applyFont="1" applyFill="1" applyBorder="1" applyAlignment="1">
      <alignment horizontal="right"/>
    </xf>
    <xf numFmtId="38" fontId="13" fillId="0" borderId="107" xfId="5" applyNumberFormat="1" applyFont="1" applyBorder="1" applyAlignment="1">
      <alignment horizontal="center"/>
    </xf>
    <xf numFmtId="38" fontId="12" fillId="0" borderId="106" xfId="6" applyNumberFormat="1" applyFont="1" applyBorder="1" applyAlignment="1">
      <alignment horizontal="center"/>
    </xf>
    <xf numFmtId="38" fontId="13" fillId="0" borderId="50" xfId="5" applyNumberFormat="1" applyFont="1" applyBorder="1" applyAlignment="1">
      <alignment horizontal="right"/>
    </xf>
    <xf numFmtId="38" fontId="13" fillId="0" borderId="50" xfId="10" applyFont="1" applyBorder="1" applyAlignment="1">
      <alignment horizontal="right"/>
    </xf>
    <xf numFmtId="38" fontId="13" fillId="0" borderId="52" xfId="5" applyNumberFormat="1" applyFont="1" applyBorder="1" applyAlignment="1">
      <alignment horizontal="right"/>
    </xf>
    <xf numFmtId="38" fontId="12" fillId="0" borderId="23" xfId="7" applyNumberFormat="1" applyFont="1" applyFill="1" applyBorder="1" applyAlignment="1">
      <alignment horizontal="right"/>
    </xf>
    <xf numFmtId="38" fontId="12" fillId="0" borderId="50" xfId="7" applyNumberFormat="1" applyFont="1" applyFill="1" applyBorder="1" applyAlignment="1">
      <alignment horizontal="right"/>
    </xf>
    <xf numFmtId="38" fontId="12" fillId="0" borderId="25" xfId="7" applyNumberFormat="1" applyFont="1" applyFill="1" applyBorder="1" applyAlignment="1">
      <alignment horizontal="right"/>
    </xf>
    <xf numFmtId="38" fontId="13" fillId="0" borderId="106" xfId="7" applyNumberFormat="1" applyFont="1" applyFill="1" applyBorder="1" applyAlignment="1">
      <alignment horizontal="right"/>
    </xf>
    <xf numFmtId="38" fontId="13" fillId="0" borderId="65" xfId="5" applyNumberFormat="1" applyFont="1" applyBorder="1" applyAlignment="1">
      <alignment horizontal="right"/>
    </xf>
    <xf numFmtId="0" fontId="13" fillId="2" borderId="50" xfId="5" applyFont="1" applyFill="1" applyBorder="1" applyAlignment="1">
      <alignment horizontal="center"/>
    </xf>
    <xf numFmtId="1" fontId="13" fillId="2" borderId="50" xfId="5" applyNumberFormat="1" applyFont="1" applyFill="1" applyBorder="1" applyAlignment="1">
      <alignment horizontal="right"/>
    </xf>
    <xf numFmtId="1" fontId="13" fillId="2" borderId="51" xfId="5" applyNumberFormat="1" applyFont="1" applyFill="1" applyBorder="1" applyAlignment="1">
      <alignment horizontal="right"/>
    </xf>
    <xf numFmtId="38" fontId="13" fillId="2" borderId="105" xfId="5" applyNumberFormat="1" applyFont="1" applyFill="1" applyBorder="1" applyAlignment="1">
      <alignment horizontal="right"/>
    </xf>
    <xf numFmtId="38" fontId="13" fillId="2" borderId="50" xfId="5" applyNumberFormat="1" applyFont="1" applyFill="1" applyBorder="1" applyAlignment="1">
      <alignment horizontal="right"/>
    </xf>
    <xf numFmtId="38" fontId="12" fillId="2" borderId="52" xfId="5" applyNumberFormat="1" applyFont="1" applyFill="1" applyBorder="1" applyAlignment="1">
      <alignment horizontal="right"/>
    </xf>
    <xf numFmtId="38" fontId="13" fillId="2" borderId="108" xfId="5" applyNumberFormat="1" applyFont="1" applyFill="1" applyBorder="1" applyAlignment="1">
      <alignment horizontal="right"/>
    </xf>
    <xf numFmtId="38" fontId="13" fillId="2" borderId="42" xfId="5" applyNumberFormat="1" applyFont="1" applyFill="1" applyBorder="1" applyAlignment="1">
      <alignment horizontal="right"/>
    </xf>
    <xf numFmtId="38" fontId="13" fillId="2" borderId="65" xfId="5" applyNumberFormat="1" applyFont="1" applyFill="1" applyBorder="1" applyAlignment="1">
      <alignment horizontal="right"/>
    </xf>
    <xf numFmtId="170" fontId="13" fillId="2" borderId="107" xfId="5" applyNumberFormat="1" applyFont="1" applyFill="1" applyBorder="1" applyAlignment="1">
      <alignment horizontal="right"/>
    </xf>
    <xf numFmtId="38" fontId="13" fillId="2" borderId="107" xfId="5" applyNumberFormat="1" applyFont="1" applyFill="1" applyBorder="1" applyAlignment="1">
      <alignment horizontal="right"/>
    </xf>
    <xf numFmtId="38" fontId="13" fillId="2" borderId="52" xfId="5" applyNumberFormat="1" applyFont="1" applyFill="1" applyBorder="1" applyAlignment="1">
      <alignment horizontal="right"/>
    </xf>
    <xf numFmtId="38" fontId="12" fillId="2" borderId="23" xfId="7" applyNumberFormat="1" applyFont="1" applyFill="1" applyBorder="1" applyAlignment="1">
      <alignment horizontal="right"/>
    </xf>
    <xf numFmtId="38" fontId="12" fillId="2" borderId="50" xfId="7" applyNumberFormat="1" applyFont="1" applyFill="1" applyBorder="1" applyAlignment="1">
      <alignment horizontal="right"/>
    </xf>
    <xf numFmtId="38" fontId="12" fillId="2" borderId="25" xfId="7" applyNumberFormat="1" applyFont="1" applyFill="1" applyBorder="1" applyAlignment="1">
      <alignment horizontal="right"/>
    </xf>
    <xf numFmtId="38" fontId="12" fillId="2" borderId="26" xfId="7" applyNumberFormat="1" applyFont="1" applyFill="1" applyBorder="1" applyAlignment="1">
      <alignment horizontal="right"/>
    </xf>
    <xf numFmtId="38" fontId="12" fillId="2" borderId="107" xfId="7" applyNumberFormat="1" applyFont="1" applyFill="1" applyBorder="1" applyAlignment="1">
      <alignment horizontal="right"/>
    </xf>
    <xf numFmtId="38" fontId="13" fillId="2" borderId="106" xfId="7" applyNumberFormat="1" applyFont="1" applyFill="1" applyBorder="1" applyAlignment="1">
      <alignment horizontal="right"/>
    </xf>
    <xf numFmtId="38" fontId="13" fillId="2" borderId="106" xfId="5" applyNumberFormat="1" applyFont="1" applyFill="1" applyBorder="1" applyAlignment="1">
      <alignment horizontal="center"/>
    </xf>
    <xf numFmtId="0" fontId="12" fillId="2" borderId="0" xfId="5" applyFont="1" applyFill="1"/>
    <xf numFmtId="38" fontId="12" fillId="2" borderId="106" xfId="6" applyNumberFormat="1" applyFont="1" applyFill="1" applyBorder="1" applyAlignment="1">
      <alignment horizontal="center"/>
    </xf>
    <xf numFmtId="38" fontId="12" fillId="2" borderId="105" xfId="5" applyNumberFormat="1" applyFont="1" applyFill="1" applyBorder="1" applyAlignment="1">
      <alignment horizontal="right"/>
    </xf>
    <xf numFmtId="38" fontId="12" fillId="2" borderId="50" xfId="5" applyNumberFormat="1" applyFont="1" applyFill="1" applyBorder="1" applyAlignment="1">
      <alignment horizontal="right"/>
    </xf>
    <xf numFmtId="38" fontId="12" fillId="2" borderId="105" xfId="6" applyNumberFormat="1" applyFont="1" applyFill="1" applyBorder="1" applyAlignment="1">
      <alignment horizontal="right"/>
    </xf>
    <xf numFmtId="38" fontId="12" fillId="2" borderId="50" xfId="6" applyNumberFormat="1" applyFont="1" applyFill="1" applyBorder="1" applyAlignment="1">
      <alignment horizontal="right"/>
    </xf>
    <xf numFmtId="38" fontId="12" fillId="2" borderId="52" xfId="6" applyNumberFormat="1" applyFont="1" applyFill="1" applyBorder="1" applyAlignment="1">
      <alignment horizontal="right"/>
    </xf>
    <xf numFmtId="38" fontId="12" fillId="2" borderId="106" xfId="7" applyNumberFormat="1" applyFont="1" applyFill="1" applyBorder="1" applyAlignment="1">
      <alignment horizontal="right"/>
    </xf>
    <xf numFmtId="38" fontId="13" fillId="0" borderId="51" xfId="5" applyNumberFormat="1" applyFont="1" applyBorder="1" applyAlignment="1">
      <alignment horizontal="right"/>
    </xf>
    <xf numFmtId="38" fontId="12" fillId="0" borderId="105" xfId="7" applyNumberFormat="1" applyFont="1" applyFill="1" applyBorder="1" applyAlignment="1">
      <alignment horizontal="right"/>
    </xf>
    <xf numFmtId="38" fontId="12" fillId="0" borderId="106" xfId="7" applyNumberFormat="1" applyFont="1" applyFill="1" applyBorder="1" applyAlignment="1">
      <alignment horizontal="right"/>
    </xf>
    <xf numFmtId="38" fontId="13" fillId="0" borderId="109" xfId="5" applyNumberFormat="1" applyFont="1" applyBorder="1" applyAlignment="1">
      <alignment horizontal="right"/>
    </xf>
    <xf numFmtId="38" fontId="13" fillId="0" borderId="110" xfId="5" applyNumberFormat="1" applyFont="1" applyBorder="1" applyAlignment="1">
      <alignment horizontal="right"/>
    </xf>
    <xf numFmtId="38" fontId="12" fillId="0" borderId="111" xfId="5" applyNumberFormat="1" applyFont="1" applyBorder="1" applyAlignment="1">
      <alignment horizontal="right"/>
    </xf>
    <xf numFmtId="38" fontId="13" fillId="0" borderId="60" xfId="5" applyNumberFormat="1" applyFont="1" applyBorder="1" applyAlignment="1">
      <alignment horizontal="right"/>
    </xf>
    <xf numFmtId="38" fontId="13" fillId="0" borderId="61" xfId="5" applyNumberFormat="1" applyFont="1" applyBorder="1" applyAlignment="1">
      <alignment horizontal="right"/>
    </xf>
    <xf numFmtId="38" fontId="12" fillId="0" borderId="112" xfId="5" applyNumberFormat="1" applyFont="1" applyBorder="1" applyAlignment="1">
      <alignment horizontal="right"/>
    </xf>
    <xf numFmtId="38" fontId="13" fillId="0" borderId="98" xfId="5" applyNumberFormat="1" applyFont="1" applyBorder="1" applyAlignment="1">
      <alignment horizontal="right"/>
    </xf>
    <xf numFmtId="38" fontId="13" fillId="0" borderId="113" xfId="5" applyNumberFormat="1" applyFont="1" applyBorder="1" applyAlignment="1">
      <alignment horizontal="right"/>
    </xf>
    <xf numFmtId="38" fontId="13" fillId="0" borderId="111" xfId="5" applyNumberFormat="1" applyFont="1" applyBorder="1" applyAlignment="1">
      <alignment horizontal="right"/>
    </xf>
    <xf numFmtId="38" fontId="12" fillId="0" borderId="114" xfId="7" applyNumberFormat="1" applyFont="1" applyFill="1" applyBorder="1" applyAlignment="1">
      <alignment horizontal="right"/>
    </xf>
    <xf numFmtId="38" fontId="12" fillId="0" borderId="113" xfId="7" applyNumberFormat="1" applyFont="1" applyFill="1" applyBorder="1" applyAlignment="1">
      <alignment horizontal="right"/>
    </xf>
    <xf numFmtId="38" fontId="12" fillId="0" borderId="68" xfId="7" applyNumberFormat="1" applyFont="1" applyFill="1" applyBorder="1" applyAlignment="1">
      <alignment horizontal="right"/>
    </xf>
    <xf numFmtId="38" fontId="12" fillId="0" borderId="69" xfId="7" applyNumberFormat="1" applyFont="1" applyFill="1" applyBorder="1" applyAlignment="1">
      <alignment horizontal="right"/>
    </xf>
    <xf numFmtId="38" fontId="12" fillId="0" borderId="115" xfId="7" applyNumberFormat="1" applyFont="1" applyFill="1" applyBorder="1" applyAlignment="1">
      <alignment horizontal="right"/>
    </xf>
    <xf numFmtId="38" fontId="13" fillId="0" borderId="115" xfId="7" applyNumberFormat="1" applyFont="1" applyFill="1" applyBorder="1" applyAlignment="1">
      <alignment horizontal="right"/>
    </xf>
    <xf numFmtId="38" fontId="12" fillId="0" borderId="116" xfId="6" applyNumberFormat="1" applyFont="1" applyBorder="1" applyAlignment="1">
      <alignment horizontal="center"/>
    </xf>
    <xf numFmtId="38" fontId="12" fillId="0" borderId="109" xfId="5" applyNumberFormat="1" applyFont="1" applyBorder="1" applyAlignment="1">
      <alignment horizontal="right"/>
    </xf>
    <xf numFmtId="38" fontId="12" fillId="0" borderId="110" xfId="5" applyNumberFormat="1" applyFont="1" applyBorder="1" applyAlignment="1">
      <alignment horizontal="right"/>
    </xf>
    <xf numFmtId="38" fontId="12" fillId="0" borderId="117" xfId="5" applyNumberFormat="1" applyFont="1" applyBorder="1" applyAlignment="1">
      <alignment horizontal="right"/>
    </xf>
    <xf numFmtId="38" fontId="12" fillId="0" borderId="109" xfId="6" applyNumberFormat="1" applyFont="1" applyBorder="1" applyAlignment="1">
      <alignment horizontal="right"/>
    </xf>
    <xf numFmtId="38" fontId="12" fillId="0" borderId="110" xfId="6" applyNumberFormat="1" applyFont="1" applyBorder="1" applyAlignment="1">
      <alignment horizontal="right"/>
    </xf>
    <xf numFmtId="38" fontId="12" fillId="0" borderId="117" xfId="6" applyNumberFormat="1" applyFont="1" applyBorder="1" applyAlignment="1">
      <alignment horizontal="right"/>
    </xf>
    <xf numFmtId="38" fontId="12" fillId="0" borderId="116" xfId="7" applyNumberFormat="1" applyFont="1" applyBorder="1" applyAlignment="1">
      <alignment horizontal="right"/>
    </xf>
    <xf numFmtId="38" fontId="17" fillId="0" borderId="118" xfId="5" applyNumberFormat="1" applyFont="1" applyBorder="1" applyAlignment="1">
      <alignment horizontal="right" vertical="center"/>
    </xf>
    <xf numFmtId="38" fontId="17" fillId="0" borderId="119" xfId="5" applyNumberFormat="1" applyFont="1" applyBorder="1" applyAlignment="1">
      <alignment horizontal="right" vertical="center"/>
    </xf>
    <xf numFmtId="38" fontId="17" fillId="2" borderId="119" xfId="5" applyNumberFormat="1" applyFont="1" applyFill="1" applyBorder="1" applyAlignment="1">
      <alignment horizontal="right" vertical="center"/>
    </xf>
    <xf numFmtId="38" fontId="17" fillId="13" borderId="119" xfId="5" applyNumberFormat="1" applyFont="1" applyFill="1" applyBorder="1" applyAlignment="1">
      <alignment horizontal="right" vertical="center"/>
    </xf>
    <xf numFmtId="37" fontId="23" fillId="9" borderId="120" xfId="5" applyNumberFormat="1" applyFont="1" applyFill="1" applyBorder="1" applyAlignment="1">
      <alignment vertical="center"/>
    </xf>
    <xf numFmtId="38" fontId="17" fillId="0" borderId="118" xfId="5" applyNumberFormat="1" applyFont="1" applyBorder="1" applyAlignment="1">
      <alignment vertical="center"/>
    </xf>
    <xf numFmtId="38" fontId="17" fillId="0" borderId="119" xfId="5" applyNumberFormat="1" applyFont="1" applyBorder="1" applyAlignment="1">
      <alignment vertical="center"/>
    </xf>
    <xf numFmtId="38" fontId="17" fillId="0" borderId="77" xfId="5" applyNumberFormat="1" applyFont="1" applyBorder="1" applyAlignment="1">
      <alignment vertical="center"/>
    </xf>
    <xf numFmtId="38" fontId="23" fillId="10" borderId="121" xfId="5" applyNumberFormat="1" applyFont="1" applyFill="1" applyBorder="1" applyAlignment="1">
      <alignment vertical="center"/>
    </xf>
    <xf numFmtId="37" fontId="23" fillId="11" borderId="122" xfId="5" applyNumberFormat="1" applyFont="1" applyFill="1" applyBorder="1" applyAlignment="1">
      <alignment vertical="center"/>
    </xf>
    <xf numFmtId="37" fontId="17" fillId="12" borderId="122" xfId="5" applyNumberFormat="1" applyFont="1" applyFill="1" applyBorder="1" applyAlignment="1">
      <alignment vertical="center"/>
    </xf>
    <xf numFmtId="38" fontId="18" fillId="14" borderId="118" xfId="5" applyNumberFormat="1" applyFont="1" applyFill="1" applyBorder="1" applyAlignment="1">
      <alignment horizontal="right" vertical="center"/>
    </xf>
    <xf numFmtId="38" fontId="18" fillId="14" borderId="119" xfId="5" applyNumberFormat="1" applyFont="1" applyFill="1" applyBorder="1" applyAlignment="1">
      <alignment horizontal="right" vertical="center"/>
    </xf>
    <xf numFmtId="38" fontId="18" fillId="14" borderId="120" xfId="5" applyNumberFormat="1" applyFont="1" applyFill="1" applyBorder="1" applyAlignment="1">
      <alignment horizontal="right" vertical="center"/>
    </xf>
    <xf numFmtId="38" fontId="18" fillId="0" borderId="118" xfId="5" applyNumberFormat="1" applyFont="1" applyBorder="1" applyAlignment="1">
      <alignment horizontal="right" vertical="center"/>
    </xf>
    <xf numFmtId="38" fontId="18" fillId="0" borderId="119" xfId="5" applyNumberFormat="1" applyFont="1" applyBorder="1" applyAlignment="1">
      <alignment horizontal="right" vertical="center"/>
    </xf>
    <xf numFmtId="38" fontId="18" fillId="15" borderId="119" xfId="5" applyNumberFormat="1" applyFont="1" applyFill="1" applyBorder="1" applyAlignment="1">
      <alignment horizontal="right" vertical="center"/>
    </xf>
    <xf numFmtId="38" fontId="18" fillId="0" borderId="120" xfId="5" applyNumberFormat="1" applyFont="1" applyBorder="1" applyAlignment="1">
      <alignment horizontal="right" vertical="center"/>
    </xf>
    <xf numFmtId="38" fontId="18" fillId="16" borderId="123" xfId="5" applyNumberFormat="1" applyFont="1" applyFill="1" applyBorder="1" applyAlignment="1">
      <alignment horizontal="right" vertical="center"/>
    </xf>
    <xf numFmtId="38" fontId="23" fillId="11" borderId="123" xfId="5" applyNumberFormat="1" applyFont="1" applyFill="1" applyBorder="1" applyAlignment="1">
      <alignment horizontal="right" vertical="center"/>
    </xf>
    <xf numFmtId="38" fontId="23" fillId="17" borderId="123" xfId="5" applyNumberFormat="1" applyFont="1" applyFill="1" applyBorder="1" applyAlignment="1">
      <alignment horizontal="right" vertical="center"/>
    </xf>
    <xf numFmtId="38" fontId="17" fillId="0" borderId="123" xfId="5" applyNumberFormat="1" applyFont="1" applyBorder="1" applyAlignment="1">
      <alignment vertical="center"/>
    </xf>
    <xf numFmtId="0" fontId="18" fillId="0" borderId="0" xfId="5" applyFont="1" applyAlignment="1">
      <alignment vertical="center"/>
    </xf>
    <xf numFmtId="38" fontId="18" fillId="0" borderId="122" xfId="5" applyNumberFormat="1" applyFont="1" applyBorder="1" applyAlignment="1">
      <alignment horizontal="center" vertical="center"/>
    </xf>
    <xf numFmtId="38" fontId="18" fillId="0" borderId="118" xfId="6" applyNumberFormat="1" applyFont="1" applyBorder="1" applyAlignment="1">
      <alignment vertical="center"/>
    </xf>
    <xf numFmtId="38" fontId="18" fillId="0" borderId="119" xfId="6" applyNumberFormat="1" applyFont="1" applyBorder="1" applyAlignment="1">
      <alignment vertical="center"/>
    </xf>
    <xf numFmtId="38" fontId="18" fillId="0" borderId="120" xfId="6" applyNumberFormat="1" applyFont="1" applyBorder="1" applyAlignment="1">
      <alignment vertical="center"/>
    </xf>
    <xf numFmtId="38" fontId="18" fillId="0" borderId="122" xfId="6" applyNumberFormat="1" applyFont="1" applyBorder="1" applyAlignment="1">
      <alignment vertical="center"/>
    </xf>
    <xf numFmtId="0" fontId="17" fillId="0" borderId="0" xfId="5" applyFont="1" applyAlignment="1">
      <alignment horizontal="center" vertical="center"/>
    </xf>
    <xf numFmtId="1" fontId="17" fillId="0" borderId="0" xfId="5" applyNumberFormat="1" applyFont="1" applyAlignment="1">
      <alignment horizontal="center" vertical="center"/>
    </xf>
    <xf numFmtId="38" fontId="17" fillId="0" borderId="0" xfId="5" applyNumberFormat="1" applyFont="1" applyAlignment="1">
      <alignment horizontal="center" vertical="center"/>
    </xf>
    <xf numFmtId="38" fontId="18" fillId="0" borderId="0" xfId="5" applyNumberFormat="1" applyFont="1" applyAlignment="1">
      <alignment horizontal="right" vertical="center"/>
    </xf>
    <xf numFmtId="38" fontId="17" fillId="0" borderId="0" xfId="7" applyNumberFormat="1" applyFont="1" applyBorder="1" applyAlignment="1">
      <alignment horizontal="center" vertical="center"/>
    </xf>
    <xf numFmtId="0" fontId="18" fillId="0" borderId="0" xfId="5" applyFont="1" applyAlignment="1">
      <alignment horizontal="center" vertical="center"/>
    </xf>
    <xf numFmtId="38" fontId="18" fillId="0" borderId="0" xfId="5" applyNumberFormat="1" applyFont="1" applyAlignment="1">
      <alignment horizontal="center" vertical="center"/>
    </xf>
    <xf numFmtId="38" fontId="18" fillId="0" borderId="0" xfId="6" applyNumberFormat="1" applyFont="1" applyBorder="1" applyAlignment="1">
      <alignment horizontal="center" vertical="center"/>
    </xf>
    <xf numFmtId="38" fontId="18" fillId="0" borderId="0" xfId="7" applyNumberFormat="1" applyFont="1" applyAlignment="1">
      <alignment horizontal="center" vertical="center"/>
    </xf>
    <xf numFmtId="0" fontId="27" fillId="0" borderId="0" xfId="5" applyFont="1" applyAlignment="1">
      <alignment vertical="center"/>
    </xf>
    <xf numFmtId="1" fontId="13" fillId="0" borderId="0" xfId="5" applyNumberFormat="1" applyFont="1" applyAlignment="1">
      <alignment horizontal="center" vertical="center"/>
    </xf>
    <xf numFmtId="38" fontId="13" fillId="0" borderId="0" xfId="5" applyNumberFormat="1" applyFont="1" applyAlignment="1">
      <alignment vertical="center"/>
    </xf>
    <xf numFmtId="38" fontId="13" fillId="0" borderId="0" xfId="5" applyNumberFormat="1" applyFont="1"/>
    <xf numFmtId="38" fontId="12" fillId="0" borderId="0" xfId="6" applyNumberFormat="1" applyFont="1" applyBorder="1"/>
    <xf numFmtId="38" fontId="13" fillId="0" borderId="0" xfId="5" applyNumberFormat="1" applyFont="1" applyAlignment="1">
      <alignment horizontal="center" vertical="center"/>
    </xf>
    <xf numFmtId="38" fontId="12" fillId="0" borderId="0" xfId="7" applyNumberFormat="1" applyFont="1" applyFill="1" applyBorder="1" applyAlignment="1">
      <alignment horizontal="center"/>
    </xf>
    <xf numFmtId="38" fontId="13" fillId="0" borderId="0" xfId="5" applyNumberFormat="1" applyFont="1" applyAlignment="1">
      <alignment horizontal="center"/>
    </xf>
    <xf numFmtId="0" fontId="13" fillId="0" borderId="60" xfId="5" applyFont="1" applyBorder="1" applyAlignment="1">
      <alignment horizontal="right" vertical="center"/>
    </xf>
    <xf numFmtId="1" fontId="13" fillId="0" borderId="0" xfId="5" applyNumberFormat="1" applyFont="1" applyAlignment="1">
      <alignment horizontal="left" vertical="center"/>
    </xf>
    <xf numFmtId="38" fontId="13" fillId="0" borderId="59" xfId="5" applyNumberFormat="1" applyFont="1" applyBorder="1" applyAlignment="1">
      <alignment vertical="center"/>
    </xf>
    <xf numFmtId="38" fontId="13" fillId="0" borderId="60" xfId="5" applyNumberFormat="1" applyFont="1" applyBorder="1" applyAlignment="1">
      <alignment vertical="center"/>
    </xf>
    <xf numFmtId="38" fontId="13" fillId="18" borderId="60" xfId="5" applyNumberFormat="1" applyFont="1" applyFill="1" applyBorder="1" applyAlignment="1">
      <alignment vertical="center"/>
    </xf>
    <xf numFmtId="0" fontId="13" fillId="0" borderId="60" xfId="5" applyFont="1" applyBorder="1" applyAlignment="1">
      <alignment vertical="center"/>
    </xf>
    <xf numFmtId="38" fontId="13" fillId="2" borderId="60" xfId="5" applyNumberFormat="1" applyFont="1" applyFill="1" applyBorder="1" applyAlignment="1">
      <alignment vertical="center"/>
    </xf>
    <xf numFmtId="0" fontId="12" fillId="0" borderId="35" xfId="5" applyFont="1" applyBorder="1" applyAlignment="1">
      <alignment vertical="center"/>
    </xf>
    <xf numFmtId="0" fontId="12" fillId="0" borderId="60" xfId="5" applyFont="1" applyBorder="1" applyAlignment="1">
      <alignment vertical="center"/>
    </xf>
    <xf numFmtId="0" fontId="12" fillId="0" borderId="61" xfId="5" applyFont="1" applyBorder="1" applyAlignment="1">
      <alignment vertical="center"/>
    </xf>
    <xf numFmtId="38" fontId="12" fillId="0" borderId="59" xfId="5" applyNumberFormat="1" applyFont="1" applyBorder="1" applyAlignment="1">
      <alignment vertical="center"/>
    </xf>
    <xf numFmtId="38" fontId="12" fillId="2" borderId="59" xfId="5" applyNumberFormat="1" applyFont="1" applyFill="1" applyBorder="1" applyAlignment="1">
      <alignment vertical="center"/>
    </xf>
    <xf numFmtId="0" fontId="12" fillId="0" borderId="59" xfId="5" applyFont="1" applyBorder="1" applyAlignment="1">
      <alignment vertical="center"/>
    </xf>
    <xf numFmtId="0" fontId="28" fillId="0" borderId="61" xfId="5" applyFont="1" applyBorder="1" applyAlignment="1">
      <alignment vertical="center"/>
    </xf>
    <xf numFmtId="0" fontId="29" fillId="0" borderId="0" xfId="5" applyFont="1" applyAlignment="1">
      <alignment vertical="center"/>
    </xf>
    <xf numFmtId="0" fontId="29" fillId="0" borderId="59" xfId="5" applyFont="1" applyBorder="1" applyAlignment="1">
      <alignment vertical="center"/>
    </xf>
    <xf numFmtId="38" fontId="29" fillId="0" borderId="59" xfId="5" applyNumberFormat="1" applyFont="1" applyBorder="1" applyAlignment="1">
      <alignment vertical="center"/>
    </xf>
    <xf numFmtId="0" fontId="30" fillId="0" borderId="61" xfId="5" applyFont="1" applyBorder="1" applyAlignment="1">
      <alignment vertical="center"/>
    </xf>
    <xf numFmtId="38" fontId="30" fillId="0" borderId="59" xfId="5" applyNumberFormat="1" applyFont="1" applyBorder="1" applyAlignment="1">
      <alignment vertical="center"/>
    </xf>
    <xf numFmtId="38" fontId="12" fillId="18" borderId="59" xfId="5" applyNumberFormat="1" applyFont="1" applyFill="1" applyBorder="1" applyAlignment="1">
      <alignment vertical="center"/>
    </xf>
    <xf numFmtId="169" fontId="16" fillId="0" borderId="69" xfId="5" applyNumberFormat="1" applyFont="1" applyBorder="1"/>
    <xf numFmtId="0" fontId="57" fillId="42" borderId="0" xfId="68" applyFont="1" applyFill="1" applyAlignment="1">
      <alignment vertical="center"/>
    </xf>
    <xf numFmtId="0" fontId="58" fillId="0" borderId="0" xfId="68" applyFont="1" applyAlignment="1">
      <alignment vertical="center"/>
    </xf>
    <xf numFmtId="0" fontId="59" fillId="43" borderId="133" xfId="68" applyFont="1" applyFill="1" applyBorder="1" applyAlignment="1">
      <alignment vertical="center"/>
    </xf>
    <xf numFmtId="0" fontId="59" fillId="43" borderId="134" xfId="68" applyFont="1" applyFill="1" applyBorder="1" applyAlignment="1">
      <alignment vertical="center"/>
    </xf>
    <xf numFmtId="0" fontId="59" fillId="43" borderId="135" xfId="68" applyFont="1" applyFill="1" applyBorder="1" applyAlignment="1">
      <alignment vertical="center"/>
    </xf>
    <xf numFmtId="0" fontId="60" fillId="44" borderId="136" xfId="68" applyFont="1" applyFill="1" applyBorder="1" applyAlignment="1">
      <alignment horizontal="center" vertical="center"/>
    </xf>
    <xf numFmtId="0" fontId="57" fillId="42" borderId="0" xfId="68" applyFont="1" applyFill="1" applyAlignment="1">
      <alignment horizontal="center" vertical="center"/>
    </xf>
    <xf numFmtId="0" fontId="61" fillId="0" borderId="0" xfId="68" applyFont="1" applyAlignment="1">
      <alignment vertical="center"/>
    </xf>
    <xf numFmtId="0" fontId="60" fillId="44" borderId="136" xfId="68" applyFont="1" applyFill="1" applyBorder="1" applyAlignment="1" applyProtection="1">
      <alignment horizontal="center" vertical="center"/>
      <protection locked="0"/>
    </xf>
    <xf numFmtId="169" fontId="60" fillId="44" borderId="136" xfId="68" applyNumberFormat="1" applyFont="1" applyFill="1" applyBorder="1" applyAlignment="1" applyProtection="1">
      <alignment horizontal="center" vertical="center"/>
      <protection locked="0"/>
    </xf>
    <xf numFmtId="9" fontId="60" fillId="44" borderId="136" xfId="68" applyNumberFormat="1" applyFont="1" applyFill="1" applyBorder="1" applyAlignment="1" applyProtection="1">
      <alignment horizontal="center" vertical="center"/>
      <protection locked="0"/>
    </xf>
    <xf numFmtId="169" fontId="60" fillId="44" borderId="136" xfId="68" applyNumberFormat="1" applyFont="1" applyFill="1" applyBorder="1" applyAlignment="1">
      <alignment horizontal="center" vertical="center"/>
    </xf>
    <xf numFmtId="0" fontId="62" fillId="0" borderId="0" xfId="68" applyFont="1" applyAlignment="1">
      <alignment vertical="center"/>
    </xf>
    <xf numFmtId="10" fontId="57" fillId="42" borderId="0" xfId="68" applyNumberFormat="1" applyFont="1" applyFill="1" applyAlignment="1">
      <alignment horizontal="center" vertical="center"/>
    </xf>
    <xf numFmtId="9" fontId="57" fillId="42" borderId="0" xfId="68" applyNumberFormat="1" applyFont="1" applyFill="1" applyAlignment="1">
      <alignment horizontal="center" vertical="center"/>
    </xf>
    <xf numFmtId="0" fontId="63" fillId="45" borderId="137" xfId="68" applyFont="1" applyFill="1" applyBorder="1" applyAlignment="1">
      <alignment vertical="center"/>
    </xf>
    <xf numFmtId="0" fontId="63" fillId="45" borderId="138" xfId="68" applyFont="1" applyFill="1" applyBorder="1" applyAlignment="1">
      <alignment vertical="center"/>
    </xf>
    <xf numFmtId="0" fontId="63" fillId="45" borderId="139" xfId="68" applyFont="1" applyFill="1" applyBorder="1" applyAlignment="1">
      <alignment vertical="center"/>
    </xf>
    <xf numFmtId="0" fontId="64" fillId="0" borderId="0" xfId="68" applyFont="1" applyAlignment="1">
      <alignment vertical="center"/>
    </xf>
    <xf numFmtId="0" fontId="60" fillId="46" borderId="140" xfId="68" applyFont="1" applyFill="1" applyBorder="1" applyAlignment="1">
      <alignment horizontal="center" vertical="center"/>
    </xf>
    <xf numFmtId="0" fontId="60" fillId="46" borderId="140" xfId="68" applyFont="1" applyFill="1" applyBorder="1" applyAlignment="1" applyProtection="1">
      <alignment horizontal="center" vertical="center"/>
      <protection locked="0"/>
    </xf>
    <xf numFmtId="169" fontId="60" fillId="46" borderId="140" xfId="68" applyNumberFormat="1" applyFont="1" applyFill="1" applyBorder="1" applyAlignment="1" applyProtection="1">
      <alignment horizontal="center" vertical="center"/>
      <protection locked="0"/>
    </xf>
    <xf numFmtId="9" fontId="60" fillId="46" borderId="140" xfId="68" applyNumberFormat="1" applyFont="1" applyFill="1" applyBorder="1" applyAlignment="1" applyProtection="1">
      <alignment horizontal="center" vertical="center"/>
      <protection locked="0"/>
    </xf>
    <xf numFmtId="169" fontId="60" fillId="46" borderId="140" xfId="69" applyNumberFormat="1" applyFont="1" applyFill="1" applyBorder="1" applyAlignment="1">
      <alignment horizontal="center" vertical="center"/>
    </xf>
    <xf numFmtId="172" fontId="12" fillId="0" borderId="0" xfId="5" applyNumberFormat="1" applyFont="1" applyAlignment="1">
      <alignment vertical="center"/>
    </xf>
    <xf numFmtId="0" fontId="65" fillId="0" borderId="0" xfId="0" applyFont="1" applyProtection="1">
      <protection locked="0"/>
    </xf>
    <xf numFmtId="41" fontId="65" fillId="46" borderId="35" xfId="0" applyNumberFormat="1" applyFont="1" applyFill="1" applyBorder="1"/>
    <xf numFmtId="41" fontId="65" fillId="46" borderId="36" xfId="0" applyNumberFormat="1" applyFont="1" applyFill="1" applyBorder="1"/>
    <xf numFmtId="171" fontId="65" fillId="48" borderId="36" xfId="1" applyNumberFormat="1" applyFont="1" applyFill="1" applyBorder="1" applyAlignment="1" applyProtection="1">
      <alignment horizontal="right"/>
    </xf>
    <xf numFmtId="41" fontId="65" fillId="0" borderId="36" xfId="0" applyNumberFormat="1" applyFont="1" applyBorder="1" applyAlignment="1" applyProtection="1">
      <alignment horizontal="right"/>
      <protection locked="0"/>
    </xf>
    <xf numFmtId="10" fontId="65" fillId="0" borderId="36" xfId="0" applyNumberFormat="1" applyFont="1" applyBorder="1" applyAlignment="1" applyProtection="1">
      <alignment horizontal="right"/>
      <protection locked="0"/>
    </xf>
    <xf numFmtId="10" fontId="65" fillId="48" borderId="36" xfId="0" applyNumberFormat="1" applyFont="1" applyFill="1" applyBorder="1" applyAlignment="1">
      <alignment horizontal="right"/>
    </xf>
    <xf numFmtId="169" fontId="65" fillId="0" borderId="36" xfId="0" applyNumberFormat="1" applyFont="1" applyBorder="1" applyAlignment="1" applyProtection="1">
      <alignment horizontal="right"/>
      <protection locked="0"/>
    </xf>
    <xf numFmtId="3" fontId="65" fillId="48" borderId="36" xfId="0" applyNumberFormat="1" applyFont="1" applyFill="1" applyBorder="1" applyAlignment="1">
      <alignment horizontal="right"/>
    </xf>
    <xf numFmtId="4" fontId="65" fillId="0" borderId="36" xfId="0" applyNumberFormat="1" applyFont="1" applyBorder="1" applyAlignment="1" applyProtection="1">
      <alignment horizontal="right"/>
      <protection locked="0"/>
    </xf>
    <xf numFmtId="3" fontId="65" fillId="0" borderId="0" xfId="0" applyNumberFormat="1" applyFont="1" applyProtection="1">
      <protection locked="0"/>
    </xf>
    <xf numFmtId="41" fontId="65" fillId="48" borderId="36" xfId="0" applyNumberFormat="1" applyFont="1" applyFill="1" applyBorder="1" applyAlignment="1">
      <alignment horizontal="right"/>
    </xf>
    <xf numFmtId="41" fontId="65" fillId="46" borderId="36" xfId="0" applyNumberFormat="1" applyFont="1" applyFill="1" applyBorder="1" applyAlignment="1">
      <alignment wrapText="1"/>
    </xf>
    <xf numFmtId="41" fontId="65" fillId="46" borderId="36" xfId="0" applyNumberFormat="1" applyFont="1" applyFill="1" applyBorder="1" applyAlignment="1">
      <alignment horizontal="left"/>
    </xf>
    <xf numFmtId="173" fontId="65" fillId="0" borderId="36" xfId="0" applyNumberFormat="1" applyFont="1" applyBorder="1" applyAlignment="1" applyProtection="1">
      <alignment horizontal="right"/>
      <protection locked="0"/>
    </xf>
    <xf numFmtId="0" fontId="65" fillId="49" borderId="0" xfId="0" applyFont="1" applyFill="1" applyProtection="1">
      <protection locked="0"/>
    </xf>
    <xf numFmtId="0" fontId="66" fillId="49" borderId="0" xfId="0" applyFont="1" applyFill="1" applyAlignment="1" applyProtection="1">
      <alignment horizontal="center"/>
      <protection locked="0"/>
    </xf>
    <xf numFmtId="0" fontId="65" fillId="49" borderId="0" xfId="0" applyFont="1" applyFill="1" applyAlignment="1" applyProtection="1">
      <alignment horizontal="right"/>
      <protection locked="0"/>
    </xf>
    <xf numFmtId="0" fontId="65" fillId="0" borderId="0" xfId="0" applyFont="1" applyAlignment="1">
      <alignment horizontal="center"/>
    </xf>
    <xf numFmtId="0" fontId="65" fillId="0" borderId="0" xfId="0" applyFont="1" applyAlignment="1" applyProtection="1">
      <alignment horizontal="center"/>
      <protection locked="0"/>
    </xf>
    <xf numFmtId="173" fontId="65" fillId="0" borderId="0" xfId="0" applyNumberFormat="1" applyFont="1"/>
    <xf numFmtId="38" fontId="65" fillId="0" borderId="0" xfId="0" applyNumberFormat="1" applyFont="1"/>
    <xf numFmtId="41" fontId="65" fillId="0" borderId="0" xfId="0" applyNumberFormat="1" applyFont="1"/>
    <xf numFmtId="0" fontId="65" fillId="4" borderId="0" xfId="0" applyFont="1" applyFill="1" applyAlignment="1">
      <alignment horizontal="center"/>
    </xf>
    <xf numFmtId="173" fontId="65" fillId="4" borderId="0" xfId="0" applyNumberFormat="1" applyFont="1" applyFill="1" applyAlignment="1">
      <alignment horizontal="center"/>
    </xf>
    <xf numFmtId="41" fontId="65" fillId="4" borderId="0" xfId="0" applyNumberFormat="1" applyFont="1" applyFill="1"/>
    <xf numFmtId="169" fontId="65" fillId="4" borderId="0" xfId="0" applyNumberFormat="1" applyFont="1" applyFill="1" applyAlignment="1">
      <alignment horizontal="center"/>
    </xf>
    <xf numFmtId="41" fontId="65" fillId="4" borderId="0" xfId="0" applyNumberFormat="1" applyFont="1" applyFill="1" applyAlignment="1">
      <alignment horizontal="left"/>
    </xf>
    <xf numFmtId="0" fontId="65" fillId="4" borderId="0" xfId="0" applyFont="1" applyFill="1" applyProtection="1">
      <protection locked="0"/>
    </xf>
    <xf numFmtId="0" fontId="65" fillId="50" borderId="0" xfId="0" applyFont="1" applyFill="1" applyAlignment="1">
      <alignment horizontal="center"/>
    </xf>
    <xf numFmtId="173" fontId="65" fillId="50" borderId="0" xfId="0" applyNumberFormat="1" applyFont="1" applyFill="1" applyAlignment="1">
      <alignment horizontal="center"/>
    </xf>
    <xf numFmtId="41" fontId="65" fillId="50" borderId="0" xfId="0" applyNumberFormat="1" applyFont="1" applyFill="1"/>
    <xf numFmtId="169" fontId="65" fillId="50" borderId="0" xfId="0" applyNumberFormat="1" applyFont="1" applyFill="1" applyAlignment="1">
      <alignment horizontal="center"/>
    </xf>
    <xf numFmtId="0" fontId="65" fillId="50" borderId="0" xfId="0" applyFont="1" applyFill="1" applyProtection="1">
      <protection locked="0"/>
    </xf>
    <xf numFmtId="0" fontId="65" fillId="51" borderId="0" xfId="0" applyFont="1" applyFill="1" applyAlignment="1">
      <alignment horizontal="center"/>
    </xf>
    <xf numFmtId="173" fontId="65" fillId="51" borderId="0" xfId="0" applyNumberFormat="1" applyFont="1" applyFill="1" applyAlignment="1">
      <alignment horizontal="center"/>
    </xf>
    <xf numFmtId="41" fontId="65" fillId="51" borderId="0" xfId="0" applyNumberFormat="1" applyFont="1" applyFill="1"/>
    <xf numFmtId="169" fontId="65" fillId="51" borderId="0" xfId="0" applyNumberFormat="1" applyFont="1" applyFill="1" applyAlignment="1">
      <alignment horizontal="center"/>
    </xf>
    <xf numFmtId="0" fontId="65" fillId="51" borderId="0" xfId="0" applyFont="1" applyFill="1" applyProtection="1">
      <protection locked="0"/>
    </xf>
    <xf numFmtId="173" fontId="65" fillId="0" borderId="0" xfId="0" applyNumberFormat="1" applyFont="1" applyAlignment="1">
      <alignment horizontal="center"/>
    </xf>
    <xf numFmtId="169" fontId="65" fillId="0" borderId="0" xfId="0" applyNumberFormat="1" applyFont="1" applyAlignment="1">
      <alignment horizontal="center"/>
    </xf>
    <xf numFmtId="41" fontId="65" fillId="49" borderId="0" xfId="0" quotePrefix="1" applyNumberFormat="1" applyFont="1" applyFill="1"/>
    <xf numFmtId="41" fontId="65" fillId="49" borderId="0" xfId="0" quotePrefix="1" applyNumberFormat="1" applyFont="1" applyFill="1" applyAlignment="1">
      <alignment horizontal="right"/>
    </xf>
    <xf numFmtId="41" fontId="65" fillId="49" borderId="141" xfId="0" applyNumberFormat="1" applyFont="1" applyFill="1" applyBorder="1" applyAlignment="1">
      <alignment horizontal="center"/>
    </xf>
    <xf numFmtId="41" fontId="65" fillId="49" borderId="141" xfId="0" applyNumberFormat="1" applyFont="1" applyFill="1" applyBorder="1" applyAlignment="1">
      <alignment horizontal="right"/>
    </xf>
    <xf numFmtId="0" fontId="65" fillId="0" borderId="0" xfId="0" applyFont="1" applyAlignment="1" applyProtection="1">
      <alignment horizontal="right"/>
      <protection locked="0"/>
    </xf>
    <xf numFmtId="171" fontId="65" fillId="0" borderId="0" xfId="1" applyNumberFormat="1" applyFont="1" applyProtection="1">
      <protection locked="0"/>
    </xf>
    <xf numFmtId="0" fontId="67" fillId="0" borderId="0" xfId="0" applyFont="1" applyProtection="1">
      <protection locked="0"/>
    </xf>
    <xf numFmtId="0" fontId="67" fillId="0" borderId="0" xfId="0" applyFont="1" applyAlignment="1" applyProtection="1">
      <alignment horizontal="right"/>
      <protection locked="0"/>
    </xf>
    <xf numFmtId="171" fontId="67" fillId="0" borderId="0" xfId="1" applyNumberFormat="1" applyFont="1" applyProtection="1">
      <protection locked="0"/>
    </xf>
    <xf numFmtId="43" fontId="65" fillId="0" borderId="0" xfId="0" applyNumberFormat="1" applyFont="1" applyProtection="1">
      <protection locked="0"/>
    </xf>
    <xf numFmtId="171" fontId="68" fillId="0" borderId="0" xfId="1" applyNumberFormat="1" applyFont="1" applyProtection="1">
      <protection locked="0"/>
    </xf>
    <xf numFmtId="0" fontId="70" fillId="0" borderId="0" xfId="5" applyFont="1" applyAlignment="1">
      <alignment vertical="center"/>
    </xf>
    <xf numFmtId="3" fontId="70" fillId="0" borderId="0" xfId="5" applyNumberFormat="1" applyFont="1" applyAlignment="1">
      <alignment vertical="center"/>
    </xf>
    <xf numFmtId="38" fontId="70" fillId="0" borderId="0" xfId="5" applyNumberFormat="1" applyFont="1" applyAlignment="1">
      <alignment vertical="center"/>
    </xf>
    <xf numFmtId="38" fontId="70" fillId="0" borderId="0" xfId="5" applyNumberFormat="1" applyFont="1" applyAlignment="1">
      <alignment horizontal="center" vertical="center"/>
    </xf>
    <xf numFmtId="38" fontId="70" fillId="0" borderId="0" xfId="6" applyNumberFormat="1" applyFont="1" applyAlignment="1">
      <alignment vertical="center"/>
    </xf>
    <xf numFmtId="38" fontId="70" fillId="0" borderId="0" xfId="7" applyNumberFormat="1" applyFont="1" applyAlignment="1">
      <alignment vertical="center"/>
    </xf>
    <xf numFmtId="38" fontId="70" fillId="2" borderId="0" xfId="7" applyNumberFormat="1" applyFont="1" applyFill="1" applyAlignment="1">
      <alignment vertical="center"/>
    </xf>
    <xf numFmtId="0" fontId="71" fillId="0" borderId="0" xfId="5" applyFont="1" applyAlignment="1">
      <alignment vertical="center"/>
    </xf>
    <xf numFmtId="0" fontId="71" fillId="0" borderId="0" xfId="5" quotePrefix="1" applyFont="1" applyAlignment="1">
      <alignment vertical="center"/>
    </xf>
    <xf numFmtId="14" fontId="70" fillId="0" borderId="0" xfId="5" applyNumberFormat="1" applyFont="1" applyAlignment="1">
      <alignment horizontal="left" vertical="center"/>
    </xf>
    <xf numFmtId="0" fontId="70" fillId="0" borderId="0" xfId="5" applyFont="1" applyAlignment="1">
      <alignment horizontal="right" vertical="center"/>
    </xf>
    <xf numFmtId="41" fontId="70" fillId="0" borderId="0" xfId="5" applyNumberFormat="1" applyFont="1" applyAlignment="1" applyProtection="1">
      <alignment vertical="center"/>
      <protection locked="0"/>
    </xf>
    <xf numFmtId="38" fontId="70" fillId="0" borderId="0" xfId="6" applyNumberFormat="1" applyFont="1" applyBorder="1" applyAlignment="1">
      <alignment vertical="center"/>
    </xf>
    <xf numFmtId="38" fontId="70" fillId="0" borderId="0" xfId="7" applyNumberFormat="1" applyFont="1" applyBorder="1" applyAlignment="1">
      <alignment vertical="center"/>
    </xf>
    <xf numFmtId="38" fontId="70" fillId="2" borderId="0" xfId="7" applyNumberFormat="1" applyFont="1" applyFill="1" applyBorder="1" applyAlignment="1">
      <alignment vertical="center"/>
    </xf>
    <xf numFmtId="0" fontId="71" fillId="0" borderId="0" xfId="5" applyFont="1"/>
    <xf numFmtId="14" fontId="70" fillId="0" borderId="0" xfId="5" applyNumberFormat="1" applyFont="1" applyAlignment="1">
      <alignment horizontal="left"/>
    </xf>
    <xf numFmtId="0" fontId="70" fillId="0" borderId="0" xfId="5" applyFont="1" applyAlignment="1">
      <alignment horizontal="right"/>
    </xf>
    <xf numFmtId="15" fontId="70" fillId="0" borderId="0" xfId="5" applyNumberFormat="1" applyFont="1" applyProtection="1">
      <protection locked="0"/>
    </xf>
    <xf numFmtId="0" fontId="70" fillId="0" borderId="0" xfId="5" applyFont="1"/>
    <xf numFmtId="38" fontId="70" fillId="0" borderId="0" xfId="5" applyNumberFormat="1" applyFont="1"/>
    <xf numFmtId="38" fontId="70" fillId="0" borderId="0" xfId="5" applyNumberFormat="1" applyFont="1" applyAlignment="1">
      <alignment horizontal="center"/>
    </xf>
    <xf numFmtId="38" fontId="70" fillId="0" borderId="0" xfId="6" applyNumberFormat="1" applyFont="1" applyBorder="1" applyAlignment="1"/>
    <xf numFmtId="38" fontId="70" fillId="0" borderId="0" xfId="7" applyNumberFormat="1" applyFont="1" applyBorder="1" applyAlignment="1"/>
    <xf numFmtId="38" fontId="70" fillId="2" borderId="0" xfId="7" applyNumberFormat="1" applyFont="1" applyFill="1" applyBorder="1" applyAlignment="1"/>
    <xf numFmtId="41" fontId="70" fillId="0" borderId="0" xfId="5" applyNumberFormat="1" applyFont="1"/>
    <xf numFmtId="38" fontId="70" fillId="0" borderId="0" xfId="6" applyNumberFormat="1" applyFont="1"/>
    <xf numFmtId="38" fontId="70" fillId="0" borderId="0" xfId="7" applyNumberFormat="1" applyFont="1"/>
    <xf numFmtId="38" fontId="70" fillId="2" borderId="0" xfId="7" applyNumberFormat="1" applyFont="1" applyFill="1"/>
    <xf numFmtId="0" fontId="70" fillId="0" borderId="0" xfId="5" applyFont="1" applyAlignment="1">
      <alignment horizontal="center" vertical="center"/>
    </xf>
    <xf numFmtId="0" fontId="70" fillId="0" borderId="60" xfId="5" applyFont="1" applyBorder="1" applyAlignment="1">
      <alignment horizontal="center" vertical="center"/>
    </xf>
    <xf numFmtId="0" fontId="70" fillId="0" borderId="59" xfId="5" applyFont="1" applyBorder="1" applyAlignment="1">
      <alignment horizontal="center" vertical="center"/>
    </xf>
    <xf numFmtId="0" fontId="70" fillId="0" borderId="61" xfId="5" applyFont="1" applyBorder="1" applyAlignment="1">
      <alignment horizontal="center" vertical="center"/>
    </xf>
    <xf numFmtId="0" fontId="70" fillId="0" borderId="0" xfId="5" applyFont="1" applyAlignment="1">
      <alignment horizontal="center" vertical="top"/>
    </xf>
    <xf numFmtId="0" fontId="70" fillId="54" borderId="90" xfId="5" applyFont="1" applyFill="1" applyBorder="1" applyAlignment="1">
      <alignment horizontal="center" vertical="center"/>
    </xf>
    <xf numFmtId="0" fontId="70" fillId="0" borderId="35" xfId="5" applyFont="1" applyBorder="1" applyAlignment="1">
      <alignment horizontal="center" vertical="center"/>
    </xf>
    <xf numFmtId="0" fontId="70" fillId="0" borderId="36" xfId="5" applyFont="1" applyBorder="1" applyAlignment="1">
      <alignment horizontal="center" vertical="center"/>
    </xf>
    <xf numFmtId="0" fontId="70" fillId="0" borderId="7" xfId="5" applyFont="1" applyBorder="1" applyAlignment="1">
      <alignment horizontal="center" vertical="center"/>
    </xf>
    <xf numFmtId="0" fontId="70" fillId="54" borderId="97" xfId="5" applyFont="1" applyFill="1" applyBorder="1" applyAlignment="1">
      <alignment horizontal="center" vertical="center"/>
    </xf>
    <xf numFmtId="0" fontId="70" fillId="0" borderId="0" xfId="5" applyFont="1" applyAlignment="1">
      <alignment horizontal="center"/>
    </xf>
    <xf numFmtId="0" fontId="71" fillId="0" borderId="0" xfId="5" applyFont="1" applyAlignment="1">
      <alignment horizontal="center"/>
    </xf>
    <xf numFmtId="0" fontId="71" fillId="0" borderId="59" xfId="5" applyFont="1" applyBorder="1" applyAlignment="1">
      <alignment horizontal="center"/>
    </xf>
    <xf numFmtId="38" fontId="71" fillId="0" borderId="0" xfId="5" applyNumberFormat="1" applyFont="1" applyAlignment="1">
      <alignment horizontal="center"/>
    </xf>
    <xf numFmtId="0" fontId="72" fillId="0" borderId="0" xfId="5" applyFont="1" applyAlignment="1">
      <alignment horizontal="center"/>
    </xf>
    <xf numFmtId="0" fontId="71" fillId="0" borderId="42" xfId="5" applyFont="1" applyBorder="1" applyAlignment="1">
      <alignment horizontal="center"/>
    </xf>
    <xf numFmtId="1" fontId="71" fillId="0" borderId="42" xfId="5" applyNumberFormat="1" applyFont="1" applyBorder="1" applyAlignment="1">
      <alignment horizontal="right"/>
    </xf>
    <xf numFmtId="1" fontId="71" fillId="0" borderId="99" xfId="5" applyNumberFormat="1" applyFont="1" applyBorder="1" applyAlignment="1">
      <alignment horizontal="right"/>
    </xf>
    <xf numFmtId="38" fontId="71" fillId="54" borderId="100" xfId="7" applyNumberFormat="1" applyFont="1" applyFill="1" applyBorder="1" applyAlignment="1">
      <alignment horizontal="right"/>
    </xf>
    <xf numFmtId="38" fontId="71" fillId="0" borderId="101" xfId="7" applyNumberFormat="1" applyFont="1" applyFill="1" applyBorder="1" applyAlignment="1">
      <alignment horizontal="right"/>
    </xf>
    <xf numFmtId="38" fontId="71" fillId="54" borderId="101" xfId="7" applyNumberFormat="1" applyFont="1" applyFill="1" applyBorder="1" applyAlignment="1">
      <alignment horizontal="right"/>
    </xf>
    <xf numFmtId="38" fontId="71" fillId="53" borderId="104" xfId="7" applyNumberFormat="1" applyFont="1" applyFill="1" applyBorder="1" applyAlignment="1">
      <alignment horizontal="right"/>
    </xf>
    <xf numFmtId="0" fontId="71" fillId="54" borderId="100" xfId="5" applyFont="1" applyFill="1" applyBorder="1" applyAlignment="1">
      <alignment horizontal="center"/>
    </xf>
    <xf numFmtId="0" fontId="71" fillId="0" borderId="101" xfId="5" applyFont="1" applyBorder="1" applyAlignment="1">
      <alignment horizontal="center"/>
    </xf>
    <xf numFmtId="0" fontId="71" fillId="54" borderId="101" xfId="5" applyFont="1" applyFill="1" applyBorder="1" applyAlignment="1">
      <alignment horizontal="center"/>
    </xf>
    <xf numFmtId="41" fontId="71" fillId="53" borderId="101" xfId="2" applyFont="1" applyFill="1" applyBorder="1" applyAlignment="1">
      <alignment horizontal="right"/>
    </xf>
    <xf numFmtId="0" fontId="71" fillId="53" borderId="104" xfId="5" applyFont="1" applyFill="1" applyBorder="1" applyAlignment="1">
      <alignment horizontal="right"/>
    </xf>
    <xf numFmtId="175" fontId="71" fillId="0" borderId="100" xfId="5" applyNumberFormat="1" applyFont="1" applyBorder="1" applyAlignment="1">
      <alignment horizontal="right"/>
    </xf>
    <xf numFmtId="175" fontId="71" fillId="0" borderId="101" xfId="5" applyNumberFormat="1" applyFont="1" applyBorder="1" applyAlignment="1">
      <alignment horizontal="right"/>
    </xf>
    <xf numFmtId="175" fontId="71" fillId="0" borderId="104" xfId="5" applyNumberFormat="1" applyFont="1" applyBorder="1" applyAlignment="1">
      <alignment horizontal="right"/>
    </xf>
    <xf numFmtId="175" fontId="71" fillId="0" borderId="100" xfId="5" applyNumberFormat="1" applyFont="1" applyBorder="1" applyAlignment="1">
      <alignment horizontal="center"/>
    </xf>
    <xf numFmtId="175" fontId="71" fillId="54" borderId="101" xfId="5" applyNumberFormat="1" applyFont="1" applyFill="1" applyBorder="1" applyAlignment="1">
      <alignment horizontal="center"/>
    </xf>
    <xf numFmtId="0" fontId="71" fillId="54" borderId="104" xfId="5" applyFont="1" applyFill="1" applyBorder="1" applyAlignment="1">
      <alignment horizontal="center"/>
    </xf>
    <xf numFmtId="0" fontId="70" fillId="54" borderId="100" xfId="5" applyFont="1" applyFill="1" applyBorder="1" applyAlignment="1">
      <alignment horizontal="center"/>
    </xf>
    <xf numFmtId="0" fontId="70" fillId="54" borderId="101" xfId="5" applyFont="1" applyFill="1" applyBorder="1" applyAlignment="1">
      <alignment horizontal="center"/>
    </xf>
    <xf numFmtId="38" fontId="71" fillId="54" borderId="104" xfId="7" applyNumberFormat="1" applyFont="1" applyFill="1" applyBorder="1" applyAlignment="1">
      <alignment horizontal="right"/>
    </xf>
    <xf numFmtId="38" fontId="71" fillId="0" borderId="103" xfId="5" applyNumberFormat="1" applyFont="1" applyBorder="1" applyAlignment="1">
      <alignment horizontal="center"/>
    </xf>
    <xf numFmtId="0" fontId="71" fillId="0" borderId="50" xfId="5" applyFont="1" applyBorder="1" applyAlignment="1">
      <alignment horizontal="center"/>
    </xf>
    <xf numFmtId="1" fontId="71" fillId="0" borderId="50" xfId="5" applyNumberFormat="1" applyFont="1" applyBorder="1" applyAlignment="1">
      <alignment horizontal="right"/>
    </xf>
    <xf numFmtId="1" fontId="71" fillId="0" borderId="51" xfId="5" applyNumberFormat="1" applyFont="1" applyBorder="1" applyAlignment="1">
      <alignment horizontal="right"/>
    </xf>
    <xf numFmtId="38" fontId="71" fillId="54" borderId="105" xfId="7" applyNumberFormat="1" applyFont="1" applyFill="1" applyBorder="1" applyAlignment="1">
      <alignment horizontal="right"/>
    </xf>
    <xf numFmtId="38" fontId="71" fillId="0" borderId="50" xfId="7" applyNumberFormat="1" applyFont="1" applyFill="1" applyBorder="1" applyAlignment="1">
      <alignment horizontal="right"/>
    </xf>
    <xf numFmtId="38" fontId="71" fillId="54" borderId="50" xfId="7" applyNumberFormat="1" applyFont="1" applyFill="1" applyBorder="1" applyAlignment="1">
      <alignment horizontal="right"/>
    </xf>
    <xf numFmtId="38" fontId="71" fillId="53" borderId="52" xfId="7" applyNumberFormat="1" applyFont="1" applyFill="1" applyBorder="1" applyAlignment="1">
      <alignment horizontal="right"/>
    </xf>
    <xf numFmtId="0" fontId="71" fillId="54" borderId="105" xfId="5" applyFont="1" applyFill="1" applyBorder="1" applyAlignment="1">
      <alignment horizontal="center"/>
    </xf>
    <xf numFmtId="0" fontId="71" fillId="54" borderId="50" xfId="5" applyFont="1" applyFill="1" applyBorder="1" applyAlignment="1">
      <alignment horizontal="center"/>
    </xf>
    <xf numFmtId="41" fontId="71" fillId="53" borderId="50" xfId="2" applyFont="1" applyFill="1" applyBorder="1" applyAlignment="1">
      <alignment horizontal="right"/>
    </xf>
    <xf numFmtId="0" fontId="71" fillId="53" borderId="52" xfId="5" applyFont="1" applyFill="1" applyBorder="1" applyAlignment="1">
      <alignment horizontal="right"/>
    </xf>
    <xf numFmtId="175" fontId="71" fillId="0" borderId="105" xfId="5" applyNumberFormat="1" applyFont="1" applyBorder="1" applyAlignment="1">
      <alignment horizontal="right"/>
    </xf>
    <xf numFmtId="175" fontId="71" fillId="0" borderId="50" xfId="5" applyNumberFormat="1" applyFont="1" applyBorder="1" applyAlignment="1">
      <alignment horizontal="right"/>
    </xf>
    <xf numFmtId="175" fontId="71" fillId="0" borderId="52" xfId="5" applyNumberFormat="1" applyFont="1" applyBorder="1" applyAlignment="1">
      <alignment horizontal="right"/>
    </xf>
    <xf numFmtId="175" fontId="71" fillId="0" borderId="105" xfId="5" applyNumberFormat="1" applyFont="1" applyBorder="1" applyAlignment="1">
      <alignment horizontal="center"/>
    </xf>
    <xf numFmtId="175" fontId="71" fillId="54" borderId="50" xfId="5" applyNumberFormat="1" applyFont="1" applyFill="1" applyBorder="1" applyAlignment="1">
      <alignment horizontal="center"/>
    </xf>
    <xf numFmtId="0" fontId="71" fillId="54" borderId="52" xfId="5" applyFont="1" applyFill="1" applyBorder="1" applyAlignment="1">
      <alignment horizontal="center"/>
    </xf>
    <xf numFmtId="0" fontId="70" fillId="54" borderId="105" xfId="5" applyFont="1" applyFill="1" applyBorder="1" applyAlignment="1">
      <alignment horizontal="center"/>
    </xf>
    <xf numFmtId="0" fontId="70" fillId="54" borderId="50" xfId="5" applyFont="1" applyFill="1" applyBorder="1" applyAlignment="1">
      <alignment horizontal="center"/>
    </xf>
    <xf numFmtId="38" fontId="71" fillId="54" borderId="52" xfId="7" applyNumberFormat="1" applyFont="1" applyFill="1" applyBorder="1" applyAlignment="1">
      <alignment horizontal="right"/>
    </xf>
    <xf numFmtId="38" fontId="71" fillId="0" borderId="106" xfId="5" applyNumberFormat="1" applyFont="1" applyBorder="1" applyAlignment="1">
      <alignment horizontal="center"/>
    </xf>
    <xf numFmtId="38" fontId="70" fillId="54" borderId="50" xfId="7" applyNumberFormat="1" applyFont="1" applyFill="1" applyBorder="1" applyAlignment="1">
      <alignment horizontal="right"/>
    </xf>
    <xf numFmtId="0" fontId="70" fillId="54" borderId="50" xfId="5" applyFont="1" applyFill="1" applyBorder="1" applyAlignment="1">
      <alignment horizontal="right"/>
    </xf>
    <xf numFmtId="1" fontId="71" fillId="0" borderId="65" xfId="5" applyNumberFormat="1" applyFont="1" applyBorder="1" applyAlignment="1">
      <alignment horizontal="right"/>
    </xf>
    <xf numFmtId="38" fontId="71" fillId="54" borderId="105" xfId="5" applyNumberFormat="1" applyFont="1" applyFill="1" applyBorder="1" applyAlignment="1">
      <alignment horizontal="right"/>
    </xf>
    <xf numFmtId="38" fontId="71" fillId="0" borderId="50" xfId="5" applyNumberFormat="1" applyFont="1" applyBorder="1" applyAlignment="1">
      <alignment horizontal="right"/>
    </xf>
    <xf numFmtId="38" fontId="71" fillId="54" borderId="50" xfId="5" applyNumberFormat="1" applyFont="1" applyFill="1" applyBorder="1" applyAlignment="1">
      <alignment horizontal="right"/>
    </xf>
    <xf numFmtId="38" fontId="70" fillId="53" borderId="52" xfId="5" applyNumberFormat="1" applyFont="1" applyFill="1" applyBorder="1" applyAlignment="1">
      <alignment horizontal="right"/>
    </xf>
    <xf numFmtId="175" fontId="71" fillId="0" borderId="108" xfId="5" applyNumberFormat="1" applyFont="1" applyBorder="1" applyAlignment="1">
      <alignment horizontal="right"/>
    </xf>
    <xf numFmtId="175" fontId="71" fillId="54" borderId="42" xfId="5" applyNumberFormat="1" applyFont="1" applyFill="1" applyBorder="1" applyAlignment="1">
      <alignment horizontal="right"/>
    </xf>
    <xf numFmtId="38" fontId="71" fillId="0" borderId="42" xfId="5" applyNumberFormat="1" applyFont="1" applyBorder="1" applyAlignment="1">
      <alignment horizontal="right"/>
    </xf>
    <xf numFmtId="38" fontId="71" fillId="54" borderId="99" xfId="5" applyNumberFormat="1" applyFont="1" applyFill="1" applyBorder="1" applyAlignment="1">
      <alignment horizontal="right"/>
    </xf>
    <xf numFmtId="38" fontId="70" fillId="54" borderId="105" xfId="7" applyNumberFormat="1" applyFont="1" applyFill="1" applyBorder="1" applyAlignment="1">
      <alignment horizontal="right"/>
    </xf>
    <xf numFmtId="38" fontId="71" fillId="0" borderId="107" xfId="5" applyNumberFormat="1" applyFont="1" applyBorder="1" applyAlignment="1">
      <alignment horizontal="center"/>
    </xf>
    <xf numFmtId="0" fontId="70" fillId="54" borderId="50" xfId="5" applyFont="1" applyFill="1" applyBorder="1"/>
    <xf numFmtId="175" fontId="71" fillId="54" borderId="50" xfId="5" applyNumberFormat="1" applyFont="1" applyFill="1" applyBorder="1" applyAlignment="1">
      <alignment horizontal="right"/>
    </xf>
    <xf numFmtId="175" fontId="71" fillId="54" borderId="50" xfId="70" applyNumberFormat="1" applyFont="1" applyFill="1" applyBorder="1" applyAlignment="1">
      <alignment horizontal="right"/>
    </xf>
    <xf numFmtId="38" fontId="70" fillId="54" borderId="50" xfId="1" applyNumberFormat="1" applyFont="1" applyFill="1" applyBorder="1" applyAlignment="1">
      <alignment horizontal="right"/>
    </xf>
    <xf numFmtId="38" fontId="71" fillId="54" borderId="52" xfId="5" applyNumberFormat="1" applyFont="1" applyFill="1" applyBorder="1" applyAlignment="1">
      <alignment horizontal="right"/>
    </xf>
    <xf numFmtId="0" fontId="71" fillId="0" borderId="110" xfId="5" applyFont="1" applyBorder="1" applyAlignment="1">
      <alignment horizontal="center"/>
    </xf>
    <xf numFmtId="1" fontId="71" fillId="0" borderId="110" xfId="5" applyNumberFormat="1" applyFont="1" applyBorder="1" applyAlignment="1">
      <alignment horizontal="right"/>
    </xf>
    <xf numFmtId="1" fontId="71" fillId="0" borderId="63" xfId="5" applyNumberFormat="1" applyFont="1" applyBorder="1" applyAlignment="1">
      <alignment horizontal="right"/>
    </xf>
    <xf numFmtId="38" fontId="71" fillId="54" borderId="109" xfId="5" applyNumberFormat="1" applyFont="1" applyFill="1" applyBorder="1" applyAlignment="1">
      <alignment horizontal="right"/>
    </xf>
    <xf numFmtId="38" fontId="71" fillId="0" borderId="110" xfId="5" applyNumberFormat="1" applyFont="1" applyBorder="1" applyAlignment="1">
      <alignment horizontal="right"/>
    </xf>
    <xf numFmtId="38" fontId="71" fillId="54" borderId="110" xfId="5" applyNumberFormat="1" applyFont="1" applyFill="1" applyBorder="1" applyAlignment="1">
      <alignment horizontal="right"/>
    </xf>
    <xf numFmtId="38" fontId="70" fillId="53" borderId="117" xfId="5" applyNumberFormat="1" applyFont="1" applyFill="1" applyBorder="1" applyAlignment="1">
      <alignment horizontal="right"/>
    </xf>
    <xf numFmtId="41" fontId="71" fillId="53" borderId="110" xfId="2" applyFont="1" applyFill="1" applyBorder="1" applyAlignment="1">
      <alignment horizontal="right"/>
    </xf>
    <xf numFmtId="175" fontId="71" fillId="0" borderId="109" xfId="5" applyNumberFormat="1" applyFont="1" applyBorder="1" applyAlignment="1">
      <alignment horizontal="right"/>
    </xf>
    <xf numFmtId="175" fontId="71" fillId="0" borderId="110" xfId="5" applyNumberFormat="1" applyFont="1" applyBorder="1" applyAlignment="1">
      <alignment horizontal="right"/>
    </xf>
    <xf numFmtId="175" fontId="71" fillId="0" borderId="117" xfId="5" applyNumberFormat="1" applyFont="1" applyBorder="1" applyAlignment="1">
      <alignment horizontal="right"/>
    </xf>
    <xf numFmtId="175" fontId="71" fillId="54" borderId="110" xfId="5" applyNumberFormat="1" applyFont="1" applyFill="1" applyBorder="1" applyAlignment="1">
      <alignment horizontal="right"/>
    </xf>
    <xf numFmtId="175" fontId="71" fillId="54" borderId="110" xfId="70" applyNumberFormat="1" applyFont="1" applyFill="1" applyBorder="1" applyAlignment="1">
      <alignment horizontal="right"/>
    </xf>
    <xf numFmtId="38" fontId="71" fillId="54" borderId="117" xfId="5" applyNumberFormat="1" applyFont="1" applyFill="1" applyBorder="1" applyAlignment="1">
      <alignment horizontal="right"/>
    </xf>
    <xf numFmtId="38" fontId="70" fillId="54" borderId="109" xfId="7" applyNumberFormat="1" applyFont="1" applyFill="1" applyBorder="1" applyAlignment="1">
      <alignment horizontal="right"/>
    </xf>
    <xf numFmtId="38" fontId="70" fillId="54" borderId="110" xfId="7" applyNumberFormat="1" applyFont="1" applyFill="1" applyBorder="1" applyAlignment="1">
      <alignment horizontal="right"/>
    </xf>
    <xf numFmtId="38" fontId="71" fillId="54" borderId="110" xfId="7" applyNumberFormat="1" applyFont="1" applyFill="1" applyBorder="1" applyAlignment="1">
      <alignment horizontal="right"/>
    </xf>
    <xf numFmtId="38" fontId="71" fillId="54" borderId="117" xfId="7" applyNumberFormat="1" applyFont="1" applyFill="1" applyBorder="1" applyAlignment="1">
      <alignment horizontal="right"/>
    </xf>
    <xf numFmtId="38" fontId="71" fillId="0" borderId="116" xfId="5" applyNumberFormat="1" applyFont="1" applyBorder="1" applyAlignment="1">
      <alignment horizontal="center"/>
    </xf>
    <xf numFmtId="175" fontId="71" fillId="0" borderId="119" xfId="5" applyNumberFormat="1" applyFont="1" applyBorder="1" applyAlignment="1">
      <alignment horizontal="right"/>
    </xf>
    <xf numFmtId="175" fontId="71" fillId="54" borderId="119" xfId="70" applyNumberFormat="1" applyFont="1" applyFill="1" applyBorder="1" applyAlignment="1">
      <alignment horizontal="right"/>
    </xf>
    <xf numFmtId="38" fontId="71" fillId="0" borderId="119" xfId="5" applyNumberFormat="1" applyFont="1" applyBorder="1" applyAlignment="1">
      <alignment horizontal="right"/>
    </xf>
    <xf numFmtId="0" fontId="70" fillId="2" borderId="0" xfId="5" applyFont="1" applyFill="1"/>
    <xf numFmtId="38" fontId="70" fillId="0" borderId="0" xfId="7" applyNumberFormat="1" applyFont="1" applyFill="1" applyAlignment="1">
      <alignment horizontal="center" vertical="center"/>
    </xf>
    <xf numFmtId="38" fontId="70" fillId="0" borderId="0" xfId="6" applyNumberFormat="1" applyFont="1" applyBorder="1" applyAlignment="1">
      <alignment horizontal="center"/>
    </xf>
    <xf numFmtId="0" fontId="73" fillId="0" borderId="0" xfId="5" applyFont="1" applyAlignment="1">
      <alignment horizontal="left" vertical="center"/>
    </xf>
    <xf numFmtId="0" fontId="74" fillId="0" borderId="0" xfId="5" applyFont="1" applyAlignment="1">
      <alignment horizontal="center" vertical="center"/>
    </xf>
    <xf numFmtId="38" fontId="74" fillId="0" borderId="0" xfId="5" applyNumberFormat="1" applyFont="1" applyAlignment="1">
      <alignment horizontal="center" vertical="center"/>
    </xf>
    <xf numFmtId="38" fontId="74" fillId="0" borderId="0" xfId="6" applyNumberFormat="1" applyFont="1" applyBorder="1" applyAlignment="1">
      <alignment horizontal="center" vertical="center"/>
    </xf>
    <xf numFmtId="38" fontId="74" fillId="0" borderId="0" xfId="7" applyNumberFormat="1" applyFont="1" applyBorder="1" applyAlignment="1">
      <alignment horizontal="center" vertical="center"/>
    </xf>
    <xf numFmtId="38" fontId="74" fillId="2" borderId="0" xfId="7" applyNumberFormat="1" applyFont="1" applyFill="1" applyBorder="1" applyAlignment="1">
      <alignment horizontal="center" vertical="center"/>
    </xf>
    <xf numFmtId="0" fontId="75" fillId="0" borderId="0" xfId="5" applyFont="1" applyAlignment="1">
      <alignment horizontal="centerContinuous" vertical="center"/>
    </xf>
    <xf numFmtId="0" fontId="75" fillId="0" borderId="0" xfId="5" applyFont="1" applyAlignment="1">
      <alignment vertical="center"/>
    </xf>
    <xf numFmtId="38" fontId="70" fillId="0" borderId="0" xfId="7" applyNumberFormat="1" applyFont="1" applyBorder="1" applyAlignment="1">
      <alignment horizontal="center"/>
    </xf>
    <xf numFmtId="38" fontId="70" fillId="2" borderId="0" xfId="7" applyNumberFormat="1" applyFont="1" applyFill="1" applyBorder="1" applyAlignment="1">
      <alignment horizontal="center"/>
    </xf>
    <xf numFmtId="0" fontId="70" fillId="0" borderId="0" xfId="5" applyFont="1" applyAlignment="1">
      <alignment horizontal="centerContinuous"/>
    </xf>
    <xf numFmtId="3" fontId="70" fillId="0" borderId="0" xfId="5" applyNumberFormat="1" applyFont="1"/>
    <xf numFmtId="38" fontId="70" fillId="0" borderId="0" xfId="6" applyNumberFormat="1" applyFont="1" applyBorder="1"/>
    <xf numFmtId="38" fontId="70" fillId="0" borderId="0" xfId="7" applyNumberFormat="1" applyFont="1" applyBorder="1"/>
    <xf numFmtId="38" fontId="70" fillId="2" borderId="0" xfId="7" applyNumberFormat="1" applyFont="1" applyFill="1" applyBorder="1"/>
    <xf numFmtId="38" fontId="70" fillId="0" borderId="50" xfId="5" applyNumberFormat="1" applyFont="1" applyBorder="1" applyAlignment="1">
      <alignment horizontal="right" vertical="center"/>
    </xf>
    <xf numFmtId="0" fontId="71" fillId="0" borderId="84" xfId="5" applyFont="1" applyBorder="1" applyAlignment="1">
      <alignment vertical="center"/>
    </xf>
    <xf numFmtId="1" fontId="71" fillId="0" borderId="84" xfId="5" applyNumberFormat="1" applyFont="1" applyBorder="1" applyAlignment="1">
      <alignment horizontal="right" vertical="center"/>
    </xf>
    <xf numFmtId="0" fontId="71" fillId="0" borderId="37" xfId="5" applyFont="1" applyBorder="1" applyAlignment="1">
      <alignment horizontal="right" vertical="center"/>
    </xf>
    <xf numFmtId="38" fontId="71" fillId="54" borderId="118" xfId="5" applyNumberFormat="1" applyFont="1" applyFill="1" applyBorder="1" applyAlignment="1">
      <alignment horizontal="right" vertical="center"/>
    </xf>
    <xf numFmtId="38" fontId="71" fillId="0" borderId="119" xfId="5" applyNumberFormat="1" applyFont="1" applyBorder="1" applyAlignment="1">
      <alignment horizontal="right" vertical="center"/>
    </xf>
    <xf numFmtId="38" fontId="71" fillId="54" borderId="119" xfId="5" applyNumberFormat="1" applyFont="1" applyFill="1" applyBorder="1" applyAlignment="1">
      <alignment horizontal="right" vertical="center"/>
    </xf>
    <xf numFmtId="37" fontId="78" fillId="53" borderId="120" xfId="5" applyNumberFormat="1" applyFont="1" applyFill="1" applyBorder="1" applyAlignment="1">
      <alignment vertical="center"/>
    </xf>
    <xf numFmtId="38" fontId="70" fillId="54" borderId="118" xfId="5" applyNumberFormat="1" applyFont="1" applyFill="1" applyBorder="1" applyAlignment="1">
      <alignment vertical="center"/>
    </xf>
    <xf numFmtId="38" fontId="70" fillId="0" borderId="119" xfId="5" applyNumberFormat="1" applyFont="1" applyBorder="1" applyAlignment="1">
      <alignment vertical="center"/>
    </xf>
    <xf numFmtId="38" fontId="70" fillId="54" borderId="119" xfId="5" applyNumberFormat="1" applyFont="1" applyFill="1" applyBorder="1" applyAlignment="1">
      <alignment vertical="center"/>
    </xf>
    <xf numFmtId="38" fontId="70" fillId="53" borderId="119" xfId="5" applyNumberFormat="1" applyFont="1" applyFill="1" applyBorder="1" applyAlignment="1">
      <alignment vertical="center"/>
    </xf>
    <xf numFmtId="38" fontId="70" fillId="53" borderId="120" xfId="5" applyNumberFormat="1" applyFont="1" applyFill="1" applyBorder="1" applyAlignment="1">
      <alignment vertical="center"/>
    </xf>
    <xf numFmtId="175" fontId="72" fillId="0" borderId="118" xfId="5" applyNumberFormat="1" applyFont="1" applyBorder="1" applyAlignment="1">
      <alignment vertical="center"/>
    </xf>
    <xf numFmtId="175" fontId="71" fillId="0" borderId="119" xfId="5" applyNumberFormat="1" applyFont="1" applyBorder="1" applyAlignment="1">
      <alignment vertical="center"/>
    </xf>
    <xf numFmtId="175" fontId="71" fillId="0" borderId="120" xfId="5" applyNumberFormat="1" applyFont="1" applyBorder="1" applyAlignment="1">
      <alignment vertical="center"/>
    </xf>
    <xf numFmtId="175" fontId="70" fillId="0" borderId="118" xfId="5" applyNumberFormat="1" applyFont="1" applyBorder="1" applyAlignment="1">
      <alignment horizontal="right" vertical="center"/>
    </xf>
    <xf numFmtId="175" fontId="70" fillId="54" borderId="119" xfId="5" applyNumberFormat="1" applyFont="1" applyFill="1" applyBorder="1" applyAlignment="1">
      <alignment horizontal="right" vertical="center"/>
    </xf>
    <xf numFmtId="38" fontId="70" fillId="54" borderId="120" xfId="5" applyNumberFormat="1" applyFont="1" applyFill="1" applyBorder="1" applyAlignment="1">
      <alignment horizontal="right" vertical="center"/>
    </xf>
    <xf numFmtId="38" fontId="70" fillId="54" borderId="118" xfId="5" applyNumberFormat="1" applyFont="1" applyFill="1" applyBorder="1" applyAlignment="1">
      <alignment horizontal="right" vertical="center"/>
    </xf>
    <xf numFmtId="38" fontId="70" fillId="54" borderId="119" xfId="5" applyNumberFormat="1" applyFont="1" applyFill="1" applyBorder="1" applyAlignment="1">
      <alignment horizontal="right" vertical="center"/>
    </xf>
    <xf numFmtId="38" fontId="72" fillId="54" borderId="119" xfId="5" applyNumberFormat="1" applyFont="1" applyFill="1" applyBorder="1" applyAlignment="1">
      <alignment horizontal="right" vertical="center"/>
    </xf>
    <xf numFmtId="38" fontId="78" fillId="54" borderId="120" xfId="5" applyNumberFormat="1" applyFont="1" applyFill="1" applyBorder="1" applyAlignment="1">
      <alignment horizontal="right" vertical="center"/>
    </xf>
    <xf numFmtId="38" fontId="71" fillId="0" borderId="122" xfId="5" applyNumberFormat="1" applyFont="1" applyBorder="1" applyAlignment="1">
      <alignment vertical="center"/>
    </xf>
    <xf numFmtId="0" fontId="71" fillId="0" borderId="0" xfId="5" applyFont="1" applyAlignment="1">
      <alignment horizontal="center" vertical="center"/>
    </xf>
    <xf numFmtId="1" fontId="71" fillId="0" borderId="0" xfId="5" applyNumberFormat="1" applyFont="1" applyAlignment="1">
      <alignment horizontal="center" vertical="center"/>
    </xf>
    <xf numFmtId="38" fontId="71" fillId="0" borderId="0" xfId="5" applyNumberFormat="1" applyFont="1" applyAlignment="1">
      <alignment horizontal="center" vertical="center"/>
    </xf>
    <xf numFmtId="38" fontId="70" fillId="0" borderId="0" xfId="5" applyNumberFormat="1" applyFont="1" applyAlignment="1">
      <alignment horizontal="right" vertical="center"/>
    </xf>
    <xf numFmtId="38" fontId="71" fillId="0" borderId="0" xfId="7" applyNumberFormat="1" applyFont="1" applyFill="1" applyBorder="1" applyAlignment="1">
      <alignment horizontal="center" vertical="center"/>
    </xf>
    <xf numFmtId="38" fontId="70" fillId="0" borderId="0" xfId="6" applyNumberFormat="1" applyFont="1" applyFill="1" applyBorder="1" applyAlignment="1">
      <alignment horizontal="center" vertical="center"/>
    </xf>
    <xf numFmtId="38" fontId="70" fillId="0" borderId="0" xfId="5" applyNumberFormat="1" applyFont="1" applyAlignment="1">
      <alignment horizontal="left" vertical="center"/>
    </xf>
    <xf numFmtId="38" fontId="70" fillId="0" borderId="118" xfId="6" applyNumberFormat="1" applyFont="1" applyFill="1" applyBorder="1" applyAlignment="1">
      <alignment vertical="center"/>
    </xf>
    <xf numFmtId="38" fontId="70" fillId="0" borderId="119" xfId="6" applyNumberFormat="1" applyFont="1" applyFill="1" applyBorder="1" applyAlignment="1">
      <alignment vertical="center"/>
    </xf>
    <xf numFmtId="38" fontId="70" fillId="0" borderId="120" xfId="6" applyNumberFormat="1" applyFont="1" applyFill="1" applyBorder="1" applyAlignment="1">
      <alignment vertical="center"/>
    </xf>
    <xf numFmtId="38" fontId="70" fillId="0" borderId="122" xfId="6" applyNumberFormat="1" applyFont="1" applyFill="1" applyBorder="1" applyAlignment="1">
      <alignment vertical="center"/>
    </xf>
    <xf numFmtId="0" fontId="70" fillId="52" borderId="143" xfId="5" applyFont="1" applyFill="1" applyBorder="1" applyAlignment="1">
      <alignment horizontal="center" vertical="center" wrapText="1"/>
    </xf>
    <xf numFmtId="0" fontId="70" fillId="52" borderId="60" xfId="5" applyFont="1" applyFill="1" applyBorder="1" applyAlignment="1">
      <alignment horizontal="center" vertical="center" wrapText="1"/>
    </xf>
    <xf numFmtId="0" fontId="70" fillId="52" borderId="75" xfId="5" applyFont="1" applyFill="1" applyBorder="1" applyAlignment="1">
      <alignment horizontal="center" vertical="center" wrapText="1"/>
    </xf>
    <xf numFmtId="0" fontId="70" fillId="2" borderId="0" xfId="5" applyFont="1" applyFill="1" applyAlignment="1">
      <alignment vertical="center"/>
    </xf>
    <xf numFmtId="38" fontId="70" fillId="0" borderId="96" xfId="5" applyNumberFormat="1" applyFont="1" applyBorder="1" applyAlignment="1">
      <alignment horizontal="center" vertical="center"/>
    </xf>
    <xf numFmtId="38" fontId="70" fillId="0" borderId="0" xfId="6" applyNumberFormat="1" applyFont="1" applyBorder="1" applyAlignment="1">
      <alignment horizontal="center" vertical="center"/>
    </xf>
    <xf numFmtId="38" fontId="70" fillId="0" borderId="0" xfId="7" applyNumberFormat="1" applyFont="1" applyAlignment="1">
      <alignment horizontal="center" vertical="center"/>
    </xf>
    <xf numFmtId="38" fontId="70" fillId="0" borderId="100" xfId="5" applyNumberFormat="1" applyFont="1" applyBorder="1" applyAlignment="1">
      <alignment horizontal="right" vertical="center"/>
    </xf>
    <xf numFmtId="38" fontId="70" fillId="0" borderId="101" xfId="5" applyNumberFormat="1" applyFont="1" applyBorder="1" applyAlignment="1">
      <alignment horizontal="right" vertical="center"/>
    </xf>
    <xf numFmtId="38" fontId="70" fillId="0" borderId="52" xfId="5" applyNumberFormat="1" applyFont="1" applyBorder="1" applyAlignment="1">
      <alignment horizontal="right" vertical="center"/>
    </xf>
    <xf numFmtId="38" fontId="70" fillId="0" borderId="104" xfId="5" applyNumberFormat="1" applyFont="1" applyBorder="1" applyAlignment="1">
      <alignment horizontal="right" vertical="center"/>
    </xf>
    <xf numFmtId="38" fontId="70" fillId="0" borderId="100" xfId="6" applyNumberFormat="1" applyFont="1" applyFill="1" applyBorder="1" applyAlignment="1">
      <alignment horizontal="right" vertical="center"/>
    </xf>
    <xf numFmtId="38" fontId="70" fillId="0" borderId="101" xfId="6" applyNumberFormat="1" applyFont="1" applyFill="1" applyBorder="1" applyAlignment="1">
      <alignment horizontal="right" vertical="center"/>
    </xf>
    <xf numFmtId="38" fontId="70" fillId="0" borderId="104" xfId="6" applyNumberFormat="1" applyFont="1" applyFill="1" applyBorder="1" applyAlignment="1">
      <alignment horizontal="right" vertical="center"/>
    </xf>
    <xf numFmtId="38" fontId="70" fillId="0" borderId="103" xfId="7" applyNumberFormat="1" applyFont="1" applyFill="1" applyBorder="1" applyAlignment="1">
      <alignment horizontal="right" vertical="center"/>
    </xf>
    <xf numFmtId="38" fontId="70" fillId="0" borderId="105" xfId="5" applyNumberFormat="1" applyFont="1" applyBorder="1" applyAlignment="1">
      <alignment horizontal="right" vertical="center"/>
    </xf>
    <xf numFmtId="38" fontId="70" fillId="0" borderId="105" xfId="6" applyNumberFormat="1" applyFont="1" applyFill="1" applyBorder="1" applyAlignment="1">
      <alignment horizontal="right" vertical="center"/>
    </xf>
    <xf numFmtId="38" fontId="70" fillId="0" borderId="50" xfId="6" applyNumberFormat="1" applyFont="1" applyFill="1" applyBorder="1" applyAlignment="1">
      <alignment horizontal="right" vertical="center"/>
    </xf>
    <xf numFmtId="38" fontId="70" fillId="0" borderId="52" xfId="6" applyNumberFormat="1" applyFont="1" applyFill="1" applyBorder="1" applyAlignment="1">
      <alignment horizontal="right" vertical="center"/>
    </xf>
    <xf numFmtId="38" fontId="70" fillId="0" borderId="106" xfId="7" applyNumberFormat="1" applyFont="1" applyFill="1" applyBorder="1" applyAlignment="1">
      <alignment horizontal="right" vertical="center"/>
    </xf>
    <xf numFmtId="38" fontId="70" fillId="0" borderId="109" xfId="5" applyNumberFormat="1" applyFont="1" applyBorder="1" applyAlignment="1">
      <alignment horizontal="right" vertical="center"/>
    </xf>
    <xf numFmtId="38" fontId="70" fillId="0" borderId="110" xfId="5" applyNumberFormat="1" applyFont="1" applyBorder="1" applyAlignment="1">
      <alignment horizontal="right" vertical="center"/>
    </xf>
    <xf numFmtId="38" fontId="70" fillId="0" borderId="117" xfId="5" applyNumberFormat="1" applyFont="1" applyBorder="1" applyAlignment="1">
      <alignment horizontal="right" vertical="center"/>
    </xf>
    <xf numFmtId="38" fontId="70" fillId="0" borderId="109" xfId="6" applyNumberFormat="1" applyFont="1" applyFill="1" applyBorder="1" applyAlignment="1">
      <alignment horizontal="right" vertical="center"/>
    </xf>
    <xf numFmtId="38" fontId="70" fillId="0" borderId="110" xfId="6" applyNumberFormat="1" applyFont="1" applyFill="1" applyBorder="1" applyAlignment="1">
      <alignment horizontal="right" vertical="center"/>
    </xf>
    <xf numFmtId="38" fontId="70" fillId="0" borderId="117" xfId="6" applyNumberFormat="1" applyFont="1" applyFill="1" applyBorder="1" applyAlignment="1">
      <alignment horizontal="right" vertical="center"/>
    </xf>
    <xf numFmtId="38" fontId="70" fillId="0" borderId="116" xfId="7" applyNumberFormat="1" applyFont="1" applyFill="1" applyBorder="1" applyAlignment="1">
      <alignment horizontal="right" vertical="center"/>
    </xf>
    <xf numFmtId="38" fontId="70" fillId="0" borderId="75" xfId="6" applyNumberFormat="1" applyFont="1" applyFill="1" applyBorder="1" applyAlignment="1">
      <alignment vertical="center"/>
    </xf>
    <xf numFmtId="38" fontId="70" fillId="54" borderId="75" xfId="6" applyNumberFormat="1" applyFont="1" applyFill="1" applyBorder="1" applyAlignment="1">
      <alignment vertical="center"/>
    </xf>
    <xf numFmtId="38" fontId="70" fillId="54" borderId="101" xfId="5" applyNumberFormat="1" applyFont="1" applyFill="1" applyBorder="1" applyAlignment="1">
      <alignment horizontal="right" vertical="center"/>
    </xf>
    <xf numFmtId="38" fontId="70" fillId="54" borderId="50" xfId="5" applyNumberFormat="1" applyFont="1" applyFill="1" applyBorder="1" applyAlignment="1">
      <alignment horizontal="right" vertical="center"/>
    </xf>
    <xf numFmtId="38" fontId="70" fillId="54" borderId="110" xfId="5" applyNumberFormat="1" applyFont="1" applyFill="1" applyBorder="1" applyAlignment="1">
      <alignment horizontal="right" vertical="center"/>
    </xf>
    <xf numFmtId="38" fontId="70" fillId="54" borderId="119" xfId="6" applyNumberFormat="1" applyFont="1" applyFill="1" applyBorder="1" applyAlignment="1">
      <alignment vertical="center"/>
    </xf>
    <xf numFmtId="38" fontId="70" fillId="0" borderId="98" xfId="5" applyNumberFormat="1" applyFont="1" applyBorder="1" applyAlignment="1">
      <alignment horizontal="center" vertical="center"/>
    </xf>
    <xf numFmtId="38" fontId="70" fillId="54" borderId="93" xfId="6" applyNumberFormat="1" applyFont="1" applyFill="1" applyBorder="1" applyAlignment="1">
      <alignment vertical="center"/>
    </xf>
    <xf numFmtId="38" fontId="70" fillId="0" borderId="97" xfId="6" applyNumberFormat="1" applyFont="1" applyFill="1" applyBorder="1" applyAlignment="1">
      <alignment vertical="center"/>
    </xf>
    <xf numFmtId="38" fontId="70" fillId="0" borderId="100" xfId="5" applyNumberFormat="1" applyFont="1" applyBorder="1" applyAlignment="1">
      <alignment horizontal="center" vertical="center"/>
    </xf>
    <xf numFmtId="38" fontId="70" fillId="0" borderId="105" xfId="5" applyNumberFormat="1" applyFont="1" applyBorder="1" applyAlignment="1">
      <alignment horizontal="center" vertical="center"/>
    </xf>
    <xf numFmtId="38" fontId="70" fillId="0" borderId="105" xfId="6" applyNumberFormat="1" applyFont="1" applyFill="1" applyBorder="1" applyAlignment="1">
      <alignment horizontal="center" vertical="center"/>
    </xf>
    <xf numFmtId="38" fontId="70" fillId="0" borderId="114" xfId="6" applyNumberFormat="1" applyFont="1" applyFill="1" applyBorder="1" applyAlignment="1">
      <alignment horizontal="center" vertical="center"/>
    </xf>
    <xf numFmtId="38" fontId="70" fillId="54" borderId="113" xfId="5" applyNumberFormat="1" applyFont="1" applyFill="1" applyBorder="1" applyAlignment="1">
      <alignment horizontal="right" vertical="center"/>
    </xf>
    <xf numFmtId="38" fontId="70" fillId="0" borderId="113" xfId="5" applyNumberFormat="1" applyFont="1" applyBorder="1" applyAlignment="1">
      <alignment horizontal="right" vertical="center"/>
    </xf>
    <xf numFmtId="38" fontId="70" fillId="0" borderId="111" xfId="5" applyNumberFormat="1" applyFont="1" applyBorder="1" applyAlignment="1">
      <alignment horizontal="right" vertical="center"/>
    </xf>
    <xf numFmtId="38" fontId="70" fillId="54" borderId="96" xfId="5" applyNumberFormat="1" applyFont="1" applyFill="1" applyBorder="1" applyAlignment="1">
      <alignment horizontal="center" vertical="center"/>
    </xf>
    <xf numFmtId="38" fontId="70" fillId="54" borderId="96" xfId="5" applyNumberFormat="1" applyFont="1" applyFill="1" applyBorder="1" applyAlignment="1">
      <alignment horizontal="center" vertical="center" wrapText="1"/>
    </xf>
    <xf numFmtId="41" fontId="70" fillId="0" borderId="0" xfId="2" applyFont="1"/>
    <xf numFmtId="164" fontId="70" fillId="0" borderId="0" xfId="5" applyNumberFormat="1" applyFont="1"/>
    <xf numFmtId="41" fontId="70" fillId="0" borderId="0" xfId="2" applyFont="1" applyAlignment="1">
      <alignment vertical="center"/>
    </xf>
    <xf numFmtId="164" fontId="70" fillId="0" borderId="0" xfId="5" applyNumberFormat="1" applyFont="1" applyAlignment="1">
      <alignment vertical="center"/>
    </xf>
    <xf numFmtId="165" fontId="70" fillId="0" borderId="0" xfId="5" applyNumberFormat="1" applyFont="1"/>
    <xf numFmtId="38" fontId="70" fillId="54" borderId="118" xfId="6" applyNumberFormat="1" applyFont="1" applyFill="1" applyBorder="1" applyAlignment="1">
      <alignment vertical="center"/>
    </xf>
    <xf numFmtId="38" fontId="70" fillId="0" borderId="119" xfId="5" applyNumberFormat="1" applyFont="1" applyBorder="1" applyAlignment="1">
      <alignment horizontal="right" vertical="center"/>
    </xf>
    <xf numFmtId="0" fontId="79" fillId="0" borderId="0" xfId="0" applyFont="1"/>
    <xf numFmtId="0" fontId="81" fillId="0" borderId="0" xfId="0" applyFont="1"/>
    <xf numFmtId="0" fontId="81" fillId="0" borderId="0" xfId="0" applyFont="1" applyAlignment="1">
      <alignment vertical="center"/>
    </xf>
    <xf numFmtId="175" fontId="81" fillId="0" borderId="0" xfId="2" applyNumberFormat="1" applyFont="1" applyBorder="1" applyAlignment="1">
      <alignment vertical="center"/>
    </xf>
    <xf numFmtId="175" fontId="81" fillId="0" borderId="0" xfId="0" applyNumberFormat="1" applyFont="1"/>
    <xf numFmtId="0" fontId="82" fillId="0" borderId="0" xfId="0" quotePrefix="1" applyFont="1" applyAlignment="1">
      <alignment horizontal="center" vertical="center"/>
    </xf>
    <xf numFmtId="0" fontId="82" fillId="0" borderId="0" xfId="0" quotePrefix="1" applyFont="1" applyAlignment="1">
      <alignment horizontal="left" vertical="center"/>
    </xf>
    <xf numFmtId="0" fontId="82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175" fontId="81" fillId="0" borderId="0" xfId="0" applyNumberFormat="1" applyFont="1" applyAlignment="1">
      <alignment horizontal="center" vertical="center"/>
    </xf>
    <xf numFmtId="41" fontId="81" fillId="0" borderId="0" xfId="2" applyFont="1" applyBorder="1"/>
    <xf numFmtId="0" fontId="83" fillId="55" borderId="0" xfId="0" applyFont="1" applyFill="1" applyAlignment="1">
      <alignment horizontal="left" vertical="center"/>
    </xf>
    <xf numFmtId="0" fontId="84" fillId="55" borderId="0" xfId="0" applyFont="1" applyFill="1" applyAlignment="1">
      <alignment horizontal="center" vertical="center"/>
    </xf>
    <xf numFmtId="175" fontId="84" fillId="55" borderId="0" xfId="2" applyNumberFormat="1" applyFont="1" applyFill="1" applyBorder="1" applyAlignment="1">
      <alignment horizontal="center" vertical="center"/>
    </xf>
    <xf numFmtId="175" fontId="84" fillId="55" borderId="0" xfId="0" applyNumberFormat="1" applyFont="1" applyFill="1" applyAlignment="1">
      <alignment horizontal="center" vertical="center"/>
    </xf>
    <xf numFmtId="175" fontId="84" fillId="55" borderId="0" xfId="0" applyNumberFormat="1" applyFont="1" applyFill="1" applyAlignment="1">
      <alignment horizontal="center" vertical="center" wrapText="1"/>
    </xf>
    <xf numFmtId="0" fontId="83" fillId="55" borderId="0" xfId="0" applyFont="1" applyFill="1" applyAlignment="1">
      <alignment vertical="center"/>
    </xf>
    <xf numFmtId="0" fontId="84" fillId="55" borderId="0" xfId="0" applyFont="1" applyFill="1" applyAlignment="1">
      <alignment vertical="center"/>
    </xf>
    <xf numFmtId="175" fontId="84" fillId="55" borderId="0" xfId="2" applyNumberFormat="1" applyFont="1" applyFill="1" applyBorder="1" applyAlignment="1">
      <alignment vertical="center"/>
    </xf>
    <xf numFmtId="175" fontId="84" fillId="55" borderId="0" xfId="0" applyNumberFormat="1" applyFont="1" applyFill="1"/>
    <xf numFmtId="0" fontId="83" fillId="55" borderId="0" xfId="0" quotePrefix="1" applyFont="1" applyFill="1" applyAlignment="1">
      <alignment horizontal="left" vertical="center"/>
    </xf>
    <xf numFmtId="0" fontId="83" fillId="0" borderId="0" xfId="0" applyFont="1" applyAlignment="1">
      <alignment horizontal="left" vertical="center"/>
    </xf>
    <xf numFmtId="0" fontId="84" fillId="0" borderId="0" xfId="0" applyFont="1" applyAlignment="1">
      <alignment horizontal="center" vertical="center"/>
    </xf>
    <xf numFmtId="175" fontId="84" fillId="0" borderId="0" xfId="2" applyNumberFormat="1" applyFont="1" applyFill="1" applyBorder="1" applyAlignment="1">
      <alignment horizontal="center" vertical="center"/>
    </xf>
    <xf numFmtId="175" fontId="84" fillId="0" borderId="0" xfId="0" applyNumberFormat="1" applyFont="1" applyAlignment="1">
      <alignment horizontal="center" vertical="center"/>
    </xf>
    <xf numFmtId="175" fontId="84" fillId="0" borderId="0" xfId="0" applyNumberFormat="1" applyFont="1" applyAlignment="1">
      <alignment horizontal="center" vertical="center" wrapText="1"/>
    </xf>
    <xf numFmtId="0" fontId="83" fillId="0" borderId="0" xfId="0" applyFont="1" applyAlignment="1">
      <alignment vertical="center"/>
    </xf>
    <xf numFmtId="0" fontId="84" fillId="0" borderId="0" xfId="0" applyFont="1" applyAlignment="1">
      <alignment vertical="center"/>
    </xf>
    <xf numFmtId="175" fontId="84" fillId="0" borderId="0" xfId="2" applyNumberFormat="1" applyFont="1" applyFill="1" applyBorder="1" applyAlignment="1">
      <alignment vertical="center"/>
    </xf>
    <xf numFmtId="175" fontId="84" fillId="0" borderId="0" xfId="0" applyNumberFormat="1" applyFont="1"/>
    <xf numFmtId="0" fontId="83" fillId="0" borderId="0" xfId="0" quotePrefix="1" applyFont="1" applyAlignment="1">
      <alignment horizontal="left" vertical="center"/>
    </xf>
    <xf numFmtId="0" fontId="81" fillId="0" borderId="145" xfId="0" applyFont="1" applyBorder="1" applyAlignment="1">
      <alignment vertical="center"/>
    </xf>
    <xf numFmtId="175" fontId="81" fillId="56" borderId="145" xfId="0" applyNumberFormat="1" applyFont="1" applyFill="1" applyBorder="1"/>
    <xf numFmtId="0" fontId="81" fillId="0" borderId="146" xfId="0" applyFont="1" applyBorder="1" applyAlignment="1">
      <alignment vertical="center"/>
    </xf>
    <xf numFmtId="175" fontId="81" fillId="0" borderId="146" xfId="2" applyNumberFormat="1" applyFont="1" applyBorder="1" applyAlignment="1">
      <alignment vertical="center"/>
    </xf>
    <xf numFmtId="175" fontId="81" fillId="56" borderId="146" xfId="0" applyNumberFormat="1" applyFont="1" applyFill="1" applyBorder="1"/>
    <xf numFmtId="175" fontId="81" fillId="0" borderId="145" xfId="2" applyNumberFormat="1" applyFont="1" applyBorder="1" applyAlignment="1">
      <alignment vertical="center"/>
    </xf>
    <xf numFmtId="175" fontId="81" fillId="0" borderId="146" xfId="0" applyNumberFormat="1" applyFont="1" applyBorder="1"/>
    <xf numFmtId="175" fontId="81" fillId="0" borderId="145" xfId="2" applyNumberFormat="1" applyFont="1" applyBorder="1"/>
    <xf numFmtId="0" fontId="81" fillId="0" borderId="145" xfId="0" quotePrefix="1" applyFont="1" applyBorder="1" applyAlignment="1">
      <alignment vertical="center"/>
    </xf>
    <xf numFmtId="175" fontId="81" fillId="0" borderId="145" xfId="0" applyNumberFormat="1" applyFont="1" applyBorder="1"/>
    <xf numFmtId="0" fontId="81" fillId="0" borderId="146" xfId="0" quotePrefix="1" applyFont="1" applyBorder="1" applyAlignment="1">
      <alignment vertical="center"/>
    </xf>
    <xf numFmtId="0" fontId="82" fillId="0" borderId="146" xfId="0" quotePrefix="1" applyFont="1" applyBorder="1" applyAlignment="1">
      <alignment horizontal="left" vertical="center"/>
    </xf>
    <xf numFmtId="0" fontId="82" fillId="0" borderId="145" xfId="0" applyFont="1" applyBorder="1" applyAlignment="1">
      <alignment horizontal="left" vertical="center"/>
    </xf>
    <xf numFmtId="175" fontId="81" fillId="56" borderId="146" xfId="2" applyNumberFormat="1" applyFont="1" applyFill="1" applyBorder="1" applyAlignment="1">
      <alignment vertical="center"/>
    </xf>
    <xf numFmtId="0" fontId="81" fillId="56" borderId="146" xfId="0" quotePrefix="1" applyFont="1" applyFill="1" applyBorder="1" applyAlignment="1">
      <alignment vertical="center"/>
    </xf>
    <xf numFmtId="0" fontId="81" fillId="56" borderId="146" xfId="0" applyFont="1" applyFill="1" applyBorder="1" applyAlignment="1">
      <alignment vertical="center"/>
    </xf>
    <xf numFmtId="0" fontId="81" fillId="0" borderId="7" xfId="0" applyFont="1" applyBorder="1" applyAlignment="1">
      <alignment vertical="center"/>
    </xf>
    <xf numFmtId="175" fontId="81" fillId="0" borderId="7" xfId="2" applyNumberFormat="1" applyFont="1" applyBorder="1" applyAlignment="1">
      <alignment vertical="center"/>
    </xf>
    <xf numFmtId="0" fontId="81" fillId="0" borderId="0" xfId="0" applyFont="1" applyAlignment="1">
      <alignment horizontal="left" vertical="center"/>
    </xf>
    <xf numFmtId="175" fontId="83" fillId="55" borderId="0" xfId="2" applyNumberFormat="1" applyFont="1" applyFill="1" applyBorder="1" applyAlignment="1">
      <alignment horizontal="center" vertical="center"/>
    </xf>
    <xf numFmtId="175" fontId="83" fillId="55" borderId="0" xfId="0" applyNumberFormat="1" applyFont="1" applyFill="1" applyAlignment="1">
      <alignment horizontal="center" vertical="center"/>
    </xf>
    <xf numFmtId="175" fontId="83" fillId="55" borderId="7" xfId="2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 wrapText="1"/>
    </xf>
    <xf numFmtId="0" fontId="81" fillId="0" borderId="147" xfId="0" applyFont="1" applyBorder="1" applyAlignment="1">
      <alignment vertical="center"/>
    </xf>
    <xf numFmtId="9" fontId="81" fillId="56" borderId="145" xfId="0" quotePrefix="1" applyNumberFormat="1" applyFont="1" applyFill="1" applyBorder="1"/>
    <xf numFmtId="10" fontId="81" fillId="0" borderId="145" xfId="3" applyNumberFormat="1" applyFont="1" applyBorder="1" applyAlignment="1">
      <alignment vertical="center"/>
    </xf>
    <xf numFmtId="175" fontId="81" fillId="0" borderId="146" xfId="2" applyNumberFormat="1" applyFont="1" applyBorder="1"/>
    <xf numFmtId="175" fontId="81" fillId="53" borderId="146" xfId="2" applyNumberFormat="1" applyFont="1" applyFill="1" applyBorder="1"/>
    <xf numFmtId="168" fontId="81" fillId="0" borderId="146" xfId="3" applyNumberFormat="1" applyFont="1" applyBorder="1"/>
    <xf numFmtId="10" fontId="81" fillId="0" borderId="146" xfId="3" applyNumberFormat="1" applyFont="1" applyBorder="1"/>
    <xf numFmtId="9" fontId="81" fillId="0" borderId="0" xfId="3" applyFont="1"/>
    <xf numFmtId="168" fontId="81" fillId="0" borderId="146" xfId="0" applyNumberFormat="1" applyFont="1" applyBorder="1"/>
    <xf numFmtId="41" fontId="81" fillId="0" borderId="0" xfId="2" applyFont="1"/>
    <xf numFmtId="169" fontId="81" fillId="0" borderId="0" xfId="0" applyNumberFormat="1" applyFont="1"/>
    <xf numFmtId="0" fontId="87" fillId="0" borderId="0" xfId="5" applyFont="1" applyAlignment="1">
      <alignment horizontal="center" vertical="center"/>
    </xf>
    <xf numFmtId="0" fontId="90" fillId="0" borderId="0" xfId="5" applyFont="1" applyAlignment="1">
      <alignment horizontal="center"/>
    </xf>
    <xf numFmtId="3" fontId="90" fillId="0" borderId="0" xfId="5" applyNumberFormat="1" applyFont="1"/>
    <xf numFmtId="38" fontId="93" fillId="0" borderId="0" xfId="5" applyNumberFormat="1" applyFont="1" applyAlignment="1">
      <alignment horizontal="left" vertical="center"/>
    </xf>
    <xf numFmtId="38" fontId="90" fillId="0" borderId="0" xfId="5" applyNumberFormat="1" applyFont="1" applyAlignment="1">
      <alignment horizontal="right" vertical="center"/>
    </xf>
    <xf numFmtId="0" fontId="90" fillId="0" borderId="0" xfId="5" applyFont="1" applyAlignment="1">
      <alignment horizontal="center" vertical="center"/>
    </xf>
    <xf numFmtId="38" fontId="70" fillId="0" borderId="0" xfId="6" applyNumberFormat="1" applyFont="1" applyFill="1" applyAlignment="1">
      <alignment vertical="center"/>
    </xf>
    <xf numFmtId="38" fontId="70" fillId="0" borderId="0" xfId="7" applyNumberFormat="1" applyFont="1" applyFill="1" applyAlignment="1">
      <alignment vertical="center"/>
    </xf>
    <xf numFmtId="38" fontId="70" fillId="0" borderId="0" xfId="6" applyNumberFormat="1" applyFont="1" applyFill="1" applyBorder="1" applyAlignment="1">
      <alignment vertical="center"/>
    </xf>
    <xf numFmtId="38" fontId="70" fillId="0" borderId="0" xfId="7" applyNumberFormat="1" applyFont="1" applyFill="1" applyBorder="1" applyAlignment="1">
      <alignment vertical="center"/>
    </xf>
    <xf numFmtId="38" fontId="70" fillId="0" borderId="0" xfId="6" applyNumberFormat="1" applyFont="1" applyFill="1" applyBorder="1" applyAlignment="1"/>
    <xf numFmtId="38" fontId="70" fillId="0" borderId="0" xfId="7" applyNumberFormat="1" applyFont="1" applyFill="1" applyBorder="1" applyAlignment="1"/>
    <xf numFmtId="38" fontId="87" fillId="0" borderId="0" xfId="5" applyNumberFormat="1" applyFont="1" applyAlignment="1">
      <alignment horizontal="center" vertical="center"/>
    </xf>
    <xf numFmtId="38" fontId="87" fillId="0" borderId="0" xfId="6" applyNumberFormat="1" applyFont="1" applyFill="1" applyBorder="1" applyAlignment="1">
      <alignment horizontal="center" vertical="center"/>
    </xf>
    <xf numFmtId="38" fontId="87" fillId="0" borderId="0" xfId="7" applyNumberFormat="1" applyFont="1" applyFill="1" applyBorder="1" applyAlignment="1">
      <alignment horizontal="center" vertical="center"/>
    </xf>
    <xf numFmtId="0" fontId="88" fillId="0" borderId="0" xfId="5" applyFont="1" applyAlignment="1">
      <alignment vertical="center"/>
    </xf>
    <xf numFmtId="38" fontId="90" fillId="0" borderId="0" xfId="5" applyNumberFormat="1" applyFont="1" applyAlignment="1">
      <alignment horizontal="center"/>
    </xf>
    <xf numFmtId="38" fontId="90" fillId="0" borderId="0" xfId="6" applyNumberFormat="1" applyFont="1" applyFill="1" applyBorder="1" applyAlignment="1">
      <alignment horizontal="center"/>
    </xf>
    <xf numFmtId="38" fontId="90" fillId="0" borderId="0" xfId="7" applyNumberFormat="1" applyFont="1" applyFill="1" applyBorder="1" applyAlignment="1">
      <alignment horizontal="center"/>
    </xf>
    <xf numFmtId="0" fontId="90" fillId="0" borderId="0" xfId="5" applyFont="1"/>
    <xf numFmtId="38" fontId="90" fillId="0" borderId="0" xfId="5" applyNumberFormat="1" applyFont="1"/>
    <xf numFmtId="38" fontId="90" fillId="0" borderId="0" xfId="6" applyNumberFormat="1" applyFont="1" applyFill="1" applyBorder="1"/>
    <xf numFmtId="38" fontId="90" fillId="0" borderId="0" xfId="7" applyNumberFormat="1" applyFont="1" applyFill="1" applyBorder="1"/>
    <xf numFmtId="38" fontId="70" fillId="0" borderId="0" xfId="6" applyNumberFormat="1" applyFont="1" applyFill="1"/>
    <xf numFmtId="38" fontId="70" fillId="0" borderId="0" xfId="7" applyNumberFormat="1" applyFont="1" applyFill="1"/>
    <xf numFmtId="38" fontId="70" fillId="0" borderId="0" xfId="6" applyNumberFormat="1" applyFont="1" applyFill="1" applyBorder="1" applyAlignment="1">
      <alignment horizontal="center"/>
    </xf>
    <xf numFmtId="38" fontId="70" fillId="0" borderId="0" xfId="7" applyNumberFormat="1" applyFont="1" applyFill="1" applyAlignment="1">
      <alignment horizontal="center"/>
    </xf>
    <xf numFmtId="0" fontId="90" fillId="0" borderId="0" xfId="5" applyFont="1" applyAlignment="1">
      <alignment vertical="center"/>
    </xf>
    <xf numFmtId="0" fontId="89" fillId="0" borderId="0" xfId="5" applyFont="1" applyAlignment="1">
      <alignment horizontal="center" vertical="center"/>
    </xf>
    <xf numFmtId="1" fontId="89" fillId="0" borderId="0" xfId="5" applyNumberFormat="1" applyFont="1" applyAlignment="1">
      <alignment horizontal="center" vertical="center"/>
    </xf>
    <xf numFmtId="38" fontId="89" fillId="0" borderId="0" xfId="5" applyNumberFormat="1" applyFont="1" applyAlignment="1">
      <alignment horizontal="center" vertical="center"/>
    </xf>
    <xf numFmtId="38" fontId="89" fillId="0" borderId="0" xfId="7" applyNumberFormat="1" applyFont="1" applyFill="1" applyBorder="1" applyAlignment="1">
      <alignment horizontal="center" vertical="center"/>
    </xf>
    <xf numFmtId="38" fontId="90" fillId="0" borderId="0" xfId="5" applyNumberFormat="1" applyFont="1" applyAlignment="1">
      <alignment horizontal="center" vertical="center"/>
    </xf>
    <xf numFmtId="38" fontId="90" fillId="0" borderId="0" xfId="6" applyNumberFormat="1" applyFont="1" applyFill="1" applyBorder="1" applyAlignment="1">
      <alignment horizontal="center" vertical="center"/>
    </xf>
    <xf numFmtId="38" fontId="90" fillId="0" borderId="0" xfId="7" applyNumberFormat="1" applyFont="1" applyFill="1" applyAlignment="1">
      <alignment horizontal="center" vertical="center"/>
    </xf>
    <xf numFmtId="38" fontId="71" fillId="0" borderId="83" xfId="7" applyNumberFormat="1" applyFont="1" applyFill="1" applyBorder="1" applyAlignment="1">
      <alignment horizontal="right"/>
    </xf>
    <xf numFmtId="38" fontId="71" fillId="0" borderId="84" xfId="7" applyNumberFormat="1" applyFont="1" applyFill="1" applyBorder="1" applyAlignment="1">
      <alignment horizontal="right"/>
    </xf>
    <xf numFmtId="38" fontId="71" fillId="0" borderId="118" xfId="5" applyNumberFormat="1" applyFont="1" applyBorder="1" applyAlignment="1">
      <alignment horizontal="right" vertical="center"/>
    </xf>
    <xf numFmtId="38" fontId="71" fillId="56" borderId="84" xfId="7" applyNumberFormat="1" applyFont="1" applyFill="1" applyBorder="1" applyAlignment="1">
      <alignment horizontal="right"/>
    </xf>
    <xf numFmtId="38" fontId="71" fillId="56" borderId="119" xfId="5" applyNumberFormat="1" applyFont="1" applyFill="1" applyBorder="1" applyAlignment="1">
      <alignment horizontal="right" vertical="center"/>
    </xf>
    <xf numFmtId="38" fontId="71" fillId="0" borderId="37" xfId="7" applyNumberFormat="1" applyFont="1" applyFill="1" applyBorder="1" applyAlignment="1">
      <alignment horizontal="right"/>
    </xf>
    <xf numFmtId="0" fontId="71" fillId="0" borderId="83" xfId="5" applyFont="1" applyBorder="1" applyAlignment="1">
      <alignment horizontal="center"/>
    </xf>
    <xf numFmtId="0" fontId="71" fillId="0" borderId="84" xfId="5" applyFont="1" applyBorder="1" applyAlignment="1">
      <alignment horizontal="center"/>
    </xf>
    <xf numFmtId="38" fontId="71" fillId="0" borderId="118" xfId="5" applyNumberFormat="1" applyFont="1" applyBorder="1" applyAlignment="1">
      <alignment vertical="center"/>
    </xf>
    <xf numFmtId="38" fontId="71" fillId="0" borderId="119" xfId="5" applyNumberFormat="1" applyFont="1" applyBorder="1" applyAlignment="1">
      <alignment vertical="center"/>
    </xf>
    <xf numFmtId="175" fontId="71" fillId="0" borderId="84" xfId="5" applyNumberFormat="1" applyFont="1" applyBorder="1" applyAlignment="1">
      <alignment horizontal="right"/>
    </xf>
    <xf numFmtId="38" fontId="70" fillId="0" borderId="84" xfId="5" applyNumberFormat="1" applyFont="1" applyBorder="1" applyAlignment="1">
      <alignment horizontal="right"/>
    </xf>
    <xf numFmtId="38" fontId="71" fillId="0" borderId="84" xfId="5" applyNumberFormat="1" applyFont="1" applyBorder="1" applyAlignment="1">
      <alignment horizontal="right"/>
    </xf>
    <xf numFmtId="0" fontId="70" fillId="56" borderId="90" xfId="5" applyFont="1" applyFill="1" applyBorder="1" applyAlignment="1">
      <alignment horizontal="center" vertical="top"/>
    </xf>
    <xf numFmtId="0" fontId="70" fillId="56" borderId="97" xfId="5" applyFont="1" applyFill="1" applyBorder="1" applyAlignment="1">
      <alignment horizontal="center" vertical="top"/>
    </xf>
    <xf numFmtId="0" fontId="71" fillId="56" borderId="84" xfId="5" applyFont="1" applyFill="1" applyBorder="1" applyAlignment="1">
      <alignment horizontal="center"/>
    </xf>
    <xf numFmtId="0" fontId="70" fillId="56" borderId="84" xfId="5" applyFont="1" applyFill="1" applyBorder="1" applyAlignment="1">
      <alignment horizontal="center"/>
    </xf>
    <xf numFmtId="38" fontId="71" fillId="0" borderId="38" xfId="5" applyNumberFormat="1" applyFont="1" applyBorder="1" applyAlignment="1">
      <alignment horizontal="center"/>
    </xf>
    <xf numFmtId="38" fontId="70" fillId="0" borderId="95" xfId="5" applyNumberFormat="1" applyFont="1" applyBorder="1" applyAlignment="1">
      <alignment horizontal="center" vertical="center" wrapText="1"/>
    </xf>
    <xf numFmtId="38" fontId="70" fillId="56" borderId="96" xfId="5" applyNumberFormat="1" applyFont="1" applyFill="1" applyBorder="1" applyAlignment="1">
      <alignment horizontal="center" vertical="center"/>
    </xf>
    <xf numFmtId="38" fontId="70" fillId="0" borderId="83" xfId="5" applyNumberFormat="1" applyFont="1" applyBorder="1" applyAlignment="1">
      <alignment horizontal="right"/>
    </xf>
    <xf numFmtId="38" fontId="70" fillId="56" borderId="84" xfId="5" applyNumberFormat="1" applyFont="1" applyFill="1" applyBorder="1" applyAlignment="1">
      <alignment horizontal="right"/>
    </xf>
    <xf numFmtId="38" fontId="70" fillId="0" borderId="95" xfId="5" applyNumberFormat="1" applyFont="1" applyBorder="1" applyAlignment="1">
      <alignment horizontal="right"/>
    </xf>
    <xf numFmtId="38" fontId="70" fillId="56" borderId="96" xfId="5" applyNumberFormat="1" applyFont="1" applyFill="1" applyBorder="1" applyAlignment="1">
      <alignment horizontal="right"/>
    </xf>
    <xf numFmtId="38" fontId="70" fillId="0" borderId="96" xfId="5" applyNumberFormat="1" applyFont="1" applyBorder="1" applyAlignment="1">
      <alignment horizontal="right"/>
    </xf>
    <xf numFmtId="38" fontId="70" fillId="0" borderId="142" xfId="5" applyNumberFormat="1" applyFont="1" applyBorder="1" applyAlignment="1">
      <alignment horizontal="right"/>
    </xf>
    <xf numFmtId="38" fontId="70" fillId="56" borderId="119" xfId="6" applyNumberFormat="1" applyFont="1" applyFill="1" applyBorder="1" applyAlignment="1">
      <alignment vertical="center"/>
    </xf>
    <xf numFmtId="174" fontId="70" fillId="0" borderId="120" xfId="6" applyNumberFormat="1" applyFont="1" applyFill="1" applyBorder="1" applyAlignment="1">
      <alignment vertical="center"/>
    </xf>
    <xf numFmtId="38" fontId="70" fillId="0" borderId="38" xfId="5" applyNumberFormat="1" applyFont="1" applyBorder="1" applyAlignment="1">
      <alignment horizontal="right"/>
    </xf>
    <xf numFmtId="38" fontId="70" fillId="0" borderId="83" xfId="6" applyNumberFormat="1" applyFont="1" applyFill="1" applyBorder="1" applyAlignment="1">
      <alignment horizontal="right"/>
    </xf>
    <xf numFmtId="38" fontId="70" fillId="0" borderId="84" xfId="6" applyNumberFormat="1" applyFont="1" applyFill="1" applyBorder="1" applyAlignment="1">
      <alignment horizontal="right"/>
    </xf>
    <xf numFmtId="38" fontId="70" fillId="0" borderId="38" xfId="6" applyNumberFormat="1" applyFont="1" applyFill="1" applyBorder="1" applyAlignment="1">
      <alignment horizontal="right"/>
    </xf>
    <xf numFmtId="38" fontId="70" fillId="0" borderId="95" xfId="6" applyNumberFormat="1" applyFont="1" applyFill="1" applyBorder="1" applyAlignment="1">
      <alignment horizontal="right"/>
    </xf>
    <xf numFmtId="38" fontId="70" fillId="0" borderId="96" xfId="6" applyNumberFormat="1" applyFont="1" applyFill="1" applyBorder="1" applyAlignment="1">
      <alignment horizontal="right"/>
    </xf>
    <xf numFmtId="38" fontId="70" fillId="0" borderId="142" xfId="6" applyNumberFormat="1" applyFont="1" applyFill="1" applyBorder="1" applyAlignment="1">
      <alignment horizontal="right"/>
    </xf>
    <xf numFmtId="38" fontId="70" fillId="0" borderId="83" xfId="7" applyNumberFormat="1" applyFont="1" applyFill="1" applyBorder="1" applyAlignment="1">
      <alignment horizontal="right"/>
    </xf>
    <xf numFmtId="38" fontId="70" fillId="0" borderId="38" xfId="7" applyNumberFormat="1" applyFont="1" applyFill="1" applyBorder="1" applyAlignment="1">
      <alignment horizontal="right"/>
    </xf>
    <xf numFmtId="38" fontId="70" fillId="0" borderId="95" xfId="7" applyNumberFormat="1" applyFont="1" applyFill="1" applyBorder="1" applyAlignment="1">
      <alignment horizontal="right"/>
    </xf>
    <xf numFmtId="38" fontId="70" fillId="0" borderId="142" xfId="7" applyNumberFormat="1" applyFont="1" applyFill="1" applyBorder="1" applyAlignment="1">
      <alignment horizontal="right"/>
    </xf>
    <xf numFmtId="38" fontId="71" fillId="56" borderId="119" xfId="5" applyNumberFormat="1" applyFont="1" applyFill="1" applyBorder="1" applyAlignment="1">
      <alignment vertical="center"/>
    </xf>
    <xf numFmtId="177" fontId="81" fillId="0" borderId="0" xfId="0" applyNumberFormat="1" applyFont="1"/>
    <xf numFmtId="0" fontId="81" fillId="0" borderId="7" xfId="0" applyFont="1" applyBorder="1"/>
    <xf numFmtId="0" fontId="81" fillId="52" borderId="7" xfId="0" applyFont="1" applyFill="1" applyBorder="1"/>
    <xf numFmtId="10" fontId="81" fillId="52" borderId="7" xfId="3" applyNumberFormat="1" applyFont="1" applyFill="1" applyBorder="1"/>
    <xf numFmtId="41" fontId="81" fillId="52" borderId="7" xfId="2" applyFont="1" applyFill="1" applyBorder="1"/>
    <xf numFmtId="0" fontId="81" fillId="0" borderId="0" xfId="0" quotePrefix="1" applyFont="1" applyAlignment="1">
      <alignment vertical="center"/>
    </xf>
    <xf numFmtId="0" fontId="82" fillId="0" borderId="0" xfId="0" applyFont="1"/>
    <xf numFmtId="41" fontId="81" fillId="0" borderId="0" xfId="2" applyFont="1" applyFill="1" applyBorder="1"/>
    <xf numFmtId="41" fontId="96" fillId="0" borderId="7" xfId="2" applyFont="1" applyFill="1" applyBorder="1"/>
    <xf numFmtId="41" fontId="96" fillId="0" borderId="7" xfId="2" applyFont="1" applyBorder="1"/>
    <xf numFmtId="41" fontId="96" fillId="0" borderId="7" xfId="0" applyNumberFormat="1" applyFont="1" applyBorder="1"/>
    <xf numFmtId="175" fontId="81" fillId="0" borderId="0" xfId="2" applyNumberFormat="1" applyFont="1" applyFill="1" applyBorder="1" applyAlignment="1">
      <alignment vertical="center"/>
    </xf>
    <xf numFmtId="10" fontId="81" fillId="0" borderId="146" xfId="3" applyNumberFormat="1" applyFont="1" applyFill="1" applyBorder="1" applyAlignment="1">
      <alignment vertical="center"/>
    </xf>
    <xf numFmtId="175" fontId="81" fillId="0" borderId="146" xfId="2" applyNumberFormat="1" applyFont="1" applyFill="1" applyBorder="1" applyAlignment="1">
      <alignment horizontal="right" vertical="center"/>
    </xf>
    <xf numFmtId="10" fontId="81" fillId="0" borderId="146" xfId="3" quotePrefix="1" applyNumberFormat="1" applyFont="1" applyFill="1" applyBorder="1" applyAlignment="1">
      <alignment horizontal="right" vertical="center"/>
    </xf>
    <xf numFmtId="171" fontId="81" fillId="0" borderId="146" xfId="1" quotePrefix="1" applyNumberFormat="1" applyFont="1" applyBorder="1"/>
    <xf numFmtId="9" fontId="81" fillId="0" borderId="146" xfId="0" quotePrefix="1" applyNumberFormat="1" applyFont="1" applyBorder="1"/>
    <xf numFmtId="175" fontId="72" fillId="0" borderId="119" xfId="5" applyNumberFormat="1" applyFont="1" applyBorder="1" applyAlignment="1">
      <alignment vertical="center"/>
    </xf>
    <xf numFmtId="37" fontId="72" fillId="0" borderId="119" xfId="5" applyNumberFormat="1" applyFont="1" applyBorder="1" applyAlignment="1">
      <alignment horizontal="right" vertical="center"/>
    </xf>
    <xf numFmtId="38" fontId="70" fillId="0" borderId="118" xfId="5" applyNumberFormat="1" applyFont="1" applyBorder="1" applyAlignment="1">
      <alignment horizontal="right" vertical="center"/>
    </xf>
    <xf numFmtId="38" fontId="70" fillId="56" borderId="119" xfId="5" applyNumberFormat="1" applyFont="1" applyFill="1" applyBorder="1" applyAlignment="1">
      <alignment horizontal="right" vertical="center"/>
    </xf>
    <xf numFmtId="38" fontId="71" fillId="0" borderId="119" xfId="10" applyFont="1" applyFill="1" applyBorder="1" applyAlignment="1">
      <alignment horizontal="right"/>
    </xf>
    <xf numFmtId="38" fontId="71" fillId="0" borderId="120" xfId="5" applyNumberFormat="1" applyFont="1" applyBorder="1" applyAlignment="1">
      <alignment vertical="center"/>
    </xf>
    <xf numFmtId="0" fontId="71" fillId="53" borderId="0" xfId="5" applyFont="1" applyFill="1" applyAlignment="1">
      <alignment horizontal="center"/>
    </xf>
    <xf numFmtId="0" fontId="71" fillId="53" borderId="37" xfId="5" applyFont="1" applyFill="1" applyBorder="1" applyAlignment="1">
      <alignment horizontal="center"/>
    </xf>
    <xf numFmtId="38" fontId="71" fillId="53" borderId="150" xfId="5" applyNumberFormat="1" applyFont="1" applyFill="1" applyBorder="1" applyAlignment="1">
      <alignment vertical="center"/>
    </xf>
    <xf numFmtId="0" fontId="71" fillId="53" borderId="83" xfId="5" applyFont="1" applyFill="1" applyBorder="1" applyAlignment="1">
      <alignment horizontal="right"/>
    </xf>
    <xf numFmtId="38" fontId="95" fillId="53" borderId="118" xfId="5" applyNumberFormat="1" applyFont="1" applyFill="1" applyBorder="1" applyAlignment="1">
      <alignment vertical="center"/>
    </xf>
    <xf numFmtId="38" fontId="70" fillId="53" borderId="96" xfId="5" applyNumberFormat="1" applyFont="1" applyFill="1" applyBorder="1" applyAlignment="1">
      <alignment horizontal="center" vertical="center" wrapText="1"/>
    </xf>
    <xf numFmtId="38" fontId="70" fillId="53" borderId="0" xfId="5" applyNumberFormat="1" applyFont="1" applyFill="1" applyAlignment="1">
      <alignment horizontal="center"/>
    </xf>
    <xf numFmtId="38" fontId="70" fillId="53" borderId="84" xfId="5" applyNumberFormat="1" applyFont="1" applyFill="1" applyBorder="1" applyAlignment="1">
      <alignment horizontal="right"/>
    </xf>
    <xf numFmtId="38" fontId="70" fillId="53" borderId="119" xfId="6" applyNumberFormat="1" applyFont="1" applyFill="1" applyBorder="1" applyAlignment="1">
      <alignment vertical="center"/>
    </xf>
    <xf numFmtId="38" fontId="71" fillId="53" borderId="84" xfId="7" applyNumberFormat="1" applyFont="1" applyFill="1" applyBorder="1" applyAlignment="1">
      <alignment horizontal="right"/>
    </xf>
    <xf numFmtId="38" fontId="71" fillId="53" borderId="119" xfId="5" applyNumberFormat="1" applyFont="1" applyFill="1" applyBorder="1" applyAlignment="1">
      <alignment horizontal="right" vertical="center"/>
    </xf>
    <xf numFmtId="0" fontId="70" fillId="55" borderId="0" xfId="5" applyFont="1" applyFill="1"/>
    <xf numFmtId="175" fontId="81" fillId="52" borderId="7" xfId="2" applyNumberFormat="1" applyFont="1" applyFill="1" applyBorder="1"/>
    <xf numFmtId="175" fontId="81" fillId="52" borderId="7" xfId="0" applyNumberFormat="1" applyFont="1" applyFill="1" applyBorder="1"/>
    <xf numFmtId="0" fontId="78" fillId="0" borderId="0" xfId="5" applyFont="1" applyAlignment="1">
      <alignment horizontal="center"/>
    </xf>
    <xf numFmtId="38" fontId="71" fillId="0" borderId="143" xfId="7" applyNumberFormat="1" applyFont="1" applyFill="1" applyBorder="1" applyAlignment="1">
      <alignment horizontal="right"/>
    </xf>
    <xf numFmtId="38" fontId="71" fillId="54" borderId="143" xfId="7" applyNumberFormat="1" applyFont="1" applyFill="1" applyBorder="1" applyAlignment="1">
      <alignment horizontal="right"/>
    </xf>
    <xf numFmtId="37" fontId="78" fillId="0" borderId="150" xfId="5" applyNumberFormat="1" applyFont="1" applyBorder="1" applyAlignment="1">
      <alignment vertical="center"/>
    </xf>
    <xf numFmtId="37" fontId="78" fillId="0" borderId="119" xfId="5" applyNumberFormat="1" applyFont="1" applyBorder="1" applyAlignment="1">
      <alignment vertical="center"/>
    </xf>
    <xf numFmtId="37" fontId="78" fillId="0" borderId="119" xfId="5" applyNumberFormat="1" applyFont="1" applyBorder="1" applyAlignment="1">
      <alignment horizontal="right" vertical="center"/>
    </xf>
    <xf numFmtId="37" fontId="78" fillId="0" borderId="120" xfId="5" applyNumberFormat="1" applyFont="1" applyBorder="1" applyAlignment="1">
      <alignment horizontal="right" vertical="center"/>
    </xf>
    <xf numFmtId="0" fontId="98" fillId="0" borderId="0" xfId="71" applyFont="1"/>
    <xf numFmtId="0" fontId="100" fillId="0" borderId="0" xfId="71" applyFont="1"/>
    <xf numFmtId="0" fontId="101" fillId="0" borderId="0" xfId="71" applyFont="1"/>
    <xf numFmtId="0" fontId="84" fillId="55" borderId="151" xfId="71" applyFont="1" applyFill="1" applyBorder="1" applyAlignment="1">
      <alignment horizontal="center" vertical="center"/>
    </xf>
    <xf numFmtId="0" fontId="84" fillId="55" borderId="152" xfId="71" applyFont="1" applyFill="1" applyBorder="1" applyAlignment="1">
      <alignment horizontal="center" vertical="center"/>
    </xf>
    <xf numFmtId="0" fontId="84" fillId="55" borderId="153" xfId="71" applyFont="1" applyFill="1" applyBorder="1" applyAlignment="1">
      <alignment horizontal="center" vertical="center"/>
    </xf>
    <xf numFmtId="0" fontId="100" fillId="0" borderId="154" xfId="71" applyFont="1" applyBorder="1" applyAlignment="1">
      <alignment horizontal="center" vertical="center"/>
    </xf>
    <xf numFmtId="178" fontId="100" fillId="0" borderId="154" xfId="72" applyNumberFormat="1" applyFont="1" applyBorder="1" applyAlignment="1">
      <alignment vertical="center"/>
    </xf>
    <xf numFmtId="178" fontId="98" fillId="56" borderId="154" xfId="72" applyNumberFormat="1" applyFont="1" applyFill="1" applyBorder="1" applyAlignment="1">
      <alignment vertical="center"/>
    </xf>
    <xf numFmtId="178" fontId="100" fillId="56" borderId="154" xfId="72" applyNumberFormat="1" applyFont="1" applyFill="1" applyBorder="1" applyAlignment="1">
      <alignment vertical="center"/>
    </xf>
    <xf numFmtId="0" fontId="100" fillId="0" borderId="0" xfId="71" applyFont="1" applyAlignment="1">
      <alignment horizontal="center" vertical="center"/>
    </xf>
    <xf numFmtId="178" fontId="100" fillId="0" borderId="0" xfId="72" applyNumberFormat="1" applyFont="1" applyAlignment="1">
      <alignment vertical="center"/>
    </xf>
    <xf numFmtId="178" fontId="98" fillId="0" borderId="0" xfId="72" applyNumberFormat="1" applyFont="1" applyAlignment="1">
      <alignment vertical="center"/>
    </xf>
    <xf numFmtId="0" fontId="101" fillId="0" borderId="0" xfId="71" applyFont="1" applyAlignment="1">
      <alignment horizontal="left" vertical="center"/>
    </xf>
    <xf numFmtId="38" fontId="81" fillId="0" borderId="154" xfId="73" applyFont="1" applyFill="1" applyBorder="1" applyAlignment="1">
      <alignment horizontal="right" vertical="center"/>
    </xf>
    <xf numFmtId="38" fontId="81" fillId="57" borderId="154" xfId="73" applyFont="1" applyFill="1" applyBorder="1" applyAlignment="1">
      <alignment horizontal="right" vertical="center"/>
    </xf>
    <xf numFmtId="38" fontId="100" fillId="0" borderId="154" xfId="71" applyNumberFormat="1" applyFont="1" applyBorder="1" applyAlignment="1">
      <alignment vertical="center"/>
    </xf>
    <xf numFmtId="9" fontId="100" fillId="0" borderId="154" xfId="72" applyFont="1" applyBorder="1" applyAlignment="1">
      <alignment vertical="center"/>
    </xf>
    <xf numFmtId="0" fontId="100" fillId="0" borderId="0" xfId="71" applyFont="1" applyAlignment="1">
      <alignment vertical="center"/>
    </xf>
    <xf numFmtId="9" fontId="100" fillId="0" borderId="0" xfId="71" applyNumberFormat="1" applyFont="1"/>
    <xf numFmtId="38" fontId="100" fillId="0" borderId="154" xfId="73" applyFont="1" applyBorder="1" applyAlignment="1">
      <alignment vertical="center"/>
    </xf>
    <xf numFmtId="38" fontId="100" fillId="57" borderId="154" xfId="73" applyFont="1" applyFill="1" applyBorder="1" applyAlignment="1">
      <alignment vertical="center"/>
    </xf>
    <xf numFmtId="178" fontId="84" fillId="0" borderId="154" xfId="72" applyNumberFormat="1" applyFont="1" applyBorder="1" applyAlignment="1">
      <alignment vertical="center"/>
    </xf>
    <xf numFmtId="0" fontId="84" fillId="55" borderId="155" xfId="71" applyFont="1" applyFill="1" applyBorder="1" applyAlignment="1">
      <alignment horizontal="center" vertical="center"/>
    </xf>
    <xf numFmtId="0" fontId="84" fillId="55" borderId="156" xfId="71" applyFont="1" applyFill="1" applyBorder="1" applyAlignment="1">
      <alignment horizontal="center" vertical="center"/>
    </xf>
    <xf numFmtId="0" fontId="84" fillId="55" borderId="157" xfId="71" applyFont="1" applyFill="1" applyBorder="1" applyAlignment="1">
      <alignment horizontal="center" vertical="center"/>
    </xf>
    <xf numFmtId="178" fontId="100" fillId="56" borderId="159" xfId="72" applyNumberFormat="1" applyFont="1" applyFill="1" applyBorder="1" applyAlignment="1">
      <alignment vertical="center"/>
    </xf>
    <xf numFmtId="178" fontId="98" fillId="56" borderId="159" xfId="72" applyNumberFormat="1" applyFont="1" applyFill="1" applyBorder="1" applyAlignment="1">
      <alignment vertical="center"/>
    </xf>
    <xf numFmtId="0" fontId="100" fillId="0" borderId="160" xfId="71" applyFont="1" applyBorder="1" applyAlignment="1">
      <alignment horizontal="center" vertical="center"/>
    </xf>
    <xf numFmtId="0" fontId="100" fillId="0" borderId="161" xfId="71" applyFont="1" applyBorder="1" applyAlignment="1">
      <alignment horizontal="center" vertical="center"/>
    </xf>
    <xf numFmtId="178" fontId="100" fillId="0" borderId="161" xfId="72" applyNumberFormat="1" applyFont="1" applyBorder="1" applyAlignment="1">
      <alignment vertical="center"/>
    </xf>
    <xf numFmtId="178" fontId="98" fillId="56" borderId="161" xfId="72" applyNumberFormat="1" applyFont="1" applyFill="1" applyBorder="1" applyAlignment="1">
      <alignment vertical="center"/>
    </xf>
    <xf numFmtId="178" fontId="98" fillId="56" borderId="162" xfId="72" applyNumberFormat="1" applyFont="1" applyFill="1" applyBorder="1" applyAlignment="1">
      <alignment vertical="center"/>
    </xf>
    <xf numFmtId="0" fontId="102" fillId="0" borderId="0" xfId="0" applyFont="1" applyAlignment="1">
      <alignment vertical="center"/>
    </xf>
    <xf numFmtId="0" fontId="81" fillId="0" borderId="0" xfId="0" applyFont="1" applyAlignment="1">
      <alignment horizontal="center" vertical="center" wrapText="1"/>
    </xf>
    <xf numFmtId="0" fontId="103" fillId="55" borderId="163" xfId="0" applyFont="1" applyFill="1" applyBorder="1" applyAlignment="1">
      <alignment horizontal="center" vertical="center" wrapText="1"/>
    </xf>
    <xf numFmtId="0" fontId="103" fillId="55" borderId="164" xfId="0" applyFont="1" applyFill="1" applyBorder="1" applyAlignment="1">
      <alignment horizontal="center" vertical="center" wrapText="1"/>
    </xf>
    <xf numFmtId="0" fontId="103" fillId="58" borderId="164" xfId="0" applyFont="1" applyFill="1" applyBorder="1" applyAlignment="1">
      <alignment horizontal="center" vertical="center" wrapText="1"/>
    </xf>
    <xf numFmtId="0" fontId="103" fillId="55" borderId="165" xfId="0" applyFont="1" applyFill="1" applyBorder="1" applyAlignment="1">
      <alignment horizontal="center" vertical="center" wrapText="1"/>
    </xf>
    <xf numFmtId="0" fontId="81" fillId="0" borderId="46" xfId="0" applyFont="1" applyBorder="1" applyAlignment="1">
      <alignment vertical="center"/>
    </xf>
    <xf numFmtId="10" fontId="81" fillId="0" borderId="46" xfId="3" applyNumberFormat="1" applyFont="1" applyBorder="1" applyAlignment="1">
      <alignment vertical="center"/>
    </xf>
    <xf numFmtId="41" fontId="81" fillId="0" borderId="46" xfId="0" applyNumberFormat="1" applyFont="1" applyBorder="1" applyAlignment="1">
      <alignment vertical="center"/>
    </xf>
    <xf numFmtId="9" fontId="81" fillId="0" borderId="46" xfId="3" applyFont="1" applyBorder="1" applyAlignment="1">
      <alignment vertical="center"/>
    </xf>
    <xf numFmtId="171" fontId="81" fillId="0" borderId="46" xfId="0" applyNumberFormat="1" applyFont="1" applyBorder="1" applyAlignment="1">
      <alignment vertical="center"/>
    </xf>
    <xf numFmtId="179" fontId="104" fillId="0" borderId="46" xfId="0" applyNumberFormat="1" applyFont="1" applyBorder="1" applyAlignment="1">
      <alignment vertical="center"/>
    </xf>
    <xf numFmtId="171" fontId="104" fillId="0" borderId="46" xfId="1" applyNumberFormat="1" applyFont="1" applyBorder="1" applyAlignment="1">
      <alignment vertical="center"/>
    </xf>
    <xf numFmtId="0" fontId="81" fillId="0" borderId="50" xfId="0" applyFont="1" applyBorder="1" applyAlignment="1">
      <alignment vertical="center"/>
    </xf>
    <xf numFmtId="10" fontId="81" fillId="0" borderId="50" xfId="3" applyNumberFormat="1" applyFont="1" applyBorder="1" applyAlignment="1">
      <alignment vertical="center"/>
    </xf>
    <xf numFmtId="41" fontId="81" fillId="0" borderId="50" xfId="0" applyNumberFormat="1" applyFont="1" applyBorder="1" applyAlignment="1">
      <alignment vertical="center"/>
    </xf>
    <xf numFmtId="9" fontId="81" fillId="0" borderId="50" xfId="3" applyFont="1" applyBorder="1" applyAlignment="1">
      <alignment vertical="center"/>
    </xf>
    <xf numFmtId="171" fontId="81" fillId="0" borderId="50" xfId="0" applyNumberFormat="1" applyFont="1" applyBorder="1" applyAlignment="1">
      <alignment vertical="center"/>
    </xf>
    <xf numFmtId="179" fontId="104" fillId="0" borderId="50" xfId="0" applyNumberFormat="1" applyFont="1" applyBorder="1" applyAlignment="1">
      <alignment vertical="center"/>
    </xf>
    <xf numFmtId="171" fontId="104" fillId="0" borderId="50" xfId="1" applyNumberFormat="1" applyFont="1" applyBorder="1" applyAlignment="1">
      <alignment vertical="center"/>
    </xf>
    <xf numFmtId="179" fontId="104" fillId="0" borderId="50" xfId="0" applyNumberFormat="1" applyFont="1" applyBorder="1"/>
    <xf numFmtId="0" fontId="81" fillId="0" borderId="166" xfId="0" applyFont="1" applyBorder="1" applyAlignment="1">
      <alignment vertical="center"/>
    </xf>
    <xf numFmtId="10" fontId="81" fillId="0" borderId="166" xfId="3" applyNumberFormat="1" applyFont="1" applyBorder="1" applyAlignment="1">
      <alignment vertical="center"/>
    </xf>
    <xf numFmtId="41" fontId="81" fillId="0" borderId="166" xfId="0" applyNumberFormat="1" applyFont="1" applyBorder="1" applyAlignment="1">
      <alignment vertical="center"/>
    </xf>
    <xf numFmtId="9" fontId="81" fillId="0" borderId="166" xfId="3" applyFont="1" applyBorder="1" applyAlignment="1">
      <alignment vertical="center"/>
    </xf>
    <xf numFmtId="171" fontId="81" fillId="0" borderId="166" xfId="0" applyNumberFormat="1" applyFont="1" applyBorder="1" applyAlignment="1">
      <alignment vertical="center"/>
    </xf>
    <xf numFmtId="179" fontId="104" fillId="0" borderId="166" xfId="0" applyNumberFormat="1" applyFont="1" applyBorder="1" applyAlignment="1">
      <alignment vertical="center"/>
    </xf>
    <xf numFmtId="171" fontId="104" fillId="0" borderId="166" xfId="1" applyNumberFormat="1" applyFont="1" applyBorder="1" applyAlignment="1">
      <alignment vertical="center"/>
    </xf>
    <xf numFmtId="0" fontId="81" fillId="52" borderId="46" xfId="0" applyFont="1" applyFill="1" applyBorder="1" applyAlignment="1">
      <alignment vertical="center"/>
    </xf>
    <xf numFmtId="10" fontId="81" fillId="52" borderId="46" xfId="3" applyNumberFormat="1" applyFont="1" applyFill="1" applyBorder="1" applyAlignment="1">
      <alignment vertical="center"/>
    </xf>
    <xf numFmtId="41" fontId="81" fillId="52" borderId="46" xfId="0" applyNumberFormat="1" applyFont="1" applyFill="1" applyBorder="1" applyAlignment="1">
      <alignment vertical="center"/>
    </xf>
    <xf numFmtId="9" fontId="81" fillId="52" borderId="46" xfId="3" applyFont="1" applyFill="1" applyBorder="1" applyAlignment="1">
      <alignment vertical="center"/>
    </xf>
    <xf numFmtId="171" fontId="81" fillId="52" borderId="46" xfId="0" applyNumberFormat="1" applyFont="1" applyFill="1" applyBorder="1" applyAlignment="1">
      <alignment vertical="center"/>
    </xf>
    <xf numFmtId="179" fontId="104" fillId="52" borderId="46" xfId="0" applyNumberFormat="1" applyFont="1" applyFill="1" applyBorder="1" applyAlignment="1">
      <alignment vertical="center"/>
    </xf>
    <xf numFmtId="171" fontId="104" fillId="52" borderId="46" xfId="1" applyNumberFormat="1" applyFont="1" applyFill="1" applyBorder="1" applyAlignment="1">
      <alignment vertical="center"/>
    </xf>
    <xf numFmtId="0" fontId="81" fillId="52" borderId="50" xfId="0" applyFont="1" applyFill="1" applyBorder="1" applyAlignment="1">
      <alignment vertical="center"/>
    </xf>
    <xf numFmtId="10" fontId="81" fillId="52" borderId="50" xfId="3" applyNumberFormat="1" applyFont="1" applyFill="1" applyBorder="1" applyAlignment="1">
      <alignment vertical="center"/>
    </xf>
    <xf numFmtId="41" fontId="81" fillId="52" borderId="50" xfId="0" applyNumberFormat="1" applyFont="1" applyFill="1" applyBorder="1" applyAlignment="1">
      <alignment vertical="center"/>
    </xf>
    <xf numFmtId="9" fontId="81" fillId="52" borderId="50" xfId="3" applyFont="1" applyFill="1" applyBorder="1" applyAlignment="1">
      <alignment vertical="center"/>
    </xf>
    <xf numFmtId="171" fontId="81" fillId="52" borderId="50" xfId="0" applyNumberFormat="1" applyFont="1" applyFill="1" applyBorder="1" applyAlignment="1">
      <alignment vertical="center"/>
    </xf>
    <xf numFmtId="179" fontId="104" fillId="52" borderId="50" xfId="0" applyNumberFormat="1" applyFont="1" applyFill="1" applyBorder="1" applyAlignment="1">
      <alignment vertical="center"/>
    </xf>
    <xf numFmtId="171" fontId="104" fillId="52" borderId="50" xfId="1" applyNumberFormat="1" applyFont="1" applyFill="1" applyBorder="1" applyAlignment="1">
      <alignment vertical="center"/>
    </xf>
    <xf numFmtId="179" fontId="104" fillId="52" borderId="50" xfId="0" applyNumberFormat="1" applyFont="1" applyFill="1" applyBorder="1"/>
    <xf numFmtId="0" fontId="81" fillId="52" borderId="166" xfId="0" applyFont="1" applyFill="1" applyBorder="1" applyAlignment="1">
      <alignment vertical="center"/>
    </xf>
    <xf numFmtId="10" fontId="81" fillId="52" borderId="166" xfId="3" applyNumberFormat="1" applyFont="1" applyFill="1" applyBorder="1" applyAlignment="1">
      <alignment vertical="center"/>
    </xf>
    <xf numFmtId="41" fontId="81" fillId="52" borderId="166" xfId="0" applyNumberFormat="1" applyFont="1" applyFill="1" applyBorder="1" applyAlignment="1">
      <alignment vertical="center"/>
    </xf>
    <xf numFmtId="9" fontId="81" fillId="52" borderId="166" xfId="3" applyFont="1" applyFill="1" applyBorder="1" applyAlignment="1">
      <alignment vertical="center"/>
    </xf>
    <xf numFmtId="171" fontId="81" fillId="52" borderId="166" xfId="0" applyNumberFormat="1" applyFont="1" applyFill="1" applyBorder="1" applyAlignment="1">
      <alignment vertical="center"/>
    </xf>
    <xf numFmtId="179" fontId="104" fillId="52" borderId="166" xfId="0" applyNumberFormat="1" applyFont="1" applyFill="1" applyBorder="1" applyAlignment="1">
      <alignment vertical="center"/>
    </xf>
    <xf numFmtId="171" fontId="104" fillId="52" borderId="166" xfId="1" applyNumberFormat="1" applyFont="1" applyFill="1" applyBorder="1" applyAlignment="1">
      <alignment vertical="center"/>
    </xf>
    <xf numFmtId="9" fontId="81" fillId="0" borderId="42" xfId="3" applyFont="1" applyBorder="1" applyAlignment="1">
      <alignment vertical="center"/>
    </xf>
    <xf numFmtId="9" fontId="81" fillId="0" borderId="60" xfId="3" applyFont="1" applyBorder="1" applyAlignment="1">
      <alignment vertical="center"/>
    </xf>
    <xf numFmtId="9" fontId="81" fillId="0" borderId="46" xfId="3" applyFont="1" applyFill="1" applyBorder="1" applyAlignment="1">
      <alignment vertical="center"/>
    </xf>
    <xf numFmtId="9" fontId="81" fillId="0" borderId="50" xfId="3" applyFont="1" applyFill="1" applyBorder="1" applyAlignment="1">
      <alignment vertical="center"/>
    </xf>
    <xf numFmtId="9" fontId="81" fillId="0" borderId="166" xfId="3" applyFont="1" applyFill="1" applyBorder="1" applyAlignment="1">
      <alignment vertical="center"/>
    </xf>
    <xf numFmtId="0" fontId="103" fillId="55" borderId="167" xfId="0" applyFont="1" applyFill="1" applyBorder="1" applyAlignment="1">
      <alignment vertical="center"/>
    </xf>
    <xf numFmtId="0" fontId="103" fillId="55" borderId="168" xfId="0" applyFont="1" applyFill="1" applyBorder="1" applyAlignment="1">
      <alignment horizontal="center" vertical="center"/>
    </xf>
    <xf numFmtId="0" fontId="103" fillId="55" borderId="169" xfId="0" applyFont="1" applyFill="1" applyBorder="1" applyAlignment="1">
      <alignment horizontal="center" vertical="center"/>
    </xf>
    <xf numFmtId="171" fontId="81" fillId="0" borderId="42" xfId="1" applyNumberFormat="1" applyFont="1" applyBorder="1" applyAlignment="1">
      <alignment vertical="center"/>
    </xf>
    <xf numFmtId="171" fontId="81" fillId="0" borderId="50" xfId="1" applyNumberFormat="1" applyFont="1" applyBorder="1" applyAlignment="1">
      <alignment vertical="center"/>
    </xf>
    <xf numFmtId="171" fontId="81" fillId="0" borderId="166" xfId="1" applyNumberFormat="1" applyFont="1" applyBorder="1" applyAlignment="1">
      <alignment vertical="center"/>
    </xf>
    <xf numFmtId="171" fontId="81" fillId="52" borderId="46" xfId="1" applyNumberFormat="1" applyFont="1" applyFill="1" applyBorder="1" applyAlignment="1">
      <alignment vertical="center"/>
    </xf>
    <xf numFmtId="171" fontId="81" fillId="52" borderId="50" xfId="1" applyNumberFormat="1" applyFont="1" applyFill="1" applyBorder="1" applyAlignment="1">
      <alignment vertical="center"/>
    </xf>
    <xf numFmtId="171" fontId="81" fillId="52" borderId="166" xfId="1" applyNumberFormat="1" applyFont="1" applyFill="1" applyBorder="1" applyAlignment="1">
      <alignment vertical="center"/>
    </xf>
    <xf numFmtId="171" fontId="81" fillId="0" borderId="46" xfId="1" applyNumberFormat="1" applyFont="1" applyBorder="1" applyAlignment="1">
      <alignment vertical="center"/>
    </xf>
    <xf numFmtId="0" fontId="81" fillId="0" borderId="42" xfId="0" applyFont="1" applyBorder="1" applyAlignment="1">
      <alignment vertical="center"/>
    </xf>
    <xf numFmtId="41" fontId="81" fillId="0" borderId="42" xfId="0" applyNumberFormat="1" applyFont="1" applyBorder="1" applyAlignment="1">
      <alignment vertical="center"/>
    </xf>
    <xf numFmtId="0" fontId="81" fillId="0" borderId="110" xfId="0" applyFont="1" applyBorder="1" applyAlignment="1">
      <alignment vertical="center"/>
    </xf>
    <xf numFmtId="41" fontId="81" fillId="0" borderId="110" xfId="0" applyNumberFormat="1" applyFont="1" applyBorder="1" applyAlignment="1">
      <alignment vertical="center"/>
    </xf>
    <xf numFmtId="0" fontId="103" fillId="55" borderId="0" xfId="0" applyFont="1" applyFill="1" applyAlignment="1">
      <alignment vertical="center"/>
    </xf>
    <xf numFmtId="171" fontId="81" fillId="0" borderId="170" xfId="1" applyNumberFormat="1" applyFont="1" applyBorder="1" applyAlignment="1">
      <alignment vertical="center"/>
    </xf>
    <xf numFmtId="171" fontId="81" fillId="0" borderId="60" xfId="1" applyNumberFormat="1" applyFont="1" applyBorder="1" applyAlignment="1">
      <alignment vertical="center"/>
    </xf>
    <xf numFmtId="171" fontId="81" fillId="0" borderId="35" xfId="1" applyNumberFormat="1" applyFont="1" applyBorder="1" applyAlignment="1">
      <alignment vertical="center"/>
    </xf>
    <xf numFmtId="0" fontId="81" fillId="0" borderId="60" xfId="0" applyFont="1" applyBorder="1" applyAlignment="1">
      <alignment vertical="center"/>
    </xf>
    <xf numFmtId="0" fontId="81" fillId="0" borderId="35" xfId="0" applyFont="1" applyBorder="1" applyAlignment="1">
      <alignment vertical="center"/>
    </xf>
    <xf numFmtId="0" fontId="105" fillId="0" borderId="0" xfId="0" applyFont="1"/>
    <xf numFmtId="0" fontId="107" fillId="0" borderId="0" xfId="5" applyFont="1" applyAlignment="1">
      <alignment horizontal="center" vertical="center"/>
    </xf>
    <xf numFmtId="0" fontId="106" fillId="0" borderId="0" xfId="0" applyFont="1" applyAlignment="1">
      <alignment horizontal="center"/>
    </xf>
    <xf numFmtId="171" fontId="106" fillId="0" borderId="0" xfId="1" applyNumberFormat="1" applyFont="1" applyBorder="1" applyProtection="1"/>
    <xf numFmtId="0" fontId="106" fillId="0" borderId="0" xfId="0" applyFont="1"/>
    <xf numFmtId="171" fontId="105" fillId="0" borderId="0" xfId="1" applyNumberFormat="1" applyFont="1" applyBorder="1" applyProtection="1"/>
    <xf numFmtId="0" fontId="108" fillId="0" borderId="0" xfId="5" applyFont="1" applyAlignment="1">
      <alignment horizontal="center" vertical="center"/>
    </xf>
    <xf numFmtId="0" fontId="105" fillId="0" borderId="0" xfId="0" applyFont="1" applyAlignment="1">
      <alignment vertical="center"/>
    </xf>
    <xf numFmtId="41" fontId="105" fillId="0" borderId="0" xfId="0" applyNumberFormat="1" applyFont="1"/>
    <xf numFmtId="171" fontId="105" fillId="0" borderId="0" xfId="0" applyNumberFormat="1" applyFont="1" applyAlignment="1">
      <alignment vertical="center"/>
    </xf>
    <xf numFmtId="0" fontId="108" fillId="52" borderId="0" xfId="5" applyFont="1" applyFill="1" applyAlignment="1">
      <alignment horizontal="center" vertical="center"/>
    </xf>
    <xf numFmtId="41" fontId="105" fillId="52" borderId="0" xfId="0" applyNumberFormat="1" applyFont="1" applyFill="1"/>
    <xf numFmtId="171" fontId="105" fillId="52" borderId="0" xfId="1" applyNumberFormat="1" applyFont="1" applyFill="1" applyBorder="1" applyProtection="1"/>
    <xf numFmtId="171" fontId="105" fillId="52" borderId="0" xfId="0" applyNumberFormat="1" applyFont="1" applyFill="1"/>
    <xf numFmtId="171" fontId="105" fillId="0" borderId="0" xfId="0" applyNumberFormat="1" applyFont="1"/>
    <xf numFmtId="171" fontId="105" fillId="0" borderId="0" xfId="1" applyNumberFormat="1" applyFont="1" applyFill="1" applyBorder="1" applyProtection="1"/>
    <xf numFmtId="175" fontId="103" fillId="55" borderId="0" xfId="0" applyNumberFormat="1" applyFont="1" applyFill="1" applyAlignment="1">
      <alignment horizontal="right"/>
    </xf>
    <xf numFmtId="175" fontId="103" fillId="55" borderId="0" xfId="0" applyNumberFormat="1" applyFont="1" applyFill="1" applyAlignment="1">
      <alignment horizontal="right" vertical="center"/>
    </xf>
    <xf numFmtId="0" fontId="109" fillId="0" borderId="145" xfId="0" applyFont="1" applyBorder="1" applyAlignment="1">
      <alignment horizontal="left" vertical="center"/>
    </xf>
    <xf numFmtId="0" fontId="109" fillId="0" borderId="145" xfId="0" applyFont="1" applyBorder="1" applyAlignment="1">
      <alignment vertical="center"/>
    </xf>
    <xf numFmtId="175" fontId="109" fillId="0" borderId="145" xfId="2" applyNumberFormat="1" applyFont="1" applyBorder="1" applyAlignment="1">
      <alignment vertical="center"/>
    </xf>
    <xf numFmtId="10" fontId="110" fillId="0" borderId="146" xfId="0" applyNumberFormat="1" applyFont="1" applyBorder="1" applyAlignment="1" applyProtection="1">
      <alignment vertical="center"/>
      <protection locked="0"/>
    </xf>
    <xf numFmtId="0" fontId="109" fillId="0" borderId="146" xfId="0" applyFont="1" applyBorder="1" applyAlignment="1">
      <alignment vertical="center"/>
    </xf>
    <xf numFmtId="10" fontId="81" fillId="0" borderId="146" xfId="0" applyNumberFormat="1" applyFont="1" applyBorder="1" applyAlignment="1">
      <alignment vertical="center"/>
    </xf>
    <xf numFmtId="175" fontId="81" fillId="0" borderId="0" xfId="0" applyNumberFormat="1" applyFont="1" applyAlignment="1">
      <alignment vertical="center"/>
    </xf>
    <xf numFmtId="41" fontId="81" fillId="0" borderId="0" xfId="2" applyFont="1" applyAlignment="1">
      <alignment vertical="center"/>
    </xf>
    <xf numFmtId="168" fontId="81" fillId="0" borderId="0" xfId="3" applyNumberFormat="1" applyFont="1"/>
    <xf numFmtId="175" fontId="109" fillId="0" borderId="145" xfId="0" applyNumberFormat="1" applyFont="1" applyBorder="1" applyAlignment="1">
      <alignment vertical="center"/>
    </xf>
    <xf numFmtId="175" fontId="81" fillId="0" borderId="146" xfId="0" applyNumberFormat="1" applyFont="1" applyBorder="1" applyAlignment="1">
      <alignment vertical="center"/>
    </xf>
    <xf numFmtId="175" fontId="109" fillId="0" borderId="146" xfId="0" applyNumberFormat="1" applyFont="1" applyBorder="1" applyAlignment="1">
      <alignment vertical="center"/>
    </xf>
    <xf numFmtId="168" fontId="81" fillId="0" borderId="146" xfId="3" applyNumberFormat="1" applyFont="1" applyBorder="1" applyAlignment="1">
      <alignment vertical="center"/>
    </xf>
    <xf numFmtId="168" fontId="109" fillId="16" borderId="146" xfId="0" applyNumberFormat="1" applyFont="1" applyFill="1" applyBorder="1" applyAlignment="1">
      <alignment vertical="center"/>
    </xf>
    <xf numFmtId="0" fontId="80" fillId="0" borderId="0" xfId="0" applyFont="1" applyAlignment="1">
      <alignment vertical="center"/>
    </xf>
    <xf numFmtId="176" fontId="81" fillId="0" borderId="0" xfId="0" applyNumberFormat="1" applyFont="1" applyAlignment="1">
      <alignment vertical="center"/>
    </xf>
    <xf numFmtId="176" fontId="81" fillId="0" borderId="0" xfId="0" applyNumberFormat="1" applyFont="1"/>
    <xf numFmtId="176" fontId="81" fillId="0" borderId="0" xfId="1" applyNumberFormat="1" applyFont="1" applyAlignment="1"/>
    <xf numFmtId="168" fontId="81" fillId="0" borderId="0" xfId="3" applyNumberFormat="1" applyFont="1" applyBorder="1"/>
    <xf numFmtId="43" fontId="81" fillId="0" borderId="0" xfId="1" applyFont="1"/>
    <xf numFmtId="171" fontId="81" fillId="0" borderId="0" xfId="1" applyNumberFormat="1" applyFont="1"/>
    <xf numFmtId="180" fontId="81" fillId="0" borderId="0" xfId="0" applyNumberFormat="1" applyFont="1"/>
    <xf numFmtId="10" fontId="81" fillId="0" borderId="0" xfId="0" applyNumberFormat="1" applyFont="1"/>
    <xf numFmtId="41" fontId="81" fillId="0" borderId="0" xfId="0" applyNumberFormat="1" applyFont="1"/>
    <xf numFmtId="181" fontId="81" fillId="0" borderId="0" xfId="1" applyNumberFormat="1" applyFont="1"/>
    <xf numFmtId="4" fontId="81" fillId="0" borderId="0" xfId="0" applyNumberFormat="1" applyFont="1"/>
    <xf numFmtId="171" fontId="81" fillId="0" borderId="0" xfId="0" applyNumberFormat="1" applyFont="1"/>
    <xf numFmtId="0" fontId="81" fillId="52" borderId="7" xfId="0" applyFont="1" applyFill="1" applyBorder="1" applyAlignment="1">
      <alignment horizontal="left"/>
    </xf>
    <xf numFmtId="0" fontId="79" fillId="0" borderId="7" xfId="0" applyFont="1" applyBorder="1" applyAlignment="1">
      <alignment horizontal="left" vertical="center"/>
    </xf>
    <xf numFmtId="0" fontId="14" fillId="6" borderId="13" xfId="5" applyFont="1" applyFill="1" applyBorder="1" applyAlignment="1">
      <alignment horizontal="center" vertical="center"/>
    </xf>
    <xf numFmtId="0" fontId="14" fillId="6" borderId="14" xfId="5" applyFont="1" applyFill="1" applyBorder="1" applyAlignment="1">
      <alignment horizontal="center" vertical="center"/>
    </xf>
    <xf numFmtId="0" fontId="14" fillId="6" borderId="15" xfId="5" applyFont="1" applyFill="1" applyBorder="1" applyAlignment="1">
      <alignment horizontal="center" vertical="center"/>
    </xf>
    <xf numFmtId="0" fontId="17" fillId="0" borderId="17" xfId="5" applyFont="1" applyBorder="1" applyAlignment="1">
      <alignment horizontal="left"/>
    </xf>
    <xf numFmtId="0" fontId="17" fillId="0" borderId="19" xfId="5" applyFont="1" applyBorder="1" applyAlignment="1">
      <alignment horizontal="left"/>
    </xf>
    <xf numFmtId="0" fontId="18" fillId="6" borderId="13" xfId="5" applyFont="1" applyFill="1" applyBorder="1" applyAlignment="1">
      <alignment horizontal="center"/>
    </xf>
    <xf numFmtId="0" fontId="18" fillId="6" borderId="14" xfId="5" applyFont="1" applyFill="1" applyBorder="1" applyAlignment="1">
      <alignment horizontal="center"/>
    </xf>
    <xf numFmtId="0" fontId="18" fillId="6" borderId="20" xfId="5" applyFont="1" applyFill="1" applyBorder="1" applyAlignment="1">
      <alignment horizontal="center"/>
    </xf>
    <xf numFmtId="0" fontId="18" fillId="6" borderId="21" xfId="5" applyFont="1" applyFill="1" applyBorder="1" applyAlignment="1">
      <alignment horizontal="center"/>
    </xf>
    <xf numFmtId="0" fontId="18" fillId="6" borderId="22" xfId="5" applyFont="1" applyFill="1" applyBorder="1" applyAlignment="1">
      <alignment horizontal="center"/>
    </xf>
    <xf numFmtId="0" fontId="18" fillId="6" borderId="15" xfId="5" applyFont="1" applyFill="1" applyBorder="1" applyAlignment="1">
      <alignment horizontal="center"/>
    </xf>
    <xf numFmtId="0" fontId="18" fillId="6" borderId="32" xfId="5" applyFont="1" applyFill="1" applyBorder="1" applyAlignment="1">
      <alignment horizontal="center"/>
    </xf>
    <xf numFmtId="0" fontId="18" fillId="6" borderId="33" xfId="5" applyFont="1" applyFill="1" applyBorder="1" applyAlignment="1">
      <alignment horizontal="center"/>
    </xf>
    <xf numFmtId="0" fontId="18" fillId="6" borderId="34" xfId="5" applyFont="1" applyFill="1" applyBorder="1" applyAlignment="1">
      <alignment horizontal="center"/>
    </xf>
    <xf numFmtId="0" fontId="18" fillId="6" borderId="37" xfId="5" applyFont="1" applyFill="1" applyBorder="1" applyAlignment="1">
      <alignment horizontal="center"/>
    </xf>
    <xf numFmtId="0" fontId="12" fillId="0" borderId="92" xfId="5" applyFont="1" applyBorder="1" applyAlignment="1">
      <alignment horizontal="center" vertical="top" wrapText="1"/>
    </xf>
    <xf numFmtId="0" fontId="12" fillId="0" borderId="93" xfId="5" applyFont="1" applyBorder="1" applyAlignment="1">
      <alignment horizontal="center" vertical="top" wrapText="1"/>
    </xf>
    <xf numFmtId="0" fontId="12" fillId="0" borderId="96" xfId="5" applyFont="1" applyBorder="1" applyAlignment="1">
      <alignment horizontal="center" vertical="top" wrapText="1"/>
    </xf>
    <xf numFmtId="0" fontId="12" fillId="0" borderId="60" xfId="5" applyFont="1" applyBorder="1" applyAlignment="1">
      <alignment horizontal="center" vertical="top" wrapText="1"/>
    </xf>
    <xf numFmtId="0" fontId="12" fillId="0" borderId="75" xfId="5" applyFont="1" applyBorder="1" applyAlignment="1">
      <alignment horizontal="center" vertical="top" wrapText="1"/>
    </xf>
    <xf numFmtId="0" fontId="18" fillId="2" borderId="62" xfId="7" applyNumberFormat="1" applyFont="1" applyFill="1" applyBorder="1" applyAlignment="1">
      <alignment horizontal="left" vertical="center" wrapText="1"/>
    </xf>
    <xf numFmtId="0" fontId="18" fillId="2" borderId="54" xfId="7" applyNumberFormat="1" applyFont="1" applyFill="1" applyBorder="1" applyAlignment="1">
      <alignment horizontal="left" vertical="center" wrapText="1"/>
    </xf>
    <xf numFmtId="0" fontId="18" fillId="2" borderId="55" xfId="7" applyNumberFormat="1" applyFont="1" applyFill="1" applyBorder="1" applyAlignment="1">
      <alignment horizontal="left" vertical="center" wrapText="1"/>
    </xf>
    <xf numFmtId="0" fontId="18" fillId="2" borderId="41" xfId="7" applyNumberFormat="1" applyFont="1" applyFill="1" applyBorder="1" applyAlignment="1">
      <alignment horizontal="left" vertical="center" wrapText="1"/>
    </xf>
    <xf numFmtId="0" fontId="18" fillId="2" borderId="17" xfId="7" applyNumberFormat="1" applyFont="1" applyFill="1" applyBorder="1" applyAlignment="1">
      <alignment horizontal="left" vertical="center" wrapText="1"/>
    </xf>
    <xf numFmtId="0" fontId="18" fillId="2" borderId="18" xfId="7" applyNumberFormat="1" applyFont="1" applyFill="1" applyBorder="1" applyAlignment="1">
      <alignment horizontal="left" vertical="center" wrapText="1"/>
    </xf>
    <xf numFmtId="0" fontId="22" fillId="0" borderId="80" xfId="5" applyFont="1" applyBorder="1" applyAlignment="1">
      <alignment horizontal="center" vertical="center"/>
    </xf>
    <xf numFmtId="0" fontId="22" fillId="0" borderId="33" xfId="5" applyFont="1" applyBorder="1" applyAlignment="1">
      <alignment horizontal="center" vertical="center"/>
    </xf>
    <xf numFmtId="0" fontId="22" fillId="0" borderId="81" xfId="5" applyFont="1" applyBorder="1" applyAlignment="1">
      <alignment horizontal="center" vertical="center"/>
    </xf>
    <xf numFmtId="0" fontId="23" fillId="9" borderId="82" xfId="5" applyFont="1" applyFill="1" applyBorder="1" applyAlignment="1">
      <alignment horizontal="center" vertical="center" wrapText="1"/>
    </xf>
    <xf numFmtId="0" fontId="23" fillId="9" borderId="89" xfId="5" applyFont="1" applyFill="1" applyBorder="1" applyAlignment="1">
      <alignment horizontal="center" vertical="center" wrapText="1"/>
    </xf>
    <xf numFmtId="0" fontId="23" fillId="9" borderId="94" xfId="5" applyFont="1" applyFill="1" applyBorder="1" applyAlignment="1">
      <alignment horizontal="center" vertical="center" wrapText="1"/>
    </xf>
    <xf numFmtId="0" fontId="22" fillId="0" borderId="83" xfId="5" applyFont="1" applyBorder="1" applyAlignment="1">
      <alignment horizontal="center" vertical="center"/>
    </xf>
    <xf numFmtId="0" fontId="22" fillId="0" borderId="84" xfId="5" applyFont="1" applyBorder="1" applyAlignment="1">
      <alignment horizontal="center" vertical="center"/>
    </xf>
    <xf numFmtId="0" fontId="23" fillId="10" borderId="86" xfId="5" applyFont="1" applyFill="1" applyBorder="1" applyAlignment="1">
      <alignment horizontal="center" vertical="center" wrapText="1"/>
    </xf>
    <xf numFmtId="0" fontId="23" fillId="10" borderId="90" xfId="5" applyFont="1" applyFill="1" applyBorder="1" applyAlignment="1">
      <alignment horizontal="center" vertical="center" wrapText="1"/>
    </xf>
    <xf numFmtId="0" fontId="23" fillId="10" borderId="97" xfId="5" applyFont="1" applyFill="1" applyBorder="1" applyAlignment="1">
      <alignment horizontal="center" vertical="center" wrapText="1"/>
    </xf>
    <xf numFmtId="0" fontId="24" fillId="11" borderId="87" xfId="5" applyFont="1" applyFill="1" applyBorder="1" applyAlignment="1">
      <alignment horizontal="center" vertical="center" wrapText="1"/>
    </xf>
    <xf numFmtId="0" fontId="24" fillId="11" borderId="91" xfId="5" applyFont="1" applyFill="1" applyBorder="1" applyAlignment="1">
      <alignment horizontal="center" vertical="center" wrapText="1"/>
    </xf>
    <xf numFmtId="0" fontId="24" fillId="11" borderId="98" xfId="5" applyFont="1" applyFill="1" applyBorder="1" applyAlignment="1">
      <alignment horizontal="center" vertical="center" wrapText="1"/>
    </xf>
    <xf numFmtId="0" fontId="12" fillId="0" borderId="60" xfId="9" applyFont="1" applyBorder="1" applyAlignment="1">
      <alignment horizontal="center" vertical="top" wrapText="1"/>
    </xf>
    <xf numFmtId="0" fontId="12" fillId="0" borderId="75" xfId="9" applyFont="1" applyBorder="1" applyAlignment="1">
      <alignment horizontal="center" vertical="top" wrapText="1"/>
    </xf>
    <xf numFmtId="0" fontId="12" fillId="0" borderId="61" xfId="5" applyFont="1" applyBorder="1" applyAlignment="1">
      <alignment horizontal="center" vertical="top" wrapText="1"/>
    </xf>
    <xf numFmtId="0" fontId="12" fillId="0" borderId="77" xfId="5" applyFont="1" applyBorder="1" applyAlignment="1">
      <alignment horizontal="center" vertical="top" wrapText="1"/>
    </xf>
    <xf numFmtId="0" fontId="12" fillId="0" borderId="96" xfId="5" applyFont="1" applyBorder="1" applyAlignment="1">
      <alignment horizontal="center" vertical="center"/>
    </xf>
    <xf numFmtId="0" fontId="12" fillId="0" borderId="87" xfId="5" applyFont="1" applyBorder="1" applyAlignment="1">
      <alignment horizontal="center" vertical="top"/>
    </xf>
    <xf numFmtId="0" fontId="12" fillId="0" borderId="91" xfId="5" applyFont="1" applyBorder="1" applyAlignment="1">
      <alignment horizontal="center" vertical="top"/>
    </xf>
    <xf numFmtId="0" fontId="12" fillId="0" borderId="98" xfId="5" applyFont="1" applyBorder="1" applyAlignment="1">
      <alignment horizontal="center" vertical="top"/>
    </xf>
    <xf numFmtId="0" fontId="12" fillId="12" borderId="87" xfId="5" applyFont="1" applyFill="1" applyBorder="1" applyAlignment="1">
      <alignment horizontal="center" vertical="center" wrapText="1"/>
    </xf>
    <xf numFmtId="0" fontId="12" fillId="12" borderId="91" xfId="5" applyFont="1" applyFill="1" applyBorder="1" applyAlignment="1">
      <alignment horizontal="center" vertical="center" wrapText="1"/>
    </xf>
    <xf numFmtId="0" fontId="12" fillId="12" borderId="98" xfId="5" applyFont="1" applyFill="1" applyBorder="1" applyAlignment="1">
      <alignment horizontal="center" vertical="center" wrapText="1"/>
    </xf>
    <xf numFmtId="0" fontId="22" fillId="0" borderId="88" xfId="5" applyFont="1" applyBorder="1" applyAlignment="1">
      <alignment horizontal="center" vertical="center"/>
    </xf>
    <xf numFmtId="0" fontId="22" fillId="0" borderId="87" xfId="5" applyFont="1" applyBorder="1" applyAlignment="1">
      <alignment horizontal="center" vertical="top" wrapText="1"/>
    </xf>
    <xf numFmtId="0" fontId="22" fillId="0" borderId="91" xfId="5" applyFont="1" applyBorder="1" applyAlignment="1">
      <alignment horizontal="center" vertical="top" wrapText="1"/>
    </xf>
    <xf numFmtId="0" fontId="22" fillId="0" borderId="98" xfId="5" applyFont="1" applyBorder="1" applyAlignment="1">
      <alignment horizontal="center" vertical="top" wrapText="1"/>
    </xf>
    <xf numFmtId="0" fontId="23" fillId="11" borderId="87" xfId="5" applyFont="1" applyFill="1" applyBorder="1" applyAlignment="1">
      <alignment horizontal="center" vertical="top" wrapText="1"/>
    </xf>
    <xf numFmtId="0" fontId="23" fillId="11" borderId="91" xfId="5" applyFont="1" applyFill="1" applyBorder="1" applyAlignment="1">
      <alignment horizontal="center" vertical="top" wrapText="1"/>
    </xf>
    <xf numFmtId="0" fontId="23" fillId="11" borderId="98" xfId="5" applyFont="1" applyFill="1" applyBorder="1" applyAlignment="1">
      <alignment horizontal="center" vertical="top" wrapText="1"/>
    </xf>
    <xf numFmtId="0" fontId="23" fillId="10" borderId="87" xfId="5" applyFont="1" applyFill="1" applyBorder="1" applyAlignment="1">
      <alignment horizontal="center" vertical="top" wrapText="1"/>
    </xf>
    <xf numFmtId="0" fontId="23" fillId="10" borderId="91" xfId="5" applyFont="1" applyFill="1" applyBorder="1" applyAlignment="1">
      <alignment horizontal="center" vertical="top" wrapText="1"/>
    </xf>
    <xf numFmtId="0" fontId="23" fillId="10" borderId="98" xfId="5" applyFont="1" applyFill="1" applyBorder="1" applyAlignment="1">
      <alignment horizontal="center" vertical="top" wrapText="1"/>
    </xf>
    <xf numFmtId="38" fontId="12" fillId="0" borderId="80" xfId="5" applyNumberFormat="1" applyFont="1" applyBorder="1" applyAlignment="1">
      <alignment horizontal="center" vertical="top"/>
    </xf>
    <xf numFmtId="38" fontId="12" fillId="0" borderId="33" xfId="5" applyNumberFormat="1" applyFont="1" applyBorder="1" applyAlignment="1">
      <alignment horizontal="center" vertical="top"/>
    </xf>
    <xf numFmtId="38" fontId="12" fillId="0" borderId="88" xfId="5" applyNumberFormat="1" applyFont="1" applyBorder="1" applyAlignment="1">
      <alignment horizontal="center" vertical="top"/>
    </xf>
    <xf numFmtId="38" fontId="12" fillId="0" borderId="80" xfId="5" applyNumberFormat="1" applyFont="1" applyBorder="1" applyAlignment="1">
      <alignment horizontal="center" vertical="top" wrapText="1"/>
    </xf>
    <xf numFmtId="38" fontId="12" fillId="0" borderId="33" xfId="5" applyNumberFormat="1" applyFont="1" applyBorder="1" applyAlignment="1">
      <alignment horizontal="center" vertical="top" wrapText="1"/>
    </xf>
    <xf numFmtId="38" fontId="12" fillId="0" borderId="88" xfId="5" applyNumberFormat="1" applyFont="1" applyBorder="1" applyAlignment="1">
      <alignment horizontal="center" vertical="top" wrapText="1"/>
    </xf>
    <xf numFmtId="0" fontId="18" fillId="0" borderId="92" xfId="5" applyFont="1" applyBorder="1" applyAlignment="1">
      <alignment horizontal="center" vertical="top" wrapText="1"/>
    </xf>
    <xf numFmtId="0" fontId="18" fillId="0" borderId="93" xfId="5" applyFont="1" applyBorder="1" applyAlignment="1">
      <alignment horizontal="center" vertical="top" wrapText="1"/>
    </xf>
    <xf numFmtId="0" fontId="18" fillId="0" borderId="60" xfId="5" applyFont="1" applyBorder="1" applyAlignment="1">
      <alignment horizontal="center" vertical="top" wrapText="1"/>
    </xf>
    <xf numFmtId="0" fontId="18" fillId="0" borderId="75" xfId="5" applyFont="1" applyBorder="1" applyAlignment="1">
      <alignment horizontal="center" vertical="top" wrapText="1"/>
    </xf>
    <xf numFmtId="0" fontId="18" fillId="0" borderId="90" xfId="5" applyFont="1" applyBorder="1" applyAlignment="1">
      <alignment horizontal="center" vertical="top"/>
    </xf>
    <xf numFmtId="0" fontId="18" fillId="0" borderId="97" xfId="5" applyFont="1" applyBorder="1" applyAlignment="1">
      <alignment horizontal="center" vertical="top"/>
    </xf>
    <xf numFmtId="38" fontId="12" fillId="0" borderId="97" xfId="5" applyNumberFormat="1" applyFont="1" applyBorder="1" applyAlignment="1">
      <alignment horizontal="center" vertical="top" wrapText="1"/>
    </xf>
    <xf numFmtId="38" fontId="12" fillId="0" borderId="93" xfId="5" applyNumberFormat="1" applyFont="1" applyBorder="1" applyAlignment="1">
      <alignment horizontal="center" vertical="top" wrapText="1"/>
    </xf>
    <xf numFmtId="38" fontId="12" fillId="0" borderId="75" xfId="5" applyNumberFormat="1" applyFont="1" applyBorder="1" applyAlignment="1">
      <alignment horizontal="center" vertical="top" wrapText="1"/>
    </xf>
    <xf numFmtId="0" fontId="12" fillId="0" borderId="95" xfId="5" applyFont="1" applyBorder="1" applyAlignment="1">
      <alignment horizontal="center" vertical="center" wrapText="1"/>
    </xf>
    <xf numFmtId="0" fontId="12" fillId="0" borderId="96" xfId="5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93" fillId="56" borderId="87" xfId="5" applyFont="1" applyFill="1" applyBorder="1" applyAlignment="1">
      <alignment horizontal="center" vertical="top" wrapText="1"/>
    </xf>
    <xf numFmtId="0" fontId="93" fillId="56" borderId="91" xfId="5" applyFont="1" applyFill="1" applyBorder="1" applyAlignment="1">
      <alignment horizontal="center" vertical="top" wrapText="1"/>
    </xf>
    <xf numFmtId="0" fontId="93" fillId="56" borderId="98" xfId="5" applyFont="1" applyFill="1" applyBorder="1" applyAlignment="1">
      <alignment horizontal="center" vertical="top" wrapText="1"/>
    </xf>
    <xf numFmtId="0" fontId="70" fillId="56" borderId="92" xfId="5" applyFont="1" applyFill="1" applyBorder="1" applyAlignment="1">
      <alignment horizontal="center" vertical="top" wrapText="1"/>
    </xf>
    <xf numFmtId="0" fontId="70" fillId="56" borderId="93" xfId="5" applyFont="1" applyFill="1" applyBorder="1" applyAlignment="1">
      <alignment horizontal="center" vertical="top" wrapText="1"/>
    </xf>
    <xf numFmtId="0" fontId="70" fillId="56" borderId="96" xfId="5" applyFont="1" applyFill="1" applyBorder="1" applyAlignment="1">
      <alignment horizontal="center" vertical="top" wrapText="1"/>
    </xf>
    <xf numFmtId="0" fontId="90" fillId="0" borderId="92" xfId="5" applyFont="1" applyBorder="1" applyAlignment="1">
      <alignment horizontal="center" vertical="top" wrapText="1"/>
    </xf>
    <xf numFmtId="0" fontId="90" fillId="0" borderId="93" xfId="5" applyFont="1" applyBorder="1" applyAlignment="1">
      <alignment horizontal="center" vertical="top" wrapText="1"/>
    </xf>
    <xf numFmtId="0" fontId="90" fillId="56" borderId="60" xfId="5" applyFont="1" applyFill="1" applyBorder="1" applyAlignment="1">
      <alignment horizontal="center" vertical="top" wrapText="1"/>
    </xf>
    <xf numFmtId="0" fontId="90" fillId="56" borderId="75" xfId="5" applyFont="1" applyFill="1" applyBorder="1" applyAlignment="1">
      <alignment horizontal="center" vertical="top" wrapText="1"/>
    </xf>
    <xf numFmtId="0" fontId="90" fillId="0" borderId="60" xfId="5" applyFont="1" applyBorder="1" applyAlignment="1">
      <alignment horizontal="center" vertical="top" wrapText="1"/>
    </xf>
    <xf numFmtId="0" fontId="90" fillId="0" borderId="75" xfId="5" applyFont="1" applyBorder="1" applyAlignment="1">
      <alignment horizontal="center" vertical="top" wrapText="1"/>
    </xf>
    <xf numFmtId="0" fontId="90" fillId="56" borderId="90" xfId="5" applyFont="1" applyFill="1" applyBorder="1" applyAlignment="1">
      <alignment horizontal="center" vertical="top"/>
    </xf>
    <xf numFmtId="0" fontId="90" fillId="56" borderId="97" xfId="5" applyFont="1" applyFill="1" applyBorder="1" applyAlignment="1">
      <alignment horizontal="center" vertical="top"/>
    </xf>
    <xf numFmtId="0" fontId="70" fillId="0" borderId="87" xfId="5" applyFont="1" applyBorder="1" applyAlignment="1">
      <alignment horizontal="center" vertical="top"/>
    </xf>
    <xf numFmtId="0" fontId="70" fillId="0" borderId="91" xfId="5" applyFont="1" applyBorder="1" applyAlignment="1">
      <alignment horizontal="center" vertical="top"/>
    </xf>
    <xf numFmtId="0" fontId="70" fillId="0" borderId="98" xfId="5" applyFont="1" applyBorder="1" applyAlignment="1">
      <alignment horizontal="center" vertical="top"/>
    </xf>
    <xf numFmtId="0" fontId="70" fillId="0" borderId="96" xfId="5" applyFont="1" applyBorder="1" applyAlignment="1">
      <alignment horizontal="center" vertical="top" wrapText="1"/>
    </xf>
    <xf numFmtId="0" fontId="70" fillId="53" borderId="96" xfId="5" applyFont="1" applyFill="1" applyBorder="1" applyAlignment="1">
      <alignment horizontal="center" vertical="top" wrapText="1"/>
    </xf>
    <xf numFmtId="0" fontId="70" fillId="0" borderId="96" xfId="5" applyFont="1" applyBorder="1" applyAlignment="1">
      <alignment horizontal="center" vertical="center" wrapText="1"/>
    </xf>
    <xf numFmtId="0" fontId="70" fillId="0" borderId="96" xfId="5" applyFont="1" applyBorder="1" applyAlignment="1">
      <alignment horizontal="center" vertical="center"/>
    </xf>
    <xf numFmtId="0" fontId="70" fillId="0" borderId="86" xfId="5" applyFont="1" applyBorder="1" applyAlignment="1">
      <alignment horizontal="center" vertical="center" wrapText="1"/>
    </xf>
    <xf numFmtId="0" fontId="70" fillId="0" borderId="90" xfId="5" applyFont="1" applyBorder="1" applyAlignment="1">
      <alignment horizontal="center" vertical="center" wrapText="1"/>
    </xf>
    <xf numFmtId="0" fontId="70" fillId="0" borderId="97" xfId="5" applyFont="1" applyBorder="1" applyAlignment="1">
      <alignment horizontal="center" vertical="center" wrapText="1"/>
    </xf>
    <xf numFmtId="0" fontId="93" fillId="0" borderId="80" xfId="5" applyFont="1" applyBorder="1" applyAlignment="1">
      <alignment horizontal="center" vertical="center"/>
    </xf>
    <xf numFmtId="0" fontId="93" fillId="0" borderId="33" xfId="5" applyFont="1" applyBorder="1" applyAlignment="1">
      <alignment horizontal="center" vertical="center"/>
    </xf>
    <xf numFmtId="0" fontId="93" fillId="0" borderId="88" xfId="5" applyFont="1" applyBorder="1" applyAlignment="1">
      <alignment horizontal="center" vertical="center"/>
    </xf>
    <xf numFmtId="0" fontId="70" fillId="56" borderId="60" xfId="5" applyFont="1" applyFill="1" applyBorder="1" applyAlignment="1">
      <alignment horizontal="center" vertical="top" wrapText="1"/>
    </xf>
    <xf numFmtId="0" fontId="70" fillId="56" borderId="75" xfId="5" applyFont="1" applyFill="1" applyBorder="1" applyAlignment="1">
      <alignment horizontal="center" vertical="top" wrapText="1"/>
    </xf>
    <xf numFmtId="0" fontId="95" fillId="3" borderId="143" xfId="5" applyFont="1" applyFill="1" applyBorder="1" applyAlignment="1">
      <alignment horizontal="center" vertical="center" wrapText="1"/>
    </xf>
    <xf numFmtId="0" fontId="95" fillId="3" borderId="60" xfId="5" applyFont="1" applyFill="1" applyBorder="1" applyAlignment="1">
      <alignment horizontal="center" vertical="center"/>
    </xf>
    <xf numFmtId="0" fontId="95" fillId="3" borderId="75" xfId="5" applyFont="1" applyFill="1" applyBorder="1" applyAlignment="1">
      <alignment horizontal="center" vertical="center"/>
    </xf>
    <xf numFmtId="0" fontId="95" fillId="3" borderId="37" xfId="5" applyFont="1" applyFill="1" applyBorder="1" applyAlignment="1">
      <alignment horizontal="center" vertical="center" wrapText="1"/>
    </xf>
    <xf numFmtId="0" fontId="95" fillId="3" borderId="149" xfId="5" applyFont="1" applyFill="1" applyBorder="1" applyAlignment="1">
      <alignment horizontal="center" vertical="center" wrapText="1"/>
    </xf>
    <xf numFmtId="0" fontId="93" fillId="0" borderId="83" xfId="5" applyFont="1" applyBorder="1" applyAlignment="1">
      <alignment horizontal="center" vertical="center"/>
    </xf>
    <xf numFmtId="0" fontId="93" fillId="0" borderId="84" xfId="5" applyFont="1" applyBorder="1" applyAlignment="1">
      <alignment horizontal="center" vertical="center"/>
    </xf>
    <xf numFmtId="0" fontId="72" fillId="9" borderId="84" xfId="5" applyFont="1" applyFill="1" applyBorder="1" applyAlignment="1">
      <alignment horizontal="center" vertical="center" wrapText="1"/>
    </xf>
    <xf numFmtId="0" fontId="72" fillId="9" borderId="96" xfId="5" applyFont="1" applyFill="1" applyBorder="1" applyAlignment="1">
      <alignment horizontal="center" vertical="center" wrapText="1"/>
    </xf>
    <xf numFmtId="0" fontId="95" fillId="53" borderId="38" xfId="5" applyFont="1" applyFill="1" applyBorder="1" applyAlignment="1">
      <alignment horizontal="center" vertical="center" wrapText="1"/>
    </xf>
    <xf numFmtId="0" fontId="95" fillId="53" borderId="142" xfId="5" applyFont="1" applyFill="1" applyBorder="1" applyAlignment="1">
      <alignment horizontal="center" vertical="center" wrapText="1"/>
    </xf>
    <xf numFmtId="0" fontId="70" fillId="52" borderId="144" xfId="5" applyFont="1" applyFill="1" applyBorder="1" applyAlignment="1">
      <alignment horizontal="center" vertical="center" wrapText="1"/>
    </xf>
    <xf numFmtId="0" fontId="70" fillId="52" borderId="92" xfId="5" applyFont="1" applyFill="1" applyBorder="1" applyAlignment="1">
      <alignment horizontal="center" vertical="center" wrapText="1"/>
    </xf>
    <xf numFmtId="0" fontId="70" fillId="52" borderId="93" xfId="5" applyFont="1" applyFill="1" applyBorder="1" applyAlignment="1">
      <alignment horizontal="center" vertical="center" wrapText="1"/>
    </xf>
    <xf numFmtId="0" fontId="70" fillId="0" borderId="96" xfId="9" applyFont="1" applyBorder="1" applyAlignment="1">
      <alignment horizontal="center" vertical="top" wrapText="1"/>
    </xf>
    <xf numFmtId="0" fontId="70" fillId="0" borderId="90" xfId="5" applyFont="1" applyBorder="1" applyAlignment="1">
      <alignment horizontal="center" vertical="center"/>
    </xf>
    <xf numFmtId="0" fontId="70" fillId="0" borderId="148" xfId="5" applyFont="1" applyBorder="1" applyAlignment="1">
      <alignment horizontal="center" vertical="center"/>
    </xf>
    <xf numFmtId="0" fontId="70" fillId="0" borderId="60" xfId="5" applyFont="1" applyBorder="1" applyAlignment="1">
      <alignment horizontal="center" vertical="center"/>
    </xf>
    <xf numFmtId="0" fontId="70" fillId="0" borderId="35" xfId="5" applyFont="1" applyBorder="1" applyAlignment="1">
      <alignment horizontal="center" vertical="center"/>
    </xf>
    <xf numFmtId="0" fontId="70" fillId="53" borderId="84" xfId="5" applyFont="1" applyFill="1" applyBorder="1" applyAlignment="1">
      <alignment horizontal="center" vertical="center"/>
    </xf>
    <xf numFmtId="0" fontId="70" fillId="53" borderId="96" xfId="5" applyFont="1" applyFill="1" applyBorder="1" applyAlignment="1">
      <alignment horizontal="center" vertical="center"/>
    </xf>
    <xf numFmtId="0" fontId="95" fillId="0" borderId="143" xfId="5" applyFont="1" applyBorder="1" applyAlignment="1">
      <alignment horizontal="center" vertical="center" wrapText="1"/>
    </xf>
    <xf numFmtId="0" fontId="95" fillId="0" borderId="60" xfId="5" applyFont="1" applyBorder="1" applyAlignment="1">
      <alignment horizontal="center" vertical="center" wrapText="1"/>
    </xf>
    <xf numFmtId="0" fontId="95" fillId="0" borderId="75" xfId="5" applyFont="1" applyBorder="1" applyAlignment="1">
      <alignment horizontal="center" vertical="center" wrapText="1"/>
    </xf>
    <xf numFmtId="38" fontId="70" fillId="0" borderId="142" xfId="5" applyNumberFormat="1" applyFont="1" applyBorder="1" applyAlignment="1">
      <alignment horizontal="center" vertical="center"/>
    </xf>
    <xf numFmtId="38" fontId="70" fillId="0" borderId="90" xfId="5" applyNumberFormat="1" applyFont="1" applyBorder="1" applyAlignment="1">
      <alignment horizontal="center" vertical="center"/>
    </xf>
    <xf numFmtId="38" fontId="70" fillId="0" borderId="148" xfId="5" applyNumberFormat="1" applyFont="1" applyBorder="1" applyAlignment="1">
      <alignment horizontal="center" vertical="center"/>
    </xf>
    <xf numFmtId="38" fontId="70" fillId="0" borderId="83" xfId="5" applyNumberFormat="1" applyFont="1" applyBorder="1" applyAlignment="1">
      <alignment horizontal="center" vertical="center"/>
    </xf>
    <xf numFmtId="38" fontId="70" fillId="0" borderId="84" xfId="5" applyNumberFormat="1" applyFont="1" applyBorder="1" applyAlignment="1">
      <alignment horizontal="center" vertical="center"/>
    </xf>
    <xf numFmtId="38" fontId="70" fillId="0" borderId="38" xfId="5" applyNumberFormat="1" applyFont="1" applyBorder="1" applyAlignment="1">
      <alignment horizontal="center" vertical="center"/>
    </xf>
    <xf numFmtId="38" fontId="70" fillId="0" borderId="80" xfId="5" applyNumberFormat="1" applyFont="1" applyBorder="1" applyAlignment="1">
      <alignment horizontal="center" vertical="center"/>
    </xf>
    <xf numFmtId="38" fontId="70" fillId="0" borderId="33" xfId="5" applyNumberFormat="1" applyFont="1" applyBorder="1" applyAlignment="1">
      <alignment horizontal="center" vertical="center"/>
    </xf>
    <xf numFmtId="38" fontId="70" fillId="0" borderId="88" xfId="5" applyNumberFormat="1" applyFont="1" applyBorder="1" applyAlignment="1">
      <alignment horizontal="center" vertical="center"/>
    </xf>
    <xf numFmtId="38" fontId="70" fillId="0" borderId="97" xfId="5" applyNumberFormat="1" applyFont="1" applyBorder="1" applyAlignment="1">
      <alignment horizontal="center" vertical="center"/>
    </xf>
    <xf numFmtId="38" fontId="70" fillId="0" borderId="87" xfId="7" applyNumberFormat="1" applyFont="1" applyFill="1" applyBorder="1" applyAlignment="1">
      <alignment horizontal="center" vertical="center"/>
    </xf>
    <xf numFmtId="38" fontId="70" fillId="0" borderId="91" xfId="7" applyNumberFormat="1" applyFont="1" applyFill="1" applyBorder="1" applyAlignment="1">
      <alignment horizontal="center" vertical="center"/>
    </xf>
    <xf numFmtId="38" fontId="70" fillId="0" borderId="98" xfId="7" applyNumberFormat="1" applyFont="1" applyFill="1" applyBorder="1" applyAlignment="1">
      <alignment horizontal="center" vertical="center"/>
    </xf>
    <xf numFmtId="38" fontId="70" fillId="0" borderId="87" xfId="7" applyNumberFormat="1" applyFont="1" applyFill="1" applyBorder="1" applyAlignment="1">
      <alignment horizontal="center" vertical="center" wrapText="1"/>
    </xf>
    <xf numFmtId="38" fontId="70" fillId="0" borderId="91" xfId="7" applyNumberFormat="1" applyFont="1" applyFill="1" applyBorder="1" applyAlignment="1">
      <alignment horizontal="center" vertical="center" wrapText="1"/>
    </xf>
    <xf numFmtId="38" fontId="70" fillId="0" borderId="98" xfId="7" applyNumberFormat="1" applyFont="1" applyFill="1" applyBorder="1" applyAlignment="1">
      <alignment horizontal="center" vertical="center" wrapText="1"/>
    </xf>
    <xf numFmtId="38" fontId="70" fillId="0" borderId="97" xfId="5" applyNumberFormat="1" applyFont="1" applyBorder="1" applyAlignment="1">
      <alignment horizontal="center" vertical="center" wrapText="1"/>
    </xf>
    <xf numFmtId="38" fontId="70" fillId="0" borderId="75" xfId="5" applyNumberFormat="1" applyFont="1" applyBorder="1" applyAlignment="1">
      <alignment horizontal="center" vertical="center" wrapText="1"/>
    </xf>
    <xf numFmtId="38" fontId="70" fillId="0" borderId="93" xfId="5" applyNumberFormat="1" applyFont="1" applyBorder="1" applyAlignment="1">
      <alignment horizontal="center" vertical="center" wrapText="1"/>
    </xf>
    <xf numFmtId="38" fontId="70" fillId="0" borderId="80" xfId="5" applyNumberFormat="1" applyFont="1" applyBorder="1" applyAlignment="1">
      <alignment horizontal="center" vertical="center" wrapText="1"/>
    </xf>
    <xf numFmtId="38" fontId="70" fillId="0" borderId="33" xfId="5" applyNumberFormat="1" applyFont="1" applyBorder="1" applyAlignment="1">
      <alignment horizontal="center" vertical="center" wrapText="1"/>
    </xf>
    <xf numFmtId="38" fontId="70" fillId="0" borderId="88" xfId="5" applyNumberFormat="1" applyFont="1" applyBorder="1" applyAlignment="1">
      <alignment horizontal="center" vertical="center" wrapText="1"/>
    </xf>
    <xf numFmtId="38" fontId="70" fillId="0" borderId="71" xfId="5" applyNumberFormat="1" applyFont="1" applyBorder="1" applyAlignment="1">
      <alignment horizontal="center" vertical="center" wrapText="1"/>
    </xf>
    <xf numFmtId="0" fontId="70" fillId="0" borderId="95" xfId="5" applyFont="1" applyBorder="1" applyAlignment="1">
      <alignment horizontal="center" vertical="center" wrapText="1"/>
    </xf>
    <xf numFmtId="0" fontId="70" fillId="56" borderId="96" xfId="5" applyFont="1" applyFill="1" applyBorder="1" applyAlignment="1">
      <alignment horizontal="center" vertical="center" wrapText="1"/>
    </xf>
    <xf numFmtId="38" fontId="70" fillId="0" borderId="95" xfId="5" applyNumberFormat="1" applyFont="1" applyBorder="1" applyAlignment="1">
      <alignment horizontal="center" vertical="center"/>
    </xf>
    <xf numFmtId="38" fontId="70" fillId="0" borderId="96" xfId="5" applyNumberFormat="1" applyFont="1" applyBorder="1" applyAlignment="1">
      <alignment horizontal="center" vertical="center"/>
    </xf>
    <xf numFmtId="38" fontId="70" fillId="54" borderId="75" xfId="5" applyNumberFormat="1" applyFont="1" applyFill="1" applyBorder="1" applyAlignment="1">
      <alignment horizontal="center" vertical="center"/>
    </xf>
    <xf numFmtId="0" fontId="70" fillId="12" borderId="86" xfId="5" applyFont="1" applyFill="1" applyBorder="1" applyAlignment="1">
      <alignment horizontal="center" vertical="center" wrapText="1"/>
    </xf>
    <xf numFmtId="0" fontId="70" fillId="12" borderId="90" xfId="5" applyFont="1" applyFill="1" applyBorder="1" applyAlignment="1">
      <alignment horizontal="center" vertical="center" wrapText="1"/>
    </xf>
    <xf numFmtId="0" fontId="70" fillId="12" borderId="97" xfId="5" applyFont="1" applyFill="1" applyBorder="1" applyAlignment="1">
      <alignment horizontal="center" vertical="center" wrapText="1"/>
    </xf>
    <xf numFmtId="0" fontId="70" fillId="0" borderId="80" xfId="5" applyFont="1" applyBorder="1" applyAlignment="1">
      <alignment horizontal="center" vertical="center"/>
    </xf>
    <xf numFmtId="0" fontId="70" fillId="0" borderId="33" xfId="5" applyFont="1" applyBorder="1" applyAlignment="1">
      <alignment horizontal="center" vertical="center"/>
    </xf>
    <xf numFmtId="0" fontId="70" fillId="0" borderId="88" xfId="5" applyFont="1" applyBorder="1" applyAlignment="1">
      <alignment horizontal="center" vertical="center"/>
    </xf>
    <xf numFmtId="0" fontId="71" fillId="0" borderId="60" xfId="5" applyFont="1" applyBorder="1" applyAlignment="1">
      <alignment horizontal="left"/>
    </xf>
    <xf numFmtId="0" fontId="70" fillId="0" borderId="92" xfId="5" applyFont="1" applyBorder="1" applyAlignment="1">
      <alignment horizontal="center" vertical="center" wrapText="1"/>
    </xf>
    <xf numFmtId="0" fontId="70" fillId="0" borderId="93" xfId="5" applyFont="1" applyBorder="1" applyAlignment="1">
      <alignment horizontal="center" vertical="center" wrapText="1"/>
    </xf>
    <xf numFmtId="0" fontId="70" fillId="54" borderId="60" xfId="5" applyFont="1" applyFill="1" applyBorder="1" applyAlignment="1">
      <alignment horizontal="center" vertical="center" wrapText="1"/>
    </xf>
    <xf numFmtId="0" fontId="70" fillId="54" borderId="75" xfId="5" applyFont="1" applyFill="1" applyBorder="1" applyAlignment="1">
      <alignment horizontal="center" vertical="center" wrapText="1"/>
    </xf>
    <xf numFmtId="0" fontId="70" fillId="0" borderId="60" xfId="5" applyFont="1" applyBorder="1" applyAlignment="1">
      <alignment horizontal="center" vertical="center" wrapText="1"/>
    </xf>
    <xf numFmtId="0" fontId="70" fillId="0" borderId="75" xfId="5" applyFont="1" applyBorder="1" applyAlignment="1">
      <alignment horizontal="center" vertical="center" wrapText="1"/>
    </xf>
    <xf numFmtId="0" fontId="70" fillId="54" borderId="90" xfId="5" applyFont="1" applyFill="1" applyBorder="1" applyAlignment="1">
      <alignment horizontal="center" vertical="center"/>
    </xf>
    <xf numFmtId="0" fontId="70" fillId="54" borderId="97" xfId="5" applyFont="1" applyFill="1" applyBorder="1" applyAlignment="1">
      <alignment horizontal="center" vertical="center"/>
    </xf>
    <xf numFmtId="0" fontId="70" fillId="54" borderId="60" xfId="5" applyFont="1" applyFill="1" applyBorder="1" applyAlignment="1">
      <alignment horizontal="center" vertical="top" wrapText="1"/>
    </xf>
    <xf numFmtId="0" fontId="70" fillId="54" borderId="75" xfId="5" applyFont="1" applyFill="1" applyBorder="1" applyAlignment="1">
      <alignment horizontal="center" vertical="top" wrapText="1"/>
    </xf>
    <xf numFmtId="0" fontId="70" fillId="12" borderId="143" xfId="5" applyFont="1" applyFill="1" applyBorder="1" applyAlignment="1">
      <alignment horizontal="center" vertical="center" wrapText="1"/>
    </xf>
    <xf numFmtId="0" fontId="70" fillId="12" borderId="60" xfId="5" applyFont="1" applyFill="1" applyBorder="1" applyAlignment="1">
      <alignment horizontal="center" vertical="center" wrapText="1"/>
    </xf>
    <xf numFmtId="0" fontId="70" fillId="12" borderId="75" xfId="5" applyFont="1" applyFill="1" applyBorder="1" applyAlignment="1">
      <alignment horizontal="center" vertical="center" wrapText="1"/>
    </xf>
    <xf numFmtId="0" fontId="70" fillId="54" borderId="87" xfId="5" applyFont="1" applyFill="1" applyBorder="1" applyAlignment="1">
      <alignment horizontal="center" vertical="center" wrapText="1"/>
    </xf>
    <xf numFmtId="0" fontId="70" fillId="54" borderId="91" xfId="5" applyFont="1" applyFill="1" applyBorder="1" applyAlignment="1">
      <alignment horizontal="center" vertical="center" wrapText="1"/>
    </xf>
    <xf numFmtId="0" fontId="70" fillId="54" borderId="98" xfId="5" applyFont="1" applyFill="1" applyBorder="1" applyAlignment="1">
      <alignment horizontal="center" vertical="center" wrapText="1"/>
    </xf>
    <xf numFmtId="0" fontId="70" fillId="54" borderId="92" xfId="5" applyFont="1" applyFill="1" applyBorder="1" applyAlignment="1">
      <alignment horizontal="center" vertical="center" wrapText="1"/>
    </xf>
    <xf numFmtId="0" fontId="70" fillId="54" borderId="93" xfId="5" applyFont="1" applyFill="1" applyBorder="1" applyAlignment="1">
      <alignment horizontal="center" vertical="center" wrapText="1"/>
    </xf>
    <xf numFmtId="0" fontId="70" fillId="54" borderId="96" xfId="5" applyFont="1" applyFill="1" applyBorder="1" applyAlignment="1">
      <alignment horizontal="center" vertical="center" wrapText="1"/>
    </xf>
    <xf numFmtId="0" fontId="70" fillId="0" borderId="81" xfId="5" applyFont="1" applyBorder="1" applyAlignment="1">
      <alignment horizontal="center" vertical="center"/>
    </xf>
    <xf numFmtId="0" fontId="72" fillId="9" borderId="38" xfId="5" applyFont="1" applyFill="1" applyBorder="1" applyAlignment="1">
      <alignment horizontal="center" vertical="center" wrapText="1"/>
    </xf>
    <xf numFmtId="0" fontId="72" fillId="9" borderId="142" xfId="5" applyFont="1" applyFill="1" applyBorder="1" applyAlignment="1">
      <alignment horizontal="center" vertical="center" wrapText="1"/>
    </xf>
    <xf numFmtId="0" fontId="70" fillId="0" borderId="60" xfId="9" applyFont="1" applyBorder="1" applyAlignment="1">
      <alignment horizontal="center" vertical="top" wrapText="1"/>
    </xf>
    <xf numFmtId="0" fontId="70" fillId="0" borderId="75" xfId="9" applyFont="1" applyBorder="1" applyAlignment="1">
      <alignment horizontal="center" vertical="top" wrapText="1"/>
    </xf>
    <xf numFmtId="0" fontId="70" fillId="0" borderId="61" xfId="5" applyFont="1" applyBorder="1" applyAlignment="1">
      <alignment horizontal="center" vertical="top" wrapText="1"/>
    </xf>
    <xf numFmtId="0" fontId="70" fillId="0" borderId="77" xfId="5" applyFont="1" applyBorder="1" applyAlignment="1">
      <alignment horizontal="center" vertical="top" wrapText="1"/>
    </xf>
    <xf numFmtId="0" fontId="70" fillId="0" borderId="143" xfId="5" applyFont="1" applyBorder="1" applyAlignment="1">
      <alignment horizontal="center" vertical="center"/>
    </xf>
    <xf numFmtId="0" fontId="70" fillId="0" borderId="75" xfId="5" applyFont="1" applyBorder="1" applyAlignment="1">
      <alignment horizontal="center" vertical="center"/>
    </xf>
    <xf numFmtId="0" fontId="70" fillId="52" borderId="143" xfId="5" applyFont="1" applyFill="1" applyBorder="1" applyAlignment="1">
      <alignment horizontal="center" vertical="center" wrapText="1"/>
    </xf>
    <xf numFmtId="0" fontId="70" fillId="52" borderId="60" xfId="5" applyFont="1" applyFill="1" applyBorder="1" applyAlignment="1">
      <alignment horizontal="center" vertical="center" wrapText="1"/>
    </xf>
    <xf numFmtId="0" fontId="70" fillId="52" borderId="75" xfId="5" applyFont="1" applyFill="1" applyBorder="1" applyAlignment="1">
      <alignment horizontal="center" vertical="center" wrapText="1"/>
    </xf>
    <xf numFmtId="0" fontId="72" fillId="9" borderId="82" xfId="5" applyFont="1" applyFill="1" applyBorder="1" applyAlignment="1">
      <alignment horizontal="center" vertical="center" wrapText="1"/>
    </xf>
    <xf numFmtId="0" fontId="72" fillId="9" borderId="89" xfId="5" applyFont="1" applyFill="1" applyBorder="1" applyAlignment="1">
      <alignment horizontal="center" vertical="center" wrapText="1"/>
    </xf>
    <xf numFmtId="0" fontId="72" fillId="9" borderId="94" xfId="5" applyFont="1" applyFill="1" applyBorder="1" applyAlignment="1">
      <alignment horizontal="center" vertical="center" wrapText="1"/>
    </xf>
    <xf numFmtId="0" fontId="70" fillId="0" borderId="83" xfId="5" applyFont="1" applyBorder="1" applyAlignment="1">
      <alignment horizontal="center" vertical="center"/>
    </xf>
    <xf numFmtId="0" fontId="70" fillId="0" borderId="84" xfId="5" applyFont="1" applyBorder="1" applyAlignment="1">
      <alignment horizontal="center" vertical="center"/>
    </xf>
    <xf numFmtId="0" fontId="100" fillId="0" borderId="158" xfId="71" applyFont="1" applyBorder="1" applyAlignment="1">
      <alignment horizontal="center" vertical="center"/>
    </xf>
    <xf numFmtId="0" fontId="100" fillId="0" borderId="158" xfId="71" applyFont="1" applyBorder="1" applyAlignment="1">
      <alignment horizontal="center" vertical="center" wrapText="1"/>
    </xf>
    <xf numFmtId="0" fontId="100" fillId="0" borderId="154" xfId="71" applyFont="1" applyBorder="1" applyAlignment="1">
      <alignment horizontal="center" vertical="center" wrapText="1"/>
    </xf>
    <xf numFmtId="0" fontId="100" fillId="0" borderId="154" xfId="71" applyFont="1" applyBorder="1" applyAlignment="1">
      <alignment horizontal="center" vertical="center"/>
    </xf>
    <xf numFmtId="0" fontId="81" fillId="0" borderId="46" xfId="0" applyFont="1" applyBorder="1" applyAlignment="1">
      <alignment horizontal="center" vertical="center"/>
    </xf>
    <xf numFmtId="0" fontId="81" fillId="0" borderId="50" xfId="0" applyFont="1" applyBorder="1" applyAlignment="1">
      <alignment horizontal="center" vertical="center"/>
    </xf>
    <xf numFmtId="0" fontId="81" fillId="0" borderId="166" xfId="0" applyFont="1" applyBorder="1" applyAlignment="1">
      <alignment horizontal="center" vertical="center"/>
    </xf>
    <xf numFmtId="0" fontId="81" fillId="52" borderId="46" xfId="0" applyFont="1" applyFill="1" applyBorder="1" applyAlignment="1">
      <alignment horizontal="center" vertical="center"/>
    </xf>
    <xf numFmtId="0" fontId="81" fillId="52" borderId="50" xfId="0" applyFont="1" applyFill="1" applyBorder="1" applyAlignment="1">
      <alignment horizontal="center" vertical="center"/>
    </xf>
    <xf numFmtId="0" fontId="81" fillId="52" borderId="166" xfId="0" applyFont="1" applyFill="1" applyBorder="1" applyAlignment="1">
      <alignment horizontal="center" vertical="center"/>
    </xf>
    <xf numFmtId="41" fontId="81" fillId="0" borderId="46" xfId="2" applyFont="1" applyBorder="1" applyAlignment="1">
      <alignment horizontal="center" vertical="center"/>
    </xf>
    <xf numFmtId="41" fontId="81" fillId="0" borderId="50" xfId="2" applyFont="1" applyBorder="1" applyAlignment="1">
      <alignment horizontal="center" vertical="center"/>
    </xf>
    <xf numFmtId="41" fontId="81" fillId="0" borderId="166" xfId="2" applyFont="1" applyBorder="1" applyAlignment="1">
      <alignment horizontal="center" vertical="center"/>
    </xf>
    <xf numFmtId="0" fontId="81" fillId="0" borderId="42" xfId="0" applyFont="1" applyBorder="1" applyAlignment="1">
      <alignment horizontal="center" vertical="center"/>
    </xf>
    <xf numFmtId="41" fontId="81" fillId="52" borderId="46" xfId="2" applyFont="1" applyFill="1" applyBorder="1" applyAlignment="1">
      <alignment horizontal="center" vertical="center"/>
    </xf>
    <xf numFmtId="41" fontId="81" fillId="52" borderId="50" xfId="2" applyFont="1" applyFill="1" applyBorder="1" applyAlignment="1">
      <alignment horizontal="center" vertical="center"/>
    </xf>
    <xf numFmtId="41" fontId="81" fillId="52" borderId="166" xfId="2" applyFont="1" applyFill="1" applyBorder="1" applyAlignment="1">
      <alignment horizontal="center" vertical="center"/>
    </xf>
    <xf numFmtId="0" fontId="81" fillId="0" borderId="110" xfId="0" applyFont="1" applyBorder="1" applyAlignment="1">
      <alignment horizontal="center" vertical="center"/>
    </xf>
    <xf numFmtId="41" fontId="81" fillId="0" borderId="42" xfId="2" applyFont="1" applyBorder="1" applyAlignment="1">
      <alignment horizontal="center" vertical="center"/>
    </xf>
    <xf numFmtId="41" fontId="81" fillId="0" borderId="110" xfId="2" applyFont="1" applyBorder="1" applyAlignment="1">
      <alignment horizontal="center" vertical="center"/>
    </xf>
    <xf numFmtId="0" fontId="81" fillId="0" borderId="171" xfId="0" applyFont="1" applyBorder="1"/>
    <xf numFmtId="10" fontId="81" fillId="52" borderId="171" xfId="3" applyNumberFormat="1" applyFont="1" applyFill="1" applyBorder="1"/>
    <xf numFmtId="0" fontId="81" fillId="0" borderId="171" xfId="0" quotePrefix="1" applyFont="1" applyBorder="1" applyAlignment="1">
      <alignment vertical="center"/>
    </xf>
    <xf numFmtId="41" fontId="81" fillId="52" borderId="171" xfId="2" applyFont="1" applyFill="1" applyBorder="1"/>
    <xf numFmtId="175" fontId="81" fillId="52" borderId="171" xfId="2" applyNumberFormat="1" applyFont="1" applyFill="1" applyBorder="1"/>
    <xf numFmtId="9" fontId="81" fillId="52" borderId="171" xfId="3" applyFont="1" applyFill="1" applyBorder="1"/>
    <xf numFmtId="0" fontId="12" fillId="0" borderId="170" xfId="5" applyFont="1" applyBorder="1" applyAlignment="1">
      <alignment horizontal="center" vertical="center"/>
    </xf>
    <xf numFmtId="0" fontId="12" fillId="0" borderId="172" xfId="5" applyFont="1" applyBorder="1" applyAlignment="1">
      <alignment horizontal="center" vertical="center"/>
    </xf>
    <xf numFmtId="0" fontId="12" fillId="0" borderId="173" xfId="5" applyFont="1" applyBorder="1" applyAlignment="1">
      <alignment horizontal="center" vertical="center"/>
    </xf>
    <xf numFmtId="0" fontId="12" fillId="0" borderId="174" xfId="5" applyFont="1" applyBorder="1" applyAlignment="1">
      <alignment horizontal="center" vertical="center"/>
    </xf>
    <xf numFmtId="0" fontId="12" fillId="0" borderId="154" xfId="5" applyFont="1" applyBorder="1" applyAlignment="1">
      <alignment horizontal="center" vertical="center"/>
    </xf>
    <xf numFmtId="0" fontId="12" fillId="0" borderId="175" xfId="5" applyFont="1" applyBorder="1" applyAlignment="1">
      <alignment horizontal="center" vertical="center"/>
    </xf>
    <xf numFmtId="0" fontId="12" fillId="0" borderId="176" xfId="5" applyFont="1" applyBorder="1" applyAlignment="1">
      <alignment horizontal="center" vertical="center"/>
    </xf>
    <xf numFmtId="0" fontId="12" fillId="0" borderId="170" xfId="5" applyFont="1" applyBorder="1" applyAlignment="1">
      <alignment horizontal="center" vertical="top" wrapText="1"/>
    </xf>
    <xf numFmtId="0" fontId="25" fillId="0" borderId="154" xfId="9" applyFont="1" applyBorder="1" applyAlignment="1"/>
    <xf numFmtId="0" fontId="12" fillId="0" borderId="170" xfId="9" applyFont="1" applyBorder="1" applyAlignment="1">
      <alignment horizontal="center" vertical="top" wrapText="1"/>
    </xf>
    <xf numFmtId="0" fontId="12" fillId="0" borderId="173" xfId="5" applyFont="1" applyBorder="1" applyAlignment="1">
      <alignment horizontal="center" vertical="top" wrapText="1"/>
    </xf>
    <xf numFmtId="0" fontId="12" fillId="0" borderId="174" xfId="5" applyFont="1" applyBorder="1" applyAlignment="1">
      <alignment horizontal="center" vertical="center" wrapText="1"/>
    </xf>
    <xf numFmtId="0" fontId="12" fillId="0" borderId="154" xfId="5" applyFont="1" applyBorder="1" applyAlignment="1">
      <alignment horizontal="center" vertical="center" wrapText="1"/>
    </xf>
    <xf numFmtId="0" fontId="18" fillId="0" borderId="177" xfId="5" applyFont="1" applyBorder="1" applyAlignment="1">
      <alignment horizontal="center" vertical="top" wrapText="1"/>
    </xf>
    <xf numFmtId="0" fontId="18" fillId="0" borderId="170" xfId="5" applyFont="1" applyBorder="1" applyAlignment="1">
      <alignment horizontal="center" vertical="top" wrapText="1"/>
    </xf>
    <xf numFmtId="0" fontId="18" fillId="0" borderId="178" xfId="5" applyFont="1" applyBorder="1" applyAlignment="1">
      <alignment horizontal="center" vertical="top"/>
    </xf>
    <xf numFmtId="0" fontId="12" fillId="0" borderId="177" xfId="5" applyFont="1" applyBorder="1" applyAlignment="1">
      <alignment horizontal="center" vertical="top" wrapText="1"/>
    </xf>
    <xf numFmtId="0" fontId="12" fillId="0" borderId="154" xfId="5" applyFont="1" applyBorder="1" applyAlignment="1">
      <alignment horizontal="center" vertical="top" wrapText="1"/>
    </xf>
    <xf numFmtId="0" fontId="12" fillId="0" borderId="178" xfId="5" applyFont="1" applyBorder="1" applyAlignment="1">
      <alignment horizontal="center" vertical="top"/>
    </xf>
    <xf numFmtId="0" fontId="12" fillId="0" borderId="177" xfId="5" applyFont="1" applyBorder="1" applyAlignment="1">
      <alignment horizontal="center" vertical="center"/>
    </xf>
    <xf numFmtId="0" fontId="12" fillId="0" borderId="170" xfId="5" applyFont="1" applyBorder="1" applyAlignment="1">
      <alignment horizontal="center" vertical="center"/>
    </xf>
    <xf numFmtId="38" fontId="12" fillId="0" borderId="179" xfId="5" applyNumberFormat="1" applyFont="1" applyBorder="1" applyAlignment="1">
      <alignment horizontal="center" vertical="top"/>
    </xf>
    <xf numFmtId="38" fontId="12" fillId="0" borderId="176" xfId="5" applyNumberFormat="1" applyFont="1" applyBorder="1" applyAlignment="1">
      <alignment horizontal="center" vertical="top"/>
    </xf>
    <xf numFmtId="38" fontId="12" fillId="0" borderId="175" xfId="5" applyNumberFormat="1" applyFont="1" applyBorder="1" applyAlignment="1">
      <alignment horizontal="center" vertical="top"/>
    </xf>
    <xf numFmtId="38" fontId="12" fillId="0" borderId="170" xfId="5" applyNumberFormat="1" applyFont="1" applyBorder="1" applyAlignment="1">
      <alignment horizontal="center" vertical="top"/>
    </xf>
    <xf numFmtId="38" fontId="12" fillId="0" borderId="178" xfId="5" applyNumberFormat="1" applyFont="1" applyBorder="1" applyAlignment="1">
      <alignment horizontal="center" vertical="top"/>
    </xf>
    <xf numFmtId="38" fontId="12" fillId="0" borderId="177" xfId="5" applyNumberFormat="1" applyFont="1" applyBorder="1" applyAlignment="1">
      <alignment horizontal="center" vertical="top" wrapText="1"/>
    </xf>
    <xf numFmtId="38" fontId="12" fillId="0" borderId="170" xfId="5" applyNumberFormat="1" applyFont="1" applyBorder="1" applyAlignment="1">
      <alignment vertical="top"/>
    </xf>
    <xf numFmtId="38" fontId="12" fillId="0" borderId="170" xfId="5" applyNumberFormat="1" applyFont="1" applyBorder="1" applyAlignment="1">
      <alignment horizontal="center" vertical="top" wrapText="1"/>
    </xf>
    <xf numFmtId="38" fontId="12" fillId="0" borderId="178" xfId="5" applyNumberFormat="1" applyFont="1" applyBorder="1" applyAlignment="1">
      <alignment horizontal="center" vertical="top" wrapText="1"/>
    </xf>
    <xf numFmtId="0" fontId="12" fillId="0" borderId="93" xfId="9" applyFont="1" applyBorder="1" applyAlignment="1"/>
    <xf numFmtId="0" fontId="12" fillId="0" borderId="75" xfId="9" applyFont="1" applyBorder="1" applyAlignment="1"/>
    <xf numFmtId="0" fontId="13" fillId="0" borderId="175" xfId="5" applyFont="1" applyBorder="1" applyAlignment="1">
      <alignment horizontal="center"/>
    </xf>
    <xf numFmtId="0" fontId="13" fillId="0" borderId="171" xfId="5" applyFont="1" applyBorder="1" applyAlignment="1">
      <alignment horizontal="center"/>
    </xf>
    <xf numFmtId="0" fontId="17" fillId="0" borderId="154" xfId="5" applyFont="1" applyBorder="1" applyAlignment="1">
      <alignment vertical="center"/>
    </xf>
    <xf numFmtId="1" fontId="17" fillId="0" borderId="154" xfId="5" applyNumberFormat="1" applyFont="1" applyBorder="1" applyAlignment="1">
      <alignment horizontal="right" vertical="center"/>
    </xf>
    <xf numFmtId="0" fontId="17" fillId="0" borderId="175" xfId="5" applyFont="1" applyBorder="1" applyAlignment="1">
      <alignment horizontal="right" vertical="center"/>
    </xf>
    <xf numFmtId="0" fontId="13" fillId="6" borderId="154" xfId="5" applyFont="1" applyFill="1" applyBorder="1" applyAlignment="1">
      <alignment horizontal="center" vertical="center"/>
    </xf>
    <xf numFmtId="1" fontId="13" fillId="6" borderId="154" xfId="5" applyNumberFormat="1" applyFont="1" applyFill="1" applyBorder="1" applyAlignment="1">
      <alignment horizontal="center" vertical="center"/>
    </xf>
    <xf numFmtId="38" fontId="13" fillId="6" borderId="154" xfId="5" applyNumberFormat="1" applyFont="1" applyFill="1" applyBorder="1" applyAlignment="1">
      <alignment horizontal="center" vertical="center"/>
    </xf>
    <xf numFmtId="0" fontId="13" fillId="0" borderId="170" xfId="5" applyFont="1" applyBorder="1" applyAlignment="1">
      <alignment horizontal="right" vertical="center"/>
    </xf>
    <xf numFmtId="1" fontId="13" fillId="0" borderId="180" xfId="5" applyNumberFormat="1" applyFont="1" applyBorder="1" applyAlignment="1">
      <alignment horizontal="left" vertical="center"/>
    </xf>
    <xf numFmtId="1" fontId="13" fillId="0" borderId="180" xfId="5" applyNumberFormat="1" applyFont="1" applyBorder="1" applyAlignment="1">
      <alignment horizontal="center" vertical="center"/>
    </xf>
    <xf numFmtId="1" fontId="13" fillId="0" borderId="172" xfId="5" applyNumberFormat="1" applyFont="1" applyBorder="1" applyAlignment="1">
      <alignment horizontal="center" vertical="center"/>
    </xf>
    <xf numFmtId="38" fontId="13" fillId="0" borderId="170" xfId="5" applyNumberFormat="1" applyFont="1" applyBorder="1" applyAlignment="1">
      <alignment horizontal="center" vertical="center"/>
    </xf>
    <xf numFmtId="0" fontId="12" fillId="0" borderId="175" xfId="5" applyFont="1" applyBorder="1" applyAlignment="1">
      <alignment vertical="center"/>
    </xf>
    <xf numFmtId="0" fontId="12" fillId="0" borderId="171" xfId="5" applyFont="1" applyBorder="1" applyAlignment="1">
      <alignment vertical="center"/>
    </xf>
    <xf numFmtId="38" fontId="12" fillId="0" borderId="171" xfId="5" applyNumberFormat="1" applyFont="1" applyBorder="1" applyAlignment="1">
      <alignment vertical="center"/>
    </xf>
    <xf numFmtId="38" fontId="12" fillId="0" borderId="176" xfId="5" applyNumberFormat="1" applyFont="1" applyBorder="1" applyAlignment="1">
      <alignment vertical="center"/>
    </xf>
    <xf numFmtId="38" fontId="12" fillId="0" borderId="154" xfId="5" applyNumberFormat="1" applyFont="1" applyBorder="1" applyAlignment="1">
      <alignment vertical="center"/>
    </xf>
    <xf numFmtId="0" fontId="12" fillId="0" borderId="170" xfId="5" applyFont="1" applyBorder="1" applyAlignment="1">
      <alignment horizontal="right" vertical="center"/>
    </xf>
    <xf numFmtId="0" fontId="12" fillId="0" borderId="173" xfId="5" applyFont="1" applyBorder="1" applyAlignment="1">
      <alignment vertical="center"/>
    </xf>
    <xf numFmtId="0" fontId="12" fillId="0" borderId="180" xfId="5" applyFont="1" applyBorder="1" applyAlignment="1">
      <alignment vertical="center"/>
    </xf>
    <xf numFmtId="38" fontId="12" fillId="0" borderId="180" xfId="5" applyNumberFormat="1" applyFont="1" applyBorder="1" applyAlignment="1">
      <alignment vertical="center"/>
    </xf>
    <xf numFmtId="38" fontId="12" fillId="0" borderId="172" xfId="5" applyNumberFormat="1" applyFont="1" applyBorder="1" applyAlignment="1">
      <alignment vertical="center"/>
    </xf>
    <xf numFmtId="0" fontId="12" fillId="0" borderId="176" xfId="5" applyFont="1" applyBorder="1" applyAlignment="1">
      <alignment vertical="center"/>
    </xf>
    <xf numFmtId="0" fontId="12" fillId="0" borderId="154" xfId="5" applyFont="1" applyBorder="1" applyAlignment="1">
      <alignment horizontal="right" vertical="center"/>
    </xf>
    <xf numFmtId="0" fontId="0" fillId="0" borderId="181" xfId="0" applyBorder="1" applyAlignment="1">
      <alignment horizontal="left"/>
    </xf>
    <xf numFmtId="0" fontId="0" fillId="0" borderId="171" xfId="0" applyBorder="1" applyAlignment="1">
      <alignment horizontal="left"/>
    </xf>
    <xf numFmtId="0" fontId="0" fillId="0" borderId="182" xfId="0" applyBorder="1" applyAlignment="1">
      <alignment horizontal="left"/>
    </xf>
    <xf numFmtId="0" fontId="0" fillId="0" borderId="180" xfId="0" quotePrefix="1" applyBorder="1"/>
    <xf numFmtId="38" fontId="0" fillId="0" borderId="183" xfId="0" applyNumberFormat="1" applyBorder="1"/>
    <xf numFmtId="0" fontId="0" fillId="0" borderId="181" xfId="0" quotePrefix="1" applyBorder="1" applyAlignment="1">
      <alignment horizontal="center"/>
    </xf>
    <xf numFmtId="0" fontId="0" fillId="0" borderId="171" xfId="0" quotePrefix="1" applyBorder="1" applyAlignment="1">
      <alignment horizontal="center"/>
    </xf>
    <xf numFmtId="38" fontId="0" fillId="0" borderId="182" xfId="0" applyNumberFormat="1" applyBorder="1"/>
    <xf numFmtId="0" fontId="0" fillId="0" borderId="184" xfId="0" quotePrefix="1" applyBorder="1"/>
    <xf numFmtId="0" fontId="0" fillId="0" borderId="181" xfId="0" applyBorder="1" applyAlignment="1">
      <alignment horizontal="left"/>
    </xf>
    <xf numFmtId="0" fontId="0" fillId="0" borderId="171" xfId="0" applyBorder="1" applyAlignment="1">
      <alignment horizontal="left"/>
    </xf>
    <xf numFmtId="0" fontId="0" fillId="0" borderId="182" xfId="0" applyBorder="1" applyAlignment="1">
      <alignment horizontal="left"/>
    </xf>
    <xf numFmtId="0" fontId="65" fillId="46" borderId="154" xfId="0" applyFont="1" applyFill="1" applyBorder="1"/>
    <xf numFmtId="0" fontId="65" fillId="46" borderId="176" xfId="0" applyFont="1" applyFill="1" applyBorder="1"/>
    <xf numFmtId="10" fontId="65" fillId="47" borderId="176" xfId="0" applyNumberFormat="1" applyFont="1" applyFill="1" applyBorder="1" applyAlignment="1">
      <alignment horizontal="right"/>
    </xf>
    <xf numFmtId="169" fontId="65" fillId="47" borderId="176" xfId="0" applyNumberFormat="1" applyFont="1" applyFill="1" applyBorder="1" applyAlignment="1">
      <alignment horizontal="right"/>
    </xf>
    <xf numFmtId="0" fontId="86" fillId="52" borderId="154" xfId="5" applyFont="1" applyFill="1" applyBorder="1" applyAlignment="1">
      <alignment horizontal="center" vertical="center"/>
    </xf>
    <xf numFmtId="0" fontId="71" fillId="52" borderId="154" xfId="5" applyFont="1" applyFill="1" applyBorder="1" applyAlignment="1">
      <alignment horizontal="left"/>
    </xf>
    <xf numFmtId="0" fontId="89" fillId="52" borderId="154" xfId="5" applyFont="1" applyFill="1" applyBorder="1" applyAlignment="1">
      <alignment horizontal="left"/>
    </xf>
    <xf numFmtId="0" fontId="70" fillId="52" borderId="154" xfId="5" applyFont="1" applyFill="1" applyBorder="1" applyAlignment="1">
      <alignment horizontal="center"/>
    </xf>
    <xf numFmtId="0" fontId="90" fillId="52" borderId="154" xfId="5" applyFont="1" applyFill="1" applyBorder="1" applyAlignment="1">
      <alignment horizontal="center"/>
    </xf>
    <xf numFmtId="0" fontId="90" fillId="52" borderId="154" xfId="5" applyFont="1" applyFill="1" applyBorder="1" applyAlignment="1">
      <alignment horizontal="center"/>
    </xf>
    <xf numFmtId="0" fontId="71" fillId="0" borderId="154" xfId="5" applyFont="1" applyBorder="1" applyAlignment="1">
      <alignment horizontal="left"/>
    </xf>
    <xf numFmtId="0" fontId="89" fillId="0" borderId="154" xfId="5" applyFont="1" applyBorder="1" applyAlignment="1">
      <alignment horizontal="center"/>
    </xf>
    <xf numFmtId="0" fontId="70" fillId="0" borderId="154" xfId="5" applyFont="1" applyBorder="1" applyAlignment="1">
      <alignment horizontal="left"/>
    </xf>
    <xf numFmtId="3" fontId="90" fillId="0" borderId="154" xfId="6" applyNumberFormat="1" applyFont="1" applyFill="1" applyBorder="1" applyAlignment="1">
      <alignment horizontal="left"/>
    </xf>
    <xf numFmtId="41" fontId="89" fillId="0" borderId="154" xfId="6" applyNumberFormat="1" applyFont="1" applyFill="1" applyBorder="1"/>
    <xf numFmtId="38" fontId="90" fillId="0" borderId="154" xfId="7" applyNumberFormat="1" applyFont="1" applyFill="1" applyBorder="1"/>
    <xf numFmtId="0" fontId="70" fillId="0" borderId="154" xfId="5" applyFont="1" applyBorder="1" applyAlignment="1">
      <alignment horizontal="center"/>
    </xf>
    <xf numFmtId="0" fontId="90" fillId="0" borderId="154" xfId="5" applyFont="1" applyBorder="1" applyAlignment="1">
      <alignment horizontal="center"/>
    </xf>
    <xf numFmtId="0" fontId="90" fillId="0" borderId="154" xfId="5" applyFont="1" applyBorder="1" applyAlignment="1">
      <alignment horizontal="center"/>
    </xf>
    <xf numFmtId="0" fontId="89" fillId="0" borderId="154" xfId="5" applyFont="1" applyBorder="1" applyAlignment="1">
      <alignment horizontal="center"/>
    </xf>
    <xf numFmtId="0" fontId="91" fillId="0" borderId="154" xfId="5" applyFont="1" applyBorder="1" applyAlignment="1">
      <alignment horizontal="center"/>
    </xf>
    <xf numFmtId="3" fontId="90" fillId="0" borderId="154" xfId="5" applyNumberFormat="1" applyFont="1" applyBorder="1" applyAlignment="1">
      <alignment horizontal="left"/>
    </xf>
    <xf numFmtId="3" fontId="90" fillId="0" borderId="154" xfId="5" applyNumberFormat="1" applyFont="1" applyBorder="1"/>
    <xf numFmtId="0" fontId="90" fillId="0" borderId="154" xfId="5" applyFont="1" applyBorder="1" applyAlignment="1">
      <alignment horizontal="left"/>
    </xf>
    <xf numFmtId="3" fontId="90" fillId="0" borderId="154" xfId="5" applyNumberFormat="1" applyFont="1" applyBorder="1" applyAlignment="1">
      <alignment horizontal="right"/>
    </xf>
    <xf numFmtId="9" fontId="90" fillId="2" borderId="154" xfId="8" applyFont="1" applyFill="1" applyBorder="1"/>
    <xf numFmtId="3" fontId="89" fillId="0" borderId="154" xfId="6" applyNumberFormat="1" applyFont="1" applyFill="1" applyBorder="1"/>
    <xf numFmtId="41" fontId="90" fillId="0" borderId="154" xfId="6" applyNumberFormat="1" applyFont="1" applyFill="1" applyBorder="1"/>
    <xf numFmtId="0" fontId="71" fillId="0" borderId="154" xfId="5" applyFont="1" applyBorder="1" applyAlignment="1">
      <alignment horizontal="center"/>
    </xf>
    <xf numFmtId="171" fontId="89" fillId="0" borderId="154" xfId="6" applyNumberFormat="1" applyFont="1" applyFill="1" applyBorder="1"/>
    <xf numFmtId="0" fontId="70" fillId="0" borderId="154" xfId="7" applyNumberFormat="1" applyFont="1" applyFill="1" applyBorder="1" applyAlignment="1">
      <alignment horizontal="left"/>
    </xf>
    <xf numFmtId="10" fontId="90" fillId="0" borderId="154" xfId="5" applyNumberFormat="1" applyFont="1" applyBorder="1"/>
    <xf numFmtId="9" fontId="90" fillId="0" borderId="154" xfId="8" applyFont="1" applyFill="1" applyBorder="1"/>
    <xf numFmtId="3" fontId="90" fillId="0" borderId="154" xfId="8" applyNumberFormat="1" applyFont="1" applyFill="1" applyBorder="1" applyAlignment="1">
      <alignment wrapText="1"/>
    </xf>
    <xf numFmtId="20" fontId="90" fillId="0" borderId="154" xfId="5" applyNumberFormat="1" applyFont="1" applyBorder="1" applyAlignment="1">
      <alignment horizontal="center"/>
    </xf>
    <xf numFmtId="3" fontId="90" fillId="2" borderId="154" xfId="5" applyNumberFormat="1" applyFont="1" applyFill="1" applyBorder="1"/>
    <xf numFmtId="10" fontId="90" fillId="0" borderId="154" xfId="8" applyNumberFormat="1" applyFont="1" applyFill="1" applyBorder="1"/>
    <xf numFmtId="3" fontId="90" fillId="0" borderId="154" xfId="6" applyNumberFormat="1" applyFont="1" applyFill="1" applyBorder="1"/>
    <xf numFmtId="0" fontId="70" fillId="0" borderId="154" xfId="8" applyNumberFormat="1" applyFont="1" applyFill="1" applyBorder="1" applyAlignment="1">
      <alignment horizontal="left"/>
    </xf>
    <xf numFmtId="37" fontId="90" fillId="0" borderId="154" xfId="5" applyNumberFormat="1" applyFont="1" applyBorder="1" applyAlignment="1">
      <alignment horizontal="right"/>
    </xf>
    <xf numFmtId="0" fontId="77" fillId="0" borderId="154" xfId="9" applyFont="1" applyBorder="1" applyAlignment="1">
      <alignment horizontal="left"/>
    </xf>
    <xf numFmtId="38" fontId="90" fillId="0" borderId="154" xfId="5" applyNumberFormat="1" applyFont="1" applyBorder="1"/>
    <xf numFmtId="0" fontId="70" fillId="0" borderId="154" xfId="7" applyNumberFormat="1" applyFont="1" applyFill="1" applyBorder="1" applyAlignment="1">
      <alignment horizontal="center" vertical="center"/>
    </xf>
    <xf numFmtId="38" fontId="90" fillId="0" borderId="154" xfId="5" applyNumberFormat="1" applyFont="1" applyBorder="1" applyAlignment="1">
      <alignment horizontal="center" vertical="center"/>
    </xf>
    <xf numFmtId="3" fontId="90" fillId="0" borderId="154" xfId="5" applyNumberFormat="1" applyFont="1" applyBorder="1" applyAlignment="1">
      <alignment horizontal="center"/>
    </xf>
    <xf numFmtId="3" fontId="89" fillId="0" borderId="154" xfId="8" applyNumberFormat="1" applyFont="1" applyFill="1" applyBorder="1"/>
    <xf numFmtId="171" fontId="70" fillId="0" borderId="154" xfId="7" applyNumberFormat="1" applyFont="1" applyFill="1" applyBorder="1" applyAlignment="1">
      <alignment horizontal="left"/>
    </xf>
    <xf numFmtId="0" fontId="70" fillId="0" borderId="154" xfId="7" applyNumberFormat="1" applyFont="1" applyFill="1" applyBorder="1" applyAlignment="1">
      <alignment horizontal="left" vertical="center" wrapText="1"/>
    </xf>
    <xf numFmtId="0" fontId="90" fillId="0" borderId="154" xfId="5" applyFont="1" applyBorder="1" applyAlignment="1">
      <alignment horizontal="center" vertical="center"/>
    </xf>
    <xf numFmtId="0" fontId="90" fillId="0" borderId="154" xfId="5" applyFont="1" applyBorder="1"/>
    <xf numFmtId="3" fontId="89" fillId="0" borderId="154" xfId="5" applyNumberFormat="1" applyFont="1" applyBorder="1"/>
    <xf numFmtId="41" fontId="90" fillId="0" borderId="154" xfId="2" applyFont="1" applyFill="1" applyBorder="1" applyAlignment="1">
      <alignment horizontal="right"/>
    </xf>
    <xf numFmtId="9" fontId="90" fillId="0" borderId="154" xfId="8" applyFont="1" applyFill="1" applyBorder="1" applyAlignment="1">
      <alignment horizontal="right" vertical="center"/>
    </xf>
    <xf numFmtId="41" fontId="90" fillId="0" borderId="154" xfId="2" applyFont="1" applyFill="1" applyBorder="1"/>
    <xf numFmtId="9" fontId="92" fillId="0" borderId="154" xfId="8" applyFont="1" applyFill="1" applyBorder="1"/>
    <xf numFmtId="0" fontId="70" fillId="0" borderId="170" xfId="5" applyFont="1" applyBorder="1" applyAlignment="1">
      <alignment horizontal="center" vertical="center"/>
    </xf>
    <xf numFmtId="0" fontId="70" fillId="0" borderId="178" xfId="5" applyFont="1" applyBorder="1" applyAlignment="1">
      <alignment horizontal="center" vertical="center"/>
    </xf>
    <xf numFmtId="0" fontId="70" fillId="0" borderId="174" xfId="5" applyFont="1" applyBorder="1" applyAlignment="1">
      <alignment horizontal="center" vertical="center"/>
    </xf>
    <xf numFmtId="0" fontId="70" fillId="0" borderId="154" xfId="5" applyFont="1" applyBorder="1" applyAlignment="1">
      <alignment horizontal="center" vertical="center"/>
    </xf>
    <xf numFmtId="0" fontId="70" fillId="0" borderId="154" xfId="5" applyFont="1" applyBorder="1" applyAlignment="1">
      <alignment horizontal="center" vertical="top" wrapText="1"/>
    </xf>
    <xf numFmtId="0" fontId="70" fillId="53" borderId="154" xfId="5" applyFont="1" applyFill="1" applyBorder="1" applyAlignment="1">
      <alignment horizontal="center" vertical="top" wrapText="1"/>
    </xf>
    <xf numFmtId="0" fontId="94" fillId="0" borderId="154" xfId="9" applyFont="1" applyBorder="1" applyAlignment="1"/>
    <xf numFmtId="0" fontId="70" fillId="0" borderId="154" xfId="9" applyFont="1" applyBorder="1" applyAlignment="1">
      <alignment horizontal="center" vertical="top" wrapText="1"/>
    </xf>
    <xf numFmtId="0" fontId="72" fillId="9" borderId="154" xfId="5" applyFont="1" applyFill="1" applyBorder="1" applyAlignment="1">
      <alignment horizontal="center" vertical="center" wrapText="1"/>
    </xf>
    <xf numFmtId="0" fontId="95" fillId="3" borderId="175" xfId="5" applyFont="1" applyFill="1" applyBorder="1" applyAlignment="1">
      <alignment horizontal="center" vertical="center" wrapText="1"/>
    </xf>
    <xf numFmtId="0" fontId="70" fillId="0" borderId="174" xfId="5" applyFont="1" applyBorder="1" applyAlignment="1">
      <alignment horizontal="center" vertical="center" wrapText="1"/>
    </xf>
    <xf numFmtId="0" fontId="70" fillId="0" borderId="154" xfId="5" applyFont="1" applyBorder="1" applyAlignment="1">
      <alignment horizontal="center" vertical="center" wrapText="1"/>
    </xf>
    <xf numFmtId="0" fontId="70" fillId="53" borderId="154" xfId="5" applyFont="1" applyFill="1" applyBorder="1" applyAlignment="1">
      <alignment horizontal="center" vertical="center"/>
    </xf>
    <xf numFmtId="0" fontId="95" fillId="53" borderId="185" xfId="5" applyFont="1" applyFill="1" applyBorder="1" applyAlignment="1">
      <alignment horizontal="center" vertical="center" wrapText="1"/>
    </xf>
    <xf numFmtId="0" fontId="90" fillId="0" borderId="177" xfId="5" applyFont="1" applyBorder="1" applyAlignment="1">
      <alignment horizontal="center" vertical="top" wrapText="1"/>
    </xf>
    <xf numFmtId="0" fontId="90" fillId="56" borderId="170" xfId="5" applyFont="1" applyFill="1" applyBorder="1" applyAlignment="1">
      <alignment horizontal="center" vertical="top" wrapText="1"/>
    </xf>
    <xf numFmtId="0" fontId="90" fillId="0" borderId="170" xfId="5" applyFont="1" applyBorder="1" applyAlignment="1">
      <alignment horizontal="center" vertical="top" wrapText="1"/>
    </xf>
    <xf numFmtId="0" fontId="90" fillId="56" borderId="178" xfId="5" applyFont="1" applyFill="1" applyBorder="1" applyAlignment="1">
      <alignment horizontal="center" vertical="top"/>
    </xf>
    <xf numFmtId="0" fontId="70" fillId="56" borderId="177" xfId="5" applyFont="1" applyFill="1" applyBorder="1" applyAlignment="1">
      <alignment horizontal="center" vertical="top" wrapText="1"/>
    </xf>
    <xf numFmtId="0" fontId="70" fillId="56" borderId="154" xfId="5" applyFont="1" applyFill="1" applyBorder="1" applyAlignment="1">
      <alignment horizontal="center" vertical="top" wrapText="1"/>
    </xf>
    <xf numFmtId="0" fontId="70" fillId="56" borderId="170" xfId="5" applyFont="1" applyFill="1" applyBorder="1" applyAlignment="1">
      <alignment horizontal="center" vertical="top" wrapText="1"/>
    </xf>
    <xf numFmtId="0" fontId="70" fillId="56" borderId="178" xfId="5" applyFont="1" applyFill="1" applyBorder="1" applyAlignment="1">
      <alignment horizontal="center" vertical="top"/>
    </xf>
    <xf numFmtId="0" fontId="70" fillId="56" borderId="154" xfId="5" applyFont="1" applyFill="1" applyBorder="1" applyAlignment="1">
      <alignment horizontal="center" vertical="center"/>
    </xf>
    <xf numFmtId="0" fontId="70" fillId="56" borderId="154" xfId="5" applyFont="1" applyFill="1" applyBorder="1" applyAlignment="1">
      <alignment horizontal="center" vertical="center" wrapText="1"/>
    </xf>
    <xf numFmtId="0" fontId="70" fillId="0" borderId="95" xfId="9" applyFont="1" applyBorder="1" applyAlignment="1"/>
    <xf numFmtId="0" fontId="70" fillId="56" borderId="96" xfId="9" applyFont="1" applyFill="1" applyBorder="1" applyAlignment="1"/>
    <xf numFmtId="0" fontId="70" fillId="0" borderId="96" xfId="9" applyFont="1" applyBorder="1" applyAlignment="1"/>
    <xf numFmtId="0" fontId="71" fillId="0" borderId="171" xfId="5" applyFont="1" applyBorder="1" applyAlignment="1">
      <alignment horizontal="center"/>
    </xf>
    <xf numFmtId="0" fontId="71" fillId="0" borderId="154" xfId="5" applyFont="1" applyBorder="1" applyAlignment="1">
      <alignment horizontal="center"/>
    </xf>
    <xf numFmtId="1" fontId="71" fillId="0" borderId="154" xfId="5" applyNumberFormat="1" applyFont="1" applyBorder="1" applyAlignment="1">
      <alignment horizontal="right"/>
    </xf>
    <xf numFmtId="1" fontId="71" fillId="0" borderId="185" xfId="5" applyNumberFormat="1" applyFont="1" applyBorder="1" applyAlignment="1">
      <alignment horizontal="right"/>
    </xf>
    <xf numFmtId="38" fontId="71" fillId="0" borderId="154" xfId="5" applyNumberFormat="1" applyFont="1" applyBorder="1" applyAlignment="1">
      <alignment horizontal="right"/>
    </xf>
    <xf numFmtId="38" fontId="71" fillId="0" borderId="185" xfId="5" applyNumberFormat="1" applyFont="1" applyBorder="1" applyAlignment="1">
      <alignment horizontal="right"/>
    </xf>
    <xf numFmtId="38" fontId="71" fillId="0" borderId="174" xfId="7" applyNumberFormat="1" applyFont="1" applyFill="1" applyBorder="1" applyAlignment="1">
      <alignment horizontal="right"/>
    </xf>
    <xf numFmtId="38" fontId="71" fillId="56" borderId="154" xfId="7" applyNumberFormat="1" applyFont="1" applyFill="1" applyBorder="1" applyAlignment="1">
      <alignment horizontal="right"/>
    </xf>
    <xf numFmtId="38" fontId="71" fillId="0" borderId="154" xfId="7" applyNumberFormat="1" applyFont="1" applyFill="1" applyBorder="1" applyAlignment="1">
      <alignment horizontal="right"/>
    </xf>
    <xf numFmtId="38" fontId="71" fillId="53" borderId="154" xfId="7" applyNumberFormat="1" applyFont="1" applyFill="1" applyBorder="1" applyAlignment="1">
      <alignment horizontal="right"/>
    </xf>
    <xf numFmtId="38" fontId="71" fillId="0" borderId="175" xfId="7" applyNumberFormat="1" applyFont="1" applyFill="1" applyBorder="1" applyAlignment="1">
      <alignment horizontal="right"/>
    </xf>
    <xf numFmtId="0" fontId="71" fillId="0" borderId="174" xfId="5" applyFont="1" applyBorder="1" applyAlignment="1">
      <alignment horizontal="center"/>
    </xf>
    <xf numFmtId="0" fontId="71" fillId="56" borderId="154" xfId="5" applyFont="1" applyFill="1" applyBorder="1" applyAlignment="1">
      <alignment horizontal="center"/>
    </xf>
    <xf numFmtId="0" fontId="71" fillId="53" borderId="175" xfId="5" applyFont="1" applyFill="1" applyBorder="1" applyAlignment="1">
      <alignment horizontal="center"/>
    </xf>
    <xf numFmtId="0" fontId="71" fillId="53" borderId="174" xfId="5" applyFont="1" applyFill="1" applyBorder="1" applyAlignment="1">
      <alignment horizontal="right"/>
    </xf>
    <xf numFmtId="175" fontId="71" fillId="0" borderId="154" xfId="5" applyNumberFormat="1" applyFont="1" applyBorder="1" applyAlignment="1">
      <alignment horizontal="right"/>
    </xf>
    <xf numFmtId="38" fontId="70" fillId="0" borderId="154" xfId="5" applyNumberFormat="1" applyFont="1" applyBorder="1" applyAlignment="1">
      <alignment horizontal="right"/>
    </xf>
    <xf numFmtId="0" fontId="70" fillId="56" borderId="154" xfId="5" applyFont="1" applyFill="1" applyBorder="1" applyAlignment="1">
      <alignment horizontal="center"/>
    </xf>
    <xf numFmtId="38" fontId="71" fillId="0" borderId="185" xfId="5" applyNumberFormat="1" applyFont="1" applyBorder="1" applyAlignment="1">
      <alignment horizontal="center"/>
    </xf>
    <xf numFmtId="38" fontId="70" fillId="56" borderId="154" xfId="7" applyNumberFormat="1" applyFont="1" applyFill="1" applyBorder="1" applyAlignment="1">
      <alignment horizontal="right"/>
    </xf>
    <xf numFmtId="0" fontId="70" fillId="56" borderId="154" xfId="5" applyFont="1" applyFill="1" applyBorder="1" applyAlignment="1">
      <alignment horizontal="right"/>
    </xf>
    <xf numFmtId="38" fontId="71" fillId="0" borderId="174" xfId="5" applyNumberFormat="1" applyFont="1" applyBorder="1" applyAlignment="1">
      <alignment horizontal="right"/>
    </xf>
    <xf numFmtId="38" fontId="71" fillId="56" borderId="154" xfId="5" applyNumberFormat="1" applyFont="1" applyFill="1" applyBorder="1" applyAlignment="1">
      <alignment horizontal="right"/>
    </xf>
    <xf numFmtId="38" fontId="71" fillId="53" borderId="154" xfId="5" applyNumberFormat="1" applyFont="1" applyFill="1" applyBorder="1" applyAlignment="1">
      <alignment horizontal="right"/>
    </xf>
    <xf numFmtId="38" fontId="71" fillId="53" borderId="175" xfId="5" applyNumberFormat="1" applyFont="1" applyFill="1" applyBorder="1" applyAlignment="1">
      <alignment horizontal="right"/>
    </xf>
    <xf numFmtId="38" fontId="70" fillId="53" borderId="174" xfId="5" applyNumberFormat="1" applyFont="1" applyFill="1" applyBorder="1" applyAlignment="1">
      <alignment horizontal="right"/>
    </xf>
    <xf numFmtId="38" fontId="71" fillId="0" borderId="154" xfId="10" applyFont="1" applyFill="1" applyBorder="1" applyAlignment="1">
      <alignment horizontal="right"/>
    </xf>
    <xf numFmtId="38" fontId="70" fillId="56" borderId="154" xfId="1" applyNumberFormat="1" applyFont="1" applyFill="1" applyBorder="1" applyAlignment="1">
      <alignment horizontal="right"/>
    </xf>
    <xf numFmtId="0" fontId="70" fillId="0" borderId="154" xfId="5" applyFont="1" applyBorder="1"/>
    <xf numFmtId="38" fontId="71" fillId="0" borderId="177" xfId="5" applyNumberFormat="1" applyFont="1" applyBorder="1" applyAlignment="1">
      <alignment horizontal="right"/>
    </xf>
    <xf numFmtId="38" fontId="71" fillId="56" borderId="170" xfId="5" applyNumberFormat="1" applyFont="1" applyFill="1" applyBorder="1" applyAlignment="1">
      <alignment horizontal="right"/>
    </xf>
    <xf numFmtId="38" fontId="71" fillId="0" borderId="170" xfId="5" applyNumberFormat="1" applyFont="1" applyBorder="1" applyAlignment="1">
      <alignment horizontal="right"/>
    </xf>
    <xf numFmtId="38" fontId="71" fillId="53" borderId="170" xfId="5" applyNumberFormat="1" applyFont="1" applyFill="1" applyBorder="1" applyAlignment="1">
      <alignment horizontal="right"/>
    </xf>
    <xf numFmtId="38" fontId="70" fillId="0" borderId="170" xfId="5" applyNumberFormat="1" applyFont="1" applyBorder="1" applyAlignment="1">
      <alignment horizontal="right"/>
    </xf>
    <xf numFmtId="38" fontId="71" fillId="0" borderId="173" xfId="7" applyNumberFormat="1" applyFont="1" applyFill="1" applyBorder="1" applyAlignment="1">
      <alignment horizontal="right"/>
    </xf>
    <xf numFmtId="38" fontId="71" fillId="53" borderId="173" xfId="5" applyNumberFormat="1" applyFont="1" applyFill="1" applyBorder="1" applyAlignment="1">
      <alignment horizontal="right"/>
    </xf>
    <xf numFmtId="175" fontId="71" fillId="0" borderId="170" xfId="5" applyNumberFormat="1" applyFont="1" applyBorder="1" applyAlignment="1">
      <alignment horizontal="right"/>
    </xf>
    <xf numFmtId="38" fontId="71" fillId="0" borderId="178" xfId="5" applyNumberFormat="1" applyFont="1" applyBorder="1" applyAlignment="1">
      <alignment horizontal="right"/>
    </xf>
    <xf numFmtId="38" fontId="71" fillId="0" borderId="170" xfId="10" applyFont="1" applyFill="1" applyBorder="1" applyAlignment="1">
      <alignment horizontal="right"/>
    </xf>
    <xf numFmtId="38" fontId="70" fillId="56" borderId="170" xfId="7" applyNumberFormat="1" applyFont="1" applyFill="1" applyBorder="1" applyAlignment="1">
      <alignment horizontal="right"/>
    </xf>
    <xf numFmtId="38" fontId="71" fillId="0" borderId="178" xfId="5" applyNumberFormat="1" applyFont="1" applyBorder="1" applyAlignment="1">
      <alignment horizontal="center"/>
    </xf>
    <xf numFmtId="0" fontId="89" fillId="0" borderId="154" xfId="5" applyFont="1" applyBorder="1" applyAlignment="1">
      <alignment vertical="center"/>
    </xf>
    <xf numFmtId="1" fontId="89" fillId="0" borderId="154" xfId="5" applyNumberFormat="1" applyFont="1" applyBorder="1" applyAlignment="1">
      <alignment horizontal="right" vertical="center"/>
    </xf>
    <xf numFmtId="0" fontId="89" fillId="0" borderId="185" xfId="5" applyFont="1" applyBorder="1" applyAlignment="1">
      <alignment horizontal="right" vertical="center"/>
    </xf>
    <xf numFmtId="38" fontId="70" fillId="0" borderId="178" xfId="5" applyNumberFormat="1" applyFont="1" applyBorder="1" applyAlignment="1">
      <alignment horizontal="center" vertical="center"/>
    </xf>
    <xf numFmtId="38" fontId="70" fillId="0" borderId="174" xfId="5" applyNumberFormat="1" applyFont="1" applyBorder="1" applyAlignment="1">
      <alignment horizontal="center" vertical="center"/>
    </xf>
    <xf numFmtId="38" fontId="70" fillId="0" borderId="154" xfId="5" applyNumberFormat="1" applyFont="1" applyBorder="1" applyAlignment="1">
      <alignment horizontal="center" vertical="center"/>
    </xf>
    <xf numFmtId="38" fontId="70" fillId="0" borderId="185" xfId="5" applyNumberFormat="1" applyFont="1" applyBorder="1" applyAlignment="1">
      <alignment horizontal="center" vertical="center"/>
    </xf>
    <xf numFmtId="38" fontId="70" fillId="0" borderId="172" xfId="5" applyNumberFormat="1" applyFont="1" applyBorder="1" applyAlignment="1">
      <alignment horizontal="center" vertical="center" wrapText="1"/>
    </xf>
    <xf numFmtId="38" fontId="70" fillId="0" borderId="170" xfId="5" applyNumberFormat="1" applyFont="1" applyBorder="1" applyAlignment="1">
      <alignment horizontal="center" vertical="center" wrapText="1"/>
    </xf>
    <xf numFmtId="38" fontId="70" fillId="0" borderId="177" xfId="5" applyNumberFormat="1" applyFont="1" applyBorder="1" applyAlignment="1">
      <alignment horizontal="center" vertical="center" wrapText="1"/>
    </xf>
    <xf numFmtId="38" fontId="70" fillId="0" borderId="178" xfId="5" applyNumberFormat="1" applyFont="1" applyBorder="1" applyAlignment="1">
      <alignment horizontal="center" vertical="center" wrapText="1"/>
    </xf>
    <xf numFmtId="38" fontId="70" fillId="0" borderId="185" xfId="5" applyNumberFormat="1" applyFont="1" applyBorder="1" applyAlignment="1">
      <alignment horizontal="center"/>
    </xf>
    <xf numFmtId="38" fontId="70" fillId="0" borderId="174" xfId="5" applyNumberFormat="1" applyFont="1" applyBorder="1" applyAlignment="1">
      <alignment horizontal="right"/>
    </xf>
    <xf numFmtId="38" fontId="70" fillId="56" borderId="154" xfId="5" applyNumberFormat="1" applyFont="1" applyFill="1" applyBorder="1" applyAlignment="1">
      <alignment horizontal="right"/>
    </xf>
    <xf numFmtId="38" fontId="70" fillId="53" borderId="154" xfId="5" applyNumberFormat="1" applyFont="1" applyFill="1" applyBorder="1" applyAlignment="1">
      <alignment horizontal="right"/>
    </xf>
    <xf numFmtId="38" fontId="70" fillId="0" borderId="185" xfId="5" applyNumberFormat="1" applyFont="1" applyBorder="1" applyAlignment="1">
      <alignment horizontal="right"/>
    </xf>
    <xf numFmtId="38" fontId="70" fillId="0" borderId="174" xfId="6" applyNumberFormat="1" applyFont="1" applyFill="1" applyBorder="1" applyAlignment="1">
      <alignment horizontal="right"/>
    </xf>
    <xf numFmtId="38" fontId="70" fillId="0" borderId="154" xfId="6" applyNumberFormat="1" applyFont="1" applyFill="1" applyBorder="1" applyAlignment="1">
      <alignment horizontal="right"/>
    </xf>
    <xf numFmtId="38" fontId="70" fillId="0" borderId="185" xfId="6" applyNumberFormat="1" applyFont="1" applyFill="1" applyBorder="1" applyAlignment="1">
      <alignment horizontal="right"/>
    </xf>
    <xf numFmtId="38" fontId="70" fillId="0" borderId="174" xfId="7" applyNumberFormat="1" applyFont="1" applyFill="1" applyBorder="1" applyAlignment="1">
      <alignment horizontal="right"/>
    </xf>
    <xf numFmtId="38" fontId="70" fillId="0" borderId="185" xfId="7" applyNumberFormat="1" applyFont="1" applyFill="1" applyBorder="1" applyAlignment="1">
      <alignment horizontal="right"/>
    </xf>
    <xf numFmtId="38" fontId="70" fillId="0" borderId="185" xfId="6" applyNumberFormat="1" applyFont="1" applyFill="1" applyBorder="1" applyAlignment="1">
      <alignment horizontal="center"/>
    </xf>
    <xf numFmtId="38" fontId="70" fillId="0" borderId="185" xfId="5" applyNumberFormat="1" applyFont="1" applyBorder="1" applyAlignment="1">
      <alignment horizontal="center" vertical="center"/>
    </xf>
    <xf numFmtId="0" fontId="74" fillId="6" borderId="154" xfId="5" applyFont="1" applyFill="1" applyBorder="1" applyAlignment="1">
      <alignment horizontal="center" vertical="center"/>
    </xf>
    <xf numFmtId="0" fontId="70" fillId="6" borderId="154" xfId="5" applyFont="1" applyFill="1" applyBorder="1" applyAlignment="1">
      <alignment horizontal="center"/>
    </xf>
    <xf numFmtId="3" fontId="70" fillId="0" borderId="154" xfId="6" applyNumberFormat="1" applyFont="1" applyFill="1" applyBorder="1" applyAlignment="1">
      <alignment horizontal="left"/>
    </xf>
    <xf numFmtId="41" fontId="71" fillId="0" borderId="154" xfId="6" applyNumberFormat="1" applyFont="1" applyFill="1" applyBorder="1"/>
    <xf numFmtId="38" fontId="70" fillId="0" borderId="154" xfId="7" applyNumberFormat="1" applyFont="1" applyFill="1" applyBorder="1"/>
    <xf numFmtId="0" fontId="70" fillId="0" borderId="154" xfId="5" applyFont="1" applyBorder="1" applyAlignment="1">
      <alignment horizontal="center"/>
    </xf>
    <xf numFmtId="0" fontId="71" fillId="0" borderId="175" xfId="5" applyFont="1" applyBorder="1" applyAlignment="1">
      <alignment horizontal="left"/>
    </xf>
    <xf numFmtId="0" fontId="71" fillId="0" borderId="171" xfId="5" applyFont="1" applyBorder="1" applyAlignment="1">
      <alignment horizontal="left"/>
    </xf>
    <xf numFmtId="0" fontId="71" fillId="0" borderId="176" xfId="5" applyFont="1" applyBorder="1" applyAlignment="1">
      <alignment horizontal="left"/>
    </xf>
    <xf numFmtId="0" fontId="76" fillId="0" borderId="171" xfId="5" applyFont="1" applyBorder="1" applyAlignment="1">
      <alignment horizontal="center"/>
    </xf>
    <xf numFmtId="0" fontId="70" fillId="0" borderId="176" xfId="5" applyFont="1" applyBorder="1" applyAlignment="1">
      <alignment horizontal="center"/>
    </xf>
    <xf numFmtId="3" fontId="70" fillId="0" borderId="154" xfId="5" applyNumberFormat="1" applyFont="1" applyBorder="1"/>
    <xf numFmtId="9" fontId="70" fillId="0" borderId="154" xfId="8" applyFont="1" applyFill="1" applyBorder="1"/>
    <xf numFmtId="0" fontId="71" fillId="0" borderId="176" xfId="5" applyFont="1" applyBorder="1" applyAlignment="1">
      <alignment horizontal="center"/>
    </xf>
    <xf numFmtId="0" fontId="71" fillId="0" borderId="175" xfId="5" applyFont="1" applyBorder="1" applyAlignment="1">
      <alignment horizontal="center"/>
    </xf>
    <xf numFmtId="0" fontId="71" fillId="0" borderId="171" xfId="5" applyFont="1" applyBorder="1" applyAlignment="1">
      <alignment horizontal="center"/>
    </xf>
    <xf numFmtId="0" fontId="71" fillId="0" borderId="176" xfId="5" applyFont="1" applyBorder="1" applyAlignment="1">
      <alignment horizontal="center"/>
    </xf>
    <xf numFmtId="169" fontId="75" fillId="0" borderId="154" xfId="5" applyNumberFormat="1" applyFont="1" applyBorder="1"/>
    <xf numFmtId="20" fontId="70" fillId="0" borderId="154" xfId="5" applyNumberFormat="1" applyFont="1" applyBorder="1" applyAlignment="1">
      <alignment horizontal="center"/>
    </xf>
    <xf numFmtId="10" fontId="75" fillId="0" borderId="154" xfId="8" applyNumberFormat="1" applyFont="1" applyFill="1" applyBorder="1"/>
    <xf numFmtId="3" fontId="70" fillId="0" borderId="154" xfId="6" applyNumberFormat="1" applyFont="1" applyFill="1" applyBorder="1"/>
    <xf numFmtId="3" fontId="70" fillId="0" borderId="154" xfId="5" applyNumberFormat="1" applyFont="1" applyBorder="1" applyAlignment="1">
      <alignment horizontal="center"/>
    </xf>
    <xf numFmtId="3" fontId="71" fillId="0" borderId="154" xfId="6" applyNumberFormat="1" applyFont="1" applyFill="1" applyBorder="1"/>
    <xf numFmtId="10" fontId="75" fillId="52" borderId="154" xfId="8" applyNumberFormat="1" applyFont="1" applyFill="1" applyBorder="1"/>
    <xf numFmtId="3" fontId="71" fillId="0" borderId="154" xfId="8" applyNumberFormat="1" applyFont="1" applyFill="1" applyBorder="1"/>
    <xf numFmtId="0" fontId="70" fillId="0" borderId="154" xfId="5" applyFont="1" applyBorder="1" applyAlignment="1">
      <alignment horizontal="center" vertical="center"/>
    </xf>
    <xf numFmtId="9" fontId="70" fillId="0" borderId="154" xfId="8" applyFont="1" applyFill="1" applyBorder="1" applyAlignment="1">
      <alignment vertical="center"/>
    </xf>
    <xf numFmtId="3" fontId="71" fillId="0" borderId="154" xfId="5" applyNumberFormat="1" applyFont="1" applyBorder="1"/>
    <xf numFmtId="9" fontId="78" fillId="0" borderId="154" xfId="8" applyFont="1" applyFill="1" applyBorder="1"/>
    <xf numFmtId="0" fontId="70" fillId="0" borderId="170" xfId="5" applyFont="1" applyBorder="1" applyAlignment="1">
      <alignment horizontal="center" vertical="center"/>
    </xf>
    <xf numFmtId="0" fontId="70" fillId="0" borderId="172" xfId="5" applyFont="1" applyBorder="1" applyAlignment="1">
      <alignment horizontal="center" vertical="center"/>
    </xf>
    <xf numFmtId="0" fontId="70" fillId="0" borderId="173" xfId="5" applyFont="1" applyBorder="1" applyAlignment="1">
      <alignment horizontal="center" vertical="center"/>
    </xf>
    <xf numFmtId="0" fontId="70" fillId="54" borderId="170" xfId="5" applyFont="1" applyFill="1" applyBorder="1" applyAlignment="1">
      <alignment horizontal="center" vertical="top" wrapText="1"/>
    </xf>
    <xf numFmtId="0" fontId="70" fillId="0" borderId="154" xfId="9" applyFont="1" applyBorder="1" applyAlignment="1"/>
    <xf numFmtId="0" fontId="70" fillId="0" borderId="170" xfId="9" applyFont="1" applyBorder="1" applyAlignment="1">
      <alignment horizontal="center" vertical="top" wrapText="1"/>
    </xf>
    <xf numFmtId="0" fontId="70" fillId="0" borderId="173" xfId="5" applyFont="1" applyBorder="1" applyAlignment="1">
      <alignment horizontal="center" vertical="top" wrapText="1"/>
    </xf>
    <xf numFmtId="0" fontId="72" fillId="9" borderId="185" xfId="5" applyFont="1" applyFill="1" applyBorder="1" applyAlignment="1">
      <alignment horizontal="center" vertical="center" wrapText="1"/>
    </xf>
    <xf numFmtId="0" fontId="70" fillId="0" borderId="177" xfId="5" applyFont="1" applyBorder="1" applyAlignment="1">
      <alignment horizontal="center" vertical="center" wrapText="1"/>
    </xf>
    <xf numFmtId="0" fontId="70" fillId="54" borderId="170" xfId="5" applyFont="1" applyFill="1" applyBorder="1" applyAlignment="1">
      <alignment horizontal="center" vertical="center" wrapText="1"/>
    </xf>
    <xf numFmtId="0" fontId="70" fillId="0" borderId="170" xfId="5" applyFont="1" applyBorder="1" applyAlignment="1">
      <alignment horizontal="center" vertical="center" wrapText="1"/>
    </xf>
    <xf numFmtId="0" fontId="70" fillId="54" borderId="178" xfId="5" applyFont="1" applyFill="1" applyBorder="1" applyAlignment="1">
      <alignment horizontal="center" vertical="center"/>
    </xf>
    <xf numFmtId="0" fontId="70" fillId="54" borderId="177" xfId="5" applyFont="1" applyFill="1" applyBorder="1" applyAlignment="1">
      <alignment horizontal="center" vertical="center" wrapText="1"/>
    </xf>
    <xf numFmtId="0" fontId="70" fillId="54" borderId="154" xfId="5" applyFont="1" applyFill="1" applyBorder="1" applyAlignment="1">
      <alignment horizontal="center" vertical="center" wrapText="1"/>
    </xf>
    <xf numFmtId="0" fontId="70" fillId="54" borderId="178" xfId="5" applyFont="1" applyFill="1" applyBorder="1" applyAlignment="1">
      <alignment horizontal="center" vertical="center"/>
    </xf>
    <xf numFmtId="0" fontId="70" fillId="54" borderId="177" xfId="5" applyFont="1" applyFill="1" applyBorder="1" applyAlignment="1">
      <alignment horizontal="center" vertical="center"/>
    </xf>
    <xf numFmtId="0" fontId="70" fillId="54" borderId="170" xfId="5" applyFont="1" applyFill="1" applyBorder="1" applyAlignment="1">
      <alignment horizontal="center" vertical="center"/>
    </xf>
    <xf numFmtId="0" fontId="70" fillId="54" borderId="93" xfId="9" applyFont="1" applyFill="1" applyBorder="1" applyAlignment="1"/>
    <xf numFmtId="0" fontId="70" fillId="0" borderId="75" xfId="9" applyFont="1" applyBorder="1" applyAlignment="1"/>
    <xf numFmtId="0" fontId="70" fillId="54" borderId="75" xfId="9" applyFont="1" applyFill="1" applyBorder="1" applyAlignment="1"/>
    <xf numFmtId="0" fontId="71" fillId="0" borderId="175" xfId="5" applyFont="1" applyBorder="1" applyAlignment="1">
      <alignment horizontal="center"/>
    </xf>
    <xf numFmtId="38" fontId="70" fillId="54" borderId="170" xfId="5" applyNumberFormat="1" applyFont="1" applyFill="1" applyBorder="1" applyAlignment="1">
      <alignment horizontal="center" vertical="center"/>
    </xf>
  </cellXfs>
  <cellStyles count="74">
    <cellStyle name="20% - アクセント 1 2" xfId="11" xr:uid="{00000000-0005-0000-0000-000000000000}"/>
    <cellStyle name="20% - アクセント 2 2" xfId="12" xr:uid="{00000000-0005-0000-0000-000001000000}"/>
    <cellStyle name="20% - アクセント 3 2" xfId="13" xr:uid="{00000000-0005-0000-0000-000002000000}"/>
    <cellStyle name="20% - アクセント 4 2" xfId="14" xr:uid="{00000000-0005-0000-0000-000003000000}"/>
    <cellStyle name="20% - アクセント 5 2" xfId="15" xr:uid="{00000000-0005-0000-0000-000004000000}"/>
    <cellStyle name="20% - アクセント 6 2" xfId="16" xr:uid="{00000000-0005-0000-0000-000005000000}"/>
    <cellStyle name="40% - アクセント 1 2" xfId="17" xr:uid="{00000000-0005-0000-0000-000006000000}"/>
    <cellStyle name="40% - アクセント 2 2" xfId="18" xr:uid="{00000000-0005-0000-0000-000007000000}"/>
    <cellStyle name="40% - アクセント 3 2" xfId="19" xr:uid="{00000000-0005-0000-0000-000008000000}"/>
    <cellStyle name="40% - アクセント 4 2" xfId="20" xr:uid="{00000000-0005-0000-0000-000009000000}"/>
    <cellStyle name="40% - アクセント 5 2" xfId="21" xr:uid="{00000000-0005-0000-0000-00000A000000}"/>
    <cellStyle name="40% - アクセント 6 2" xfId="22" xr:uid="{00000000-0005-0000-0000-00000B000000}"/>
    <cellStyle name="60% - アクセント 1 2" xfId="23" xr:uid="{00000000-0005-0000-0000-00000C000000}"/>
    <cellStyle name="60% - アクセント 2 2" xfId="24" xr:uid="{00000000-0005-0000-0000-00000D000000}"/>
    <cellStyle name="60% - アクセント 3 2" xfId="25" xr:uid="{00000000-0005-0000-0000-00000E000000}"/>
    <cellStyle name="60% - アクセント 4 2" xfId="26" xr:uid="{00000000-0005-0000-0000-00000F000000}"/>
    <cellStyle name="60% - アクセント 5 2" xfId="27" xr:uid="{00000000-0005-0000-0000-000010000000}"/>
    <cellStyle name="60% - アクセント 6 2" xfId="28" xr:uid="{00000000-0005-0000-0000-000011000000}"/>
    <cellStyle name="Comma" xfId="1" builtinId="3"/>
    <cellStyle name="Comma [0]" xfId="2" builtinId="6"/>
    <cellStyle name="Comma [0] 2" xfId="10" xr:uid="{00000000-0005-0000-0000-000014000000}"/>
    <cellStyle name="Comma [0] 2 2" xfId="70" xr:uid="{00000000-0005-0000-0000-000015000000}"/>
    <cellStyle name="Comma 2" xfId="29" xr:uid="{00000000-0005-0000-0000-000016000000}"/>
    <cellStyle name="ms明朝9" xfId="30" xr:uid="{00000000-0005-0000-0000-000017000000}"/>
    <cellStyle name="Normal" xfId="0" builtinId="0"/>
    <cellStyle name="Normal 2" xfId="4" xr:uid="{00000000-0005-0000-0000-000019000000}"/>
    <cellStyle name="Normal 3" xfId="68" xr:uid="{00000000-0005-0000-0000-00001A000000}"/>
    <cellStyle name="Normal_SIS CALCULATION GLS 23 July 2010 (rev)" xfId="5" xr:uid="{00000000-0005-0000-0000-00001B000000}"/>
    <cellStyle name="Percent" xfId="3" builtinId="5"/>
    <cellStyle name="Percent 2" xfId="31" xr:uid="{00000000-0005-0000-0000-00001D000000}"/>
    <cellStyle name="Percent 3" xfId="69" xr:uid="{00000000-0005-0000-0000-00001E000000}"/>
    <cellStyle name="PSChar" xfId="32" xr:uid="{00000000-0005-0000-0000-00001F000000}"/>
    <cellStyle name="PSHeading" xfId="33" xr:uid="{00000000-0005-0000-0000-000020000000}"/>
    <cellStyle name="PSInt" xfId="34" xr:uid="{00000000-0005-0000-0000-000021000000}"/>
    <cellStyle name="PSSpacer" xfId="35" xr:uid="{00000000-0005-0000-0000-000022000000}"/>
    <cellStyle name="アクセント 1 2" xfId="36" xr:uid="{00000000-0005-0000-0000-000023000000}"/>
    <cellStyle name="アクセント 2 2" xfId="37" xr:uid="{00000000-0005-0000-0000-000024000000}"/>
    <cellStyle name="アクセント 3 2" xfId="38" xr:uid="{00000000-0005-0000-0000-000025000000}"/>
    <cellStyle name="アクセント 4 2" xfId="39" xr:uid="{00000000-0005-0000-0000-000026000000}"/>
    <cellStyle name="アクセント 5 2" xfId="40" xr:uid="{00000000-0005-0000-0000-000027000000}"/>
    <cellStyle name="アクセント 6 2" xfId="41" xr:uid="{00000000-0005-0000-0000-000028000000}"/>
    <cellStyle name="タイトル 2" xfId="42" xr:uid="{00000000-0005-0000-0000-000029000000}"/>
    <cellStyle name="チェック セル 2" xfId="43" xr:uid="{00000000-0005-0000-0000-00002A000000}"/>
    <cellStyle name="どちらでもない 2" xfId="44" xr:uid="{00000000-0005-0000-0000-00002B000000}"/>
    <cellStyle name="パーセント 2" xfId="45" xr:uid="{00000000-0005-0000-0000-00002C000000}"/>
    <cellStyle name="パーセント 3" xfId="46" xr:uid="{00000000-0005-0000-0000-00002D000000}"/>
    <cellStyle name="パーセント 4" xfId="8" xr:uid="{00000000-0005-0000-0000-00002E000000}"/>
    <cellStyle name="パーセント 5" xfId="72" xr:uid="{00000000-0005-0000-0000-00002F000000}"/>
    <cellStyle name="メモ 2" xfId="47" xr:uid="{00000000-0005-0000-0000-000030000000}"/>
    <cellStyle name="リンク セル 2" xfId="48" xr:uid="{00000000-0005-0000-0000-000031000000}"/>
    <cellStyle name="入力 2" xfId="49" xr:uid="{00000000-0005-0000-0000-000032000000}"/>
    <cellStyle name="出力 2" xfId="50" xr:uid="{00000000-0005-0000-0000-000033000000}"/>
    <cellStyle name="悪い 2" xfId="51" xr:uid="{00000000-0005-0000-0000-000034000000}"/>
    <cellStyle name="桁区切り [0.00] 2" xfId="7" xr:uid="{00000000-0005-0000-0000-000035000000}"/>
    <cellStyle name="桁区切り 2" xfId="52" xr:uid="{00000000-0005-0000-0000-000036000000}"/>
    <cellStyle name="桁区切り 2 2" xfId="53" xr:uid="{00000000-0005-0000-0000-000037000000}"/>
    <cellStyle name="桁区切り 3" xfId="54" xr:uid="{00000000-0005-0000-0000-000038000000}"/>
    <cellStyle name="桁区切り 4" xfId="55" xr:uid="{00000000-0005-0000-0000-000039000000}"/>
    <cellStyle name="桁区切り 5" xfId="6" xr:uid="{00000000-0005-0000-0000-00003A000000}"/>
    <cellStyle name="桁区切り 6" xfId="73" xr:uid="{00000000-0005-0000-0000-00003B000000}"/>
    <cellStyle name="標準 2" xfId="56" xr:uid="{00000000-0005-0000-0000-00003C000000}"/>
    <cellStyle name="標準 3" xfId="57" xr:uid="{00000000-0005-0000-0000-00003D000000}"/>
    <cellStyle name="標準 4" xfId="9" xr:uid="{00000000-0005-0000-0000-00003E000000}"/>
    <cellStyle name="標準 5" xfId="71" xr:uid="{00000000-0005-0000-0000-00003F000000}"/>
    <cellStyle name="良い 2" xfId="58" xr:uid="{00000000-0005-0000-0000-000040000000}"/>
    <cellStyle name="見出し 1 2" xfId="59" xr:uid="{00000000-0005-0000-0000-000041000000}"/>
    <cellStyle name="見出し 2 2" xfId="60" xr:uid="{00000000-0005-0000-0000-000042000000}"/>
    <cellStyle name="見出し 3 2" xfId="61" xr:uid="{00000000-0005-0000-0000-000043000000}"/>
    <cellStyle name="見出し 4 2" xfId="62" xr:uid="{00000000-0005-0000-0000-000044000000}"/>
    <cellStyle name="計算 2" xfId="63" xr:uid="{00000000-0005-0000-0000-000045000000}"/>
    <cellStyle name="説明文 2" xfId="64" xr:uid="{00000000-0005-0000-0000-000046000000}"/>
    <cellStyle name="警告文 2" xfId="65" xr:uid="{00000000-0005-0000-0000-000047000000}"/>
    <cellStyle name="通貨 2" xfId="66" xr:uid="{00000000-0005-0000-0000-000048000000}"/>
    <cellStyle name="集計 2" xfId="67" xr:uid="{00000000-0005-0000-0000-00004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800" b="1" i="0" baseline="0">
                <a:effectLst/>
              </a:rPr>
              <a:t>AVANZA RV(MT)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[8]Sheet3!$A$4</c:f>
              <c:strCache>
                <c:ptCount val="1"/>
                <c:pt idx="0">
                  <c:v>（1）　Auction price case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849439274636128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74-405D-911B-A48C53D85577}"/>
                </c:ext>
              </c:extLst>
            </c:dLbl>
            <c:dLbl>
              <c:idx val="1"/>
              <c:layout>
                <c:manualLayout>
                  <c:x val="-3.035763599594763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74-405D-911B-A48C53D85577}"/>
                </c:ext>
              </c:extLst>
            </c:dLbl>
            <c:dLbl>
              <c:idx val="2"/>
              <c:layout>
                <c:manualLayout>
                  <c:x val="-3.234471995024474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74-405D-911B-A48C53D85577}"/>
                </c:ext>
              </c:extLst>
            </c:dLbl>
            <c:dLbl>
              <c:idx val="3"/>
              <c:layout>
                <c:manualLayout>
                  <c:x val="-3.23447199502446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74-405D-911B-A48C53D85577}"/>
                </c:ext>
              </c:extLst>
            </c:dLbl>
            <c:dLbl>
              <c:idx val="4"/>
              <c:layout>
                <c:manualLayout>
                  <c:x val="-3.234471995024474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74-405D-911B-A48C53D85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[8]Sheet3!$B$4:$I$4</c:f>
              <c:numCache>
                <c:formatCode>General</c:formatCode>
                <c:ptCount val="8"/>
                <c:pt idx="0">
                  <c:v>1</c:v>
                </c:pt>
                <c:pt idx="1">
                  <c:v>0.68029842406342467</c:v>
                </c:pt>
                <c:pt idx="2">
                  <c:v>0.63044333170763478</c:v>
                </c:pt>
                <c:pt idx="3">
                  <c:v>0.55738641782368581</c:v>
                </c:pt>
                <c:pt idx="4">
                  <c:v>0.51323520125058442</c:v>
                </c:pt>
                <c:pt idx="5">
                  <c:v>0.4756989528115943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4-405D-911B-A48C53D85577}"/>
            </c:ext>
          </c:extLst>
        </c:ser>
        <c:ser>
          <c:idx val="1"/>
          <c:order val="1"/>
          <c:tx>
            <c:strRef>
              <c:f>[8]Sheet3!$A$5</c:f>
              <c:strCache>
                <c:ptCount val="1"/>
                <c:pt idx="0">
                  <c:v>（3）　Rental company case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74-405D-911B-A48C53D85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[8]Sheet3!$B$5:$I$5</c:f>
              <c:numCache>
                <c:formatCode>General</c:formatCode>
                <c:ptCount val="8"/>
                <c:pt idx="0">
                  <c:v>0.9</c:v>
                </c:pt>
                <c:pt idx="1">
                  <c:v>0.81942665709499873</c:v>
                </c:pt>
                <c:pt idx="2">
                  <c:v>0.73456999282124902</c:v>
                </c:pt>
                <c:pt idx="3">
                  <c:v>0.6497133285474993</c:v>
                </c:pt>
                <c:pt idx="4">
                  <c:v>0.56485666427374959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74-405D-911B-A48C53D85577}"/>
            </c:ext>
          </c:extLst>
        </c:ser>
        <c:ser>
          <c:idx val="2"/>
          <c:order val="2"/>
          <c:tx>
            <c:strRef>
              <c:f>[8]Sheet3!$A$6</c:f>
              <c:strCache>
                <c:ptCount val="1"/>
                <c:pt idx="0">
                  <c:v>（4）　Antara　RV　（3）-（1）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275211127670163E-2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74-405D-911B-A48C53D85577}"/>
                </c:ext>
              </c:extLst>
            </c:dLbl>
            <c:dLbl>
              <c:idx val="1"/>
              <c:layout>
                <c:manualLayout>
                  <c:x val="-3.2344719950244669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74-405D-911B-A48C53D85577}"/>
                </c:ext>
              </c:extLst>
            </c:dLbl>
            <c:dLbl>
              <c:idx val="2"/>
              <c:layout>
                <c:manualLayout>
                  <c:x val="-3.2344719950244745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74-405D-911B-A48C53D85577}"/>
                </c:ext>
              </c:extLst>
            </c:dLbl>
            <c:dLbl>
              <c:idx val="3"/>
              <c:layout>
                <c:manualLayout>
                  <c:x val="-3.2344719950244669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74-405D-911B-A48C53D85577}"/>
                </c:ext>
              </c:extLst>
            </c:dLbl>
            <c:dLbl>
              <c:idx val="4"/>
              <c:layout>
                <c:manualLayout>
                  <c:x val="-3.2344719950244745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74-405D-911B-A48C53D85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[8]Sheet3!$B$6:$I$6</c:f>
              <c:numCache>
                <c:formatCode>General</c:formatCode>
                <c:ptCount val="8"/>
                <c:pt idx="0">
                  <c:v>0.9</c:v>
                </c:pt>
                <c:pt idx="1">
                  <c:v>0.74986254050000001</c:v>
                </c:pt>
                <c:pt idx="2">
                  <c:v>0.6825066622</c:v>
                </c:pt>
                <c:pt idx="3">
                  <c:v>0.60354987318559261</c:v>
                </c:pt>
                <c:pt idx="4">
                  <c:v>0.53904593276216706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74-405D-911B-A48C53D855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870016"/>
        <c:axId val="164871552"/>
      </c:lineChart>
      <c:catAx>
        <c:axId val="1648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1552"/>
        <c:crosses val="autoZero"/>
        <c:auto val="1"/>
        <c:lblAlgn val="ctr"/>
        <c:lblOffset val="100"/>
        <c:noMultiLvlLbl val="0"/>
      </c:catAx>
      <c:valAx>
        <c:axId val="16487155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0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9525</xdr:rowOff>
    </xdr:from>
    <xdr:to>
      <xdr:col>3</xdr:col>
      <xdr:colOff>219075</xdr:colOff>
      <xdr:row>7</xdr:row>
      <xdr:rowOff>57150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71575" y="1409700"/>
          <a:ext cx="60007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1</a:t>
          </a:r>
        </a:p>
      </xdr:txBody>
    </xdr:sp>
    <xdr:clientData/>
  </xdr:twoCellAnchor>
  <xdr:twoCellAnchor>
    <xdr:from>
      <xdr:col>4</xdr:col>
      <xdr:colOff>476250</xdr:colOff>
      <xdr:row>7</xdr:row>
      <xdr:rowOff>171450</xdr:rowOff>
    </xdr:from>
    <xdr:to>
      <xdr:col>5</xdr:col>
      <xdr:colOff>19050</xdr:colOff>
      <xdr:row>9</xdr:row>
      <xdr:rowOff>19050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71775" y="177165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5</xdr:col>
      <xdr:colOff>142875</xdr:colOff>
      <xdr:row>9</xdr:row>
      <xdr:rowOff>9525</xdr:rowOff>
    </xdr:from>
    <xdr:to>
      <xdr:col>5</xdr:col>
      <xdr:colOff>828675</xdr:colOff>
      <xdr:row>10</xdr:row>
      <xdr:rowOff>57150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38525" y="2009775"/>
          <a:ext cx="685800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4</xdr:col>
      <xdr:colOff>523875</xdr:colOff>
      <xdr:row>11</xdr:row>
      <xdr:rowOff>0</xdr:rowOff>
    </xdr:from>
    <xdr:to>
      <xdr:col>5</xdr:col>
      <xdr:colOff>66675</xdr:colOff>
      <xdr:row>12</xdr:row>
      <xdr:rowOff>47625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19400" y="240030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3</xdr:col>
      <xdr:colOff>180975</xdr:colOff>
      <xdr:row>12</xdr:row>
      <xdr:rowOff>28575</xdr:rowOff>
    </xdr:from>
    <xdr:to>
      <xdr:col>4</xdr:col>
      <xdr:colOff>19050</xdr:colOff>
      <xdr:row>13</xdr:row>
      <xdr:rowOff>76200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733550" y="2628900"/>
          <a:ext cx="5810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58</xdr:row>
      <xdr:rowOff>57150</xdr:rowOff>
    </xdr:from>
    <xdr:to>
      <xdr:col>10</xdr:col>
      <xdr:colOff>619125</xdr:colOff>
      <xdr:row>79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39320096\01&#65365;&#65350;&#65354;&#65347;&#65356;\&#26481;&#35388;\wfalcon4\falcondg\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21046;&#24230;&#20250;&#35336;&#12471;&#12511;&#12517;&#12524;&#12540;&#12471;&#12519;&#125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35215;&#23637;&#38283;&#12510;&#65293;&#12472;\&#26908;&#35388;\&#20462;&#27491;&#29256;\&#26032;&#35215;&#23637;&#38283;&#12510;&#65293;&#12472;\ope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12471;&#12511;&#12517;&#12524;&#12540;&#12471;&#12519;&#1253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&#32076;&#21942;&#31649;&#29702;&#35506;\&#32076;&#31649;&#20096;&#23713;\&#25613;&#30410;&#20104;&#28204;&#12471;&#12473;&#12486;&#12512;0709&#25913;&#23450;\&#65418;&#65438;&#65391;&#65400;&#65393;&#65391;&#65420;&#65439;\&#20107;&#26989;&#35336;&#30011;&#8546;20070712&#9320;\&#9320;&#12471;&#12511;&#12517;&#12524;&#12540;&#12471;&#12519;&#1253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24115;&#31080;_&#21336;&#20307;200801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dy%20asriel/AppData/Local/Microsoft/Windows/Temporary%20Internet%20Files/Content.Outlook/EOLKZN4I/REKAP%20HARGA%20SEWA%20UNIT%20LEASE%20BACK%20-%20PT%20AUTOR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i%20hembang/AppData/Local/Microsoft/Windows/Temporary%20Internet%20Files/Content.Outlook/K3B9DWRP/&#12487;&#12540;&#12479;/14.&#27531;&#20385;&#12395;&#12388;&#12356;&#12390;/&#27531;&#20385;&#26356;&#26032;&#12288;Nov2018/New%20RV%2014%20Jan%202019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ORM"/>
      <sheetName val="MOKUJI"/>
      <sheetName val="F1"/>
      <sheetName val="F2"/>
      <sheetName val="F3"/>
      <sheetName val="F4"/>
      <sheetName val="SF1"/>
      <sheetName val="SF2"/>
      <sheetName val="SF3"/>
      <sheetName val="SF4"/>
      <sheetName val="USA"/>
      <sheetName val="BCL"/>
      <sheetName val="CF1"/>
      <sheetName val="CF2"/>
      <sheetName val="T1"/>
      <sheetName val="T1(明細)"/>
      <sheetName val="ST1-A"/>
      <sheetName val="ST1-A(明細)"/>
      <sheetName val="ST1-B"/>
      <sheetName val="ST1-B(明細)"/>
      <sheetName val="ST1-C"/>
      <sheetName val="ST1-C(明細)"/>
      <sheetName val="ST1-D"/>
      <sheetName val="ST1-D(明細)"/>
      <sheetName val="ST1-E"/>
      <sheetName val="ST1-E(明細)"/>
      <sheetName val="ST1-F"/>
      <sheetName val="ST1-F(明細)"/>
      <sheetName val="債権合計"/>
      <sheetName val="債務合計"/>
      <sheetName val="T2"/>
      <sheetName val="T2(明細)"/>
      <sheetName val="ST2-A"/>
      <sheetName val="ST2-A(明細)"/>
      <sheetName val="ST2-B"/>
      <sheetName val="ST2-B(明細)"/>
      <sheetName val="ST2-C"/>
      <sheetName val="ST2-C(明細)"/>
      <sheetName val="ST2-D"/>
      <sheetName val="ST2-D(明細)"/>
      <sheetName val="ST2-E"/>
      <sheetName val="ST2-E(明細)"/>
      <sheetName val="ST2-F"/>
      <sheetName val="ST2-F(明細)"/>
      <sheetName val="収入合計"/>
      <sheetName val="費用合計"/>
      <sheetName val="ZEIKOUKA"/>
      <sheetName val="Matching"/>
      <sheetName val="COMPANY"/>
      <sheetName val="ACCOUNT"/>
      <sheetName val="DEFINITION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設定シート"/>
      <sheetName val="ユーザー定義"/>
      <sheetName val="既存データコードテーブル"/>
      <sheetName val="基準月末残高"/>
      <sheetName val="実績"/>
      <sheetName val="基準月実績ラダー"/>
      <sheetName val="月次PEOPLEデータ"/>
      <sheetName val="検収実績率"/>
      <sheetName val="その他収益費用入力"/>
      <sheetName val="商品別目標入力"/>
      <sheetName val="旧菱信リース入力"/>
      <sheetName val="その他資産入力"/>
      <sheetName val="その他負債・資本金入力"/>
      <sheetName val="外貨金利・為替レート入力"/>
      <sheetName val="旧菱信リース結果シート"/>
      <sheetName val="その他負債・資本金結果シート"/>
      <sheetName val="商品別目標展開"/>
      <sheetName val="約定明細商品別結果"/>
      <sheetName val="シミュレーション結果"/>
      <sheetName val="商品別目標結果シート"/>
      <sheetName val="保険料展開"/>
      <sheetName val="その他資産結果シート"/>
      <sheetName val="その他収益費用結果シート"/>
      <sheetName val="収束計算"/>
      <sheetName val="既存ラダーデータ_検収済み"/>
      <sheetName val="既存ラダーデータ_成約後未検収"/>
      <sheetName val="新規取組運用"/>
      <sheetName val="新規取組金利"/>
      <sheetName val="新規取組運用_解約"/>
      <sheetName val="取得ALM_調達"/>
      <sheetName val="リース金融_固定"/>
      <sheetName val="合計マトリックス"/>
      <sheetName val="金利展開表（1年単位）"/>
      <sheetName val="金利展開表（1ヶ月単位）"/>
      <sheetName val="金利シナリオ"/>
      <sheetName val="金利マトリックス"/>
      <sheetName val="外貨線形補間"/>
      <sheetName val="国内・国際金融"/>
      <sheetName val="固定_期日一括"/>
      <sheetName val="約定明細展開結果_国内"/>
      <sheetName val="既存約定データ"/>
      <sheetName val="約定明細展開結果_国際"/>
      <sheetName val="国内・国際金融_変動"/>
      <sheetName val="再(再)リース展開シート"/>
      <sheetName val="変動_期日一括"/>
      <sheetName val="固定資産税"/>
      <sheetName val="解約展開"/>
      <sheetName val="検収マトリックス"/>
      <sheetName val="原価マトリックス(割賦)"/>
      <sheetName val="残高マトリックス"/>
      <sheetName val="貸倒引当金_流動資産"/>
      <sheetName val="融資計画入力"/>
      <sheetName val="オペレーティングリース計画入力"/>
      <sheetName val="不動産計画入力"/>
      <sheetName val="新不動産割賦2"/>
      <sheetName val="新不動産割賦1"/>
      <sheetName val="新不動産リース2"/>
      <sheetName val="新不動産リース1"/>
      <sheetName val="新リースみなし割賦均等2"/>
      <sheetName val="新リースみなし割賦均等1"/>
      <sheetName val="新ソフトリース2"/>
      <sheetName val="新ソフトリース1"/>
      <sheetName val="新ファイナンスリース2"/>
      <sheetName val="新ファイナンスリース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シート"/>
      <sheetName val="オペレーティングリース計画入力"/>
      <sheetName val="不動産計画入力"/>
      <sheetName val="商品別目標結果シート"/>
      <sheetName val="検収実績率"/>
      <sheetName val="金利マトリック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貸引制御"/>
      <sheetName val="HOST実績制御"/>
      <sheetName val="実績制御"/>
      <sheetName val="未検収制御"/>
      <sheetName val="成約済制御"/>
      <sheetName val="既存展開制御"/>
      <sheetName val="新規展開制御"/>
      <sheetName val="メイン"/>
      <sheetName val="TEMP"/>
      <sheetName val="新規設定"/>
      <sheetName val="主要商品入力"/>
      <sheetName val="台数計画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再リース後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再リース_展開"/>
      <sheetName val="金利シナリオ入力"/>
      <sheetName val="金利一覧"/>
      <sheetName val="解約展開"/>
      <sheetName val="主要商品結果_解約後"/>
      <sheetName val="解約ラダー"/>
      <sheetName val="ラダーデータ予測_検収済み"/>
      <sheetName val="ラダーデータ予測_成約後未検収"/>
      <sheetName val="PEOPLE実績"/>
      <sheetName val="HOST実績"/>
      <sheetName val="月次HOST実績"/>
      <sheetName val="月次PEOPLE"/>
      <sheetName val="月次DAL保有台数実績"/>
      <sheetName val="最終結果表_実績"/>
      <sheetName val="最終結果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"/>
      <sheetName val="TEMP"/>
      <sheetName val="新規設定"/>
      <sheetName val="台数計画"/>
      <sheetName val="主要商品入力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解約後"/>
      <sheetName val="主要商品結果_再リース後"/>
      <sheetName val="再検金融"/>
      <sheetName val="再検割賦"/>
      <sheetName val="再検BK"/>
      <sheetName val="再検LB"/>
      <sheetName val="再検ML"/>
      <sheetName val="再検FL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解約展開"/>
      <sheetName val="再リース_展開"/>
      <sheetName val="金利シナリオ入力"/>
      <sheetName val="金利一覧"/>
      <sheetName val="ラダーデータ予測_検収済み"/>
      <sheetName val="ラダーデータ予測_成約後未検収"/>
      <sheetName val="PEOPLE実績"/>
      <sheetName val="HOST実績"/>
      <sheetName val="月次PEOPLE"/>
      <sheetName val="月次HOST実績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メイン"/>
      <sheetName val="収束計算結果"/>
      <sheetName val="年度集約結果"/>
      <sheetName val="半期集約結果"/>
      <sheetName val="四半期集約結果"/>
      <sheetName val="月次展開結果"/>
      <sheetName val="補正シートマスタ"/>
      <sheetName val="補正シート"/>
      <sheetName val="ＢS月次"/>
      <sheetName val="ＰＬ月次"/>
      <sheetName val="台数計画"/>
      <sheetName val="ＢS①"/>
      <sheetName val="ＢS②"/>
      <sheetName val="ＢS③"/>
      <sheetName val="ＰＬ①"/>
      <sheetName val="ＰＬ②"/>
      <sheetName val="ＰＬ③"/>
      <sheetName val="ＰＬ④"/>
      <sheetName val="ＰＬ⑤"/>
      <sheetName val="ＰＬ⑥"/>
      <sheetName val="ＰＬ⑥ (2)"/>
      <sheetName val="ＣＦ"/>
      <sheetName val="区分別収支"/>
      <sheetName val="資産残高推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DSF Proposal"/>
      <sheetName val="Autorent Ask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al RV"/>
      <sheetName val="Case1"/>
      <sheetName val="Sheet1"/>
      <sheetName val="old"/>
      <sheetName val="Sheet3"/>
    </sheetNames>
    <sheetDataSet>
      <sheetData sheetId="0"/>
      <sheetData sheetId="1"/>
      <sheetData sheetId="2"/>
      <sheetData sheetId="3"/>
      <sheetData sheetId="4">
        <row r="3">
          <cell r="B3" t="str">
            <v>Base rate</v>
          </cell>
          <cell r="C3" t="str">
            <v>1year later</v>
          </cell>
          <cell r="D3" t="str">
            <v>2year later</v>
          </cell>
          <cell r="E3" t="str">
            <v>3year later</v>
          </cell>
          <cell r="F3" t="str">
            <v>4year later</v>
          </cell>
          <cell r="G3" t="str">
            <v>5year later</v>
          </cell>
          <cell r="H3" t="str">
            <v>6year later</v>
          </cell>
          <cell r="I3" t="str">
            <v>7year later</v>
          </cell>
        </row>
        <row r="4">
          <cell r="A4" t="str">
            <v>（1）　Auction price case</v>
          </cell>
          <cell r="B4">
            <v>1</v>
          </cell>
          <cell r="C4">
            <v>0.68029842406342467</v>
          </cell>
          <cell r="D4">
            <v>0.63044333170763478</v>
          </cell>
          <cell r="E4">
            <v>0.55738641782368581</v>
          </cell>
          <cell r="F4">
            <v>0.51323520125058442</v>
          </cell>
          <cell r="G4">
            <v>0.4756989528115943</v>
          </cell>
          <cell r="H4">
            <v>0.4271951864281216</v>
          </cell>
          <cell r="I4">
            <v>0.37083639047115696</v>
          </cell>
        </row>
        <row r="5">
          <cell r="A5" t="str">
            <v>（3）　Rental company case</v>
          </cell>
          <cell r="B5">
            <v>0.9</v>
          </cell>
          <cell r="C5">
            <v>0.81942665709499873</v>
          </cell>
          <cell r="D5">
            <v>0.73456999282124902</v>
          </cell>
          <cell r="E5">
            <v>0.6497133285474993</v>
          </cell>
          <cell r="F5">
            <v>0.56485666427374959</v>
          </cell>
          <cell r="G5">
            <v>0.48</v>
          </cell>
          <cell r="H5">
            <v>0.4271951864281216</v>
          </cell>
          <cell r="I5">
            <v>0.37083639047115696</v>
          </cell>
        </row>
        <row r="6">
          <cell r="A6" t="str">
            <v>（4）　Antara　RV　（3）-（1）</v>
          </cell>
          <cell r="B6">
            <v>0.9</v>
          </cell>
          <cell r="C6">
            <v>0.74986254050000001</v>
          </cell>
          <cell r="D6">
            <v>0.6825066622</v>
          </cell>
          <cell r="E6">
            <v>0.60354987318559261</v>
          </cell>
          <cell r="F6">
            <v>0.53904593276216706</v>
          </cell>
          <cell r="G6">
            <v>0.48</v>
          </cell>
          <cell r="H6">
            <v>0.4271951864281216</v>
          </cell>
          <cell r="I6">
            <v>0.37083639047115696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:F55"/>
  <sheetViews>
    <sheetView showGridLines="0" tabSelected="1" topLeftCell="A7" zoomScale="80" zoomScaleNormal="80" workbookViewId="0">
      <selection activeCell="F31" sqref="F31"/>
    </sheetView>
  </sheetViews>
  <sheetFormatPr defaultColWidth="9" defaultRowHeight="14.25" customHeight="1"/>
  <cols>
    <col min="1" max="1" width="9" style="789"/>
    <col min="2" max="2" width="6" style="935" customWidth="1"/>
    <col min="3" max="3" width="31.28515625" style="789" bestFit="1" customWidth="1"/>
    <col min="4" max="4" width="15" style="789" bestFit="1" customWidth="1"/>
    <col min="5" max="5" width="18.7109375" style="789" bestFit="1" customWidth="1"/>
    <col min="6" max="6" width="15.140625" style="789" bestFit="1" customWidth="1"/>
    <col min="7" max="16384" width="9" style="789"/>
  </cols>
  <sheetData>
    <row r="2" spans="2:6" ht="14.25" customHeight="1">
      <c r="B2" s="935" t="s">
        <v>0</v>
      </c>
    </row>
    <row r="3" spans="2:6" ht="14.25" customHeight="1">
      <c r="C3" s="1126" t="s">
        <v>1</v>
      </c>
      <c r="D3" s="1126"/>
    </row>
    <row r="5" spans="2:6" ht="14.25" customHeight="1">
      <c r="B5" s="935" t="s">
        <v>2</v>
      </c>
    </row>
    <row r="6" spans="2:6" ht="14.25" customHeight="1">
      <c r="C6" s="930" t="s">
        <v>3</v>
      </c>
      <c r="D6" s="931">
        <v>24</v>
      </c>
    </row>
    <row r="7" spans="2:6" ht="14.25" customHeight="1">
      <c r="C7" s="930" t="s">
        <v>4</v>
      </c>
      <c r="D7" s="932">
        <v>0.17499999999999999</v>
      </c>
    </row>
    <row r="8" spans="2:6" ht="14.25" customHeight="1">
      <c r="C8" s="1353" t="s">
        <v>5</v>
      </c>
      <c r="D8" s="1354">
        <v>9.2999999999999999E-2</v>
      </c>
      <c r="E8" s="1121">
        <f>D7-D8</f>
        <v>8.199999999999999E-2</v>
      </c>
    </row>
    <row r="9" spans="2:6" ht="14.25" customHeight="1">
      <c r="C9" s="1355" t="s">
        <v>6</v>
      </c>
      <c r="D9" s="1356">
        <v>30</v>
      </c>
      <c r="E9" s="853"/>
    </row>
    <row r="10" spans="2:6" ht="14.25" customHeight="1">
      <c r="C10" s="934"/>
      <c r="D10" s="936"/>
    </row>
    <row r="11" spans="2:6" ht="14.25" customHeight="1">
      <c r="B11" s="935" t="s">
        <v>7</v>
      </c>
    </row>
    <row r="12" spans="2:6" ht="14.25" customHeight="1">
      <c r="C12" s="930" t="s">
        <v>8</v>
      </c>
      <c r="D12" s="933">
        <f>(2742000000/10)+35000000</f>
        <v>309200000</v>
      </c>
    </row>
    <row r="13" spans="2:6" ht="14.25" customHeight="1">
      <c r="C13" s="930" t="s">
        <v>9</v>
      </c>
      <c r="D13" s="964">
        <v>0</v>
      </c>
      <c r="E13" s="1124"/>
      <c r="F13" s="1119"/>
    </row>
    <row r="14" spans="2:6" ht="14.25" customHeight="1">
      <c r="C14" s="930" t="s">
        <v>10</v>
      </c>
      <c r="D14" s="933">
        <f>D12/1.1*10%</f>
        <v>28109090.909090906</v>
      </c>
      <c r="E14" s="1119"/>
      <c r="F14" s="1119"/>
    </row>
    <row r="15" spans="2:6" ht="14.25" customHeight="1">
      <c r="C15" s="1353" t="s">
        <v>11</v>
      </c>
      <c r="D15" s="1356"/>
      <c r="E15" s="1125"/>
      <c r="F15" s="1119"/>
    </row>
    <row r="16" spans="2:6" ht="14.25" customHeight="1">
      <c r="C16" s="1353" t="s">
        <v>9</v>
      </c>
      <c r="D16" s="1357"/>
      <c r="E16" s="850"/>
    </row>
    <row r="17" spans="2:6" ht="14.25" customHeight="1">
      <c r="C17" s="930" t="s">
        <v>10</v>
      </c>
      <c r="D17" s="933">
        <f>D15*E14</f>
        <v>0</v>
      </c>
      <c r="F17" s="1119"/>
    </row>
    <row r="18" spans="2:6" ht="14.25" customHeight="1">
      <c r="C18" s="930" t="s">
        <v>12</v>
      </c>
      <c r="D18" s="933">
        <v>0</v>
      </c>
      <c r="F18" s="1119"/>
    </row>
    <row r="19" spans="2:6" ht="14.25" customHeight="1">
      <c r="C19" s="1353" t="s">
        <v>9</v>
      </c>
      <c r="D19" s="965"/>
      <c r="F19" s="1119"/>
    </row>
    <row r="20" spans="2:6" ht="14.25" customHeight="1">
      <c r="C20" s="930" t="s">
        <v>10</v>
      </c>
      <c r="D20" s="933">
        <f>D18*E14</f>
        <v>0</v>
      </c>
      <c r="F20" s="1119"/>
    </row>
    <row r="21" spans="2:6" ht="14.25" customHeight="1">
      <c r="C21" s="835" t="s">
        <v>13</v>
      </c>
      <c r="D21" s="932">
        <v>0.48</v>
      </c>
      <c r="E21" s="850"/>
      <c r="F21" s="1120"/>
    </row>
    <row r="22" spans="2:6" ht="14.25" customHeight="1">
      <c r="C22" s="930" t="s">
        <v>14</v>
      </c>
      <c r="D22" s="938">
        <f>(D12+D15)*D21</f>
        <v>148416000</v>
      </c>
      <c r="E22" s="1119"/>
      <c r="F22" s="929"/>
    </row>
    <row r="23" spans="2:6" ht="14.25" customHeight="1">
      <c r="C23" s="1353" t="s">
        <v>15</v>
      </c>
      <c r="D23" s="1356">
        <f>D14+D17+D20</f>
        <v>28109090.909090906</v>
      </c>
      <c r="E23" s="1107"/>
      <c r="F23" s="1125"/>
    </row>
    <row r="24" spans="2:6" ht="14.25" customHeight="1">
      <c r="C24" s="930" t="s">
        <v>16</v>
      </c>
      <c r="D24" s="937">
        <f>(D12-D13)+(D15-D16)+(D18-D19)</f>
        <v>309200000</v>
      </c>
      <c r="E24" s="1122"/>
    </row>
    <row r="25" spans="2:6" ht="14.25" customHeight="1">
      <c r="C25" s="930" t="s">
        <v>17</v>
      </c>
      <c r="D25" s="939">
        <f>D24-(D14+D17+D20)</f>
        <v>281090909.09090912</v>
      </c>
    </row>
    <row r="27" spans="2:6" ht="14.25" customHeight="1">
      <c r="B27" s="935" t="s">
        <v>18</v>
      </c>
    </row>
    <row r="28" spans="2:6" ht="14.25" customHeight="1">
      <c r="C28" s="930" t="s">
        <v>19</v>
      </c>
      <c r="D28" s="933">
        <v>33920330.042465754</v>
      </c>
      <c r="E28" s="1119"/>
    </row>
    <row r="29" spans="2:6" ht="14.25" customHeight="1">
      <c r="C29" s="1353" t="s">
        <v>20</v>
      </c>
      <c r="D29" s="1358">
        <v>0.25</v>
      </c>
      <c r="E29" s="1119"/>
    </row>
    <row r="31" spans="2:6" ht="14.25" customHeight="1">
      <c r="B31" s="935" t="s">
        <v>21</v>
      </c>
    </row>
    <row r="32" spans="2:6" ht="14.25" customHeight="1">
      <c r="C32" s="930" t="s">
        <v>22</v>
      </c>
      <c r="D32" s="933">
        <v>500000</v>
      </c>
    </row>
    <row r="33" spans="2:5" ht="14.25" customHeight="1">
      <c r="C33" s="930" t="s">
        <v>23</v>
      </c>
      <c r="D33" s="937">
        <f>D32*D6</f>
        <v>12000000</v>
      </c>
      <c r="E33" s="1123"/>
    </row>
    <row r="34" spans="2:5" ht="14.25" customHeight="1">
      <c r="C34" s="930" t="s">
        <v>24</v>
      </c>
      <c r="D34" s="933">
        <v>0</v>
      </c>
      <c r="E34" s="1122"/>
    </row>
    <row r="36" spans="2:5" ht="14.25" customHeight="1">
      <c r="B36" s="935" t="s">
        <v>25</v>
      </c>
    </row>
    <row r="37" spans="2:5" ht="14.25" customHeight="1">
      <c r="C37" s="930" t="s">
        <v>26</v>
      </c>
      <c r="D37" s="933">
        <v>20000000</v>
      </c>
      <c r="E37" s="1122"/>
    </row>
    <row r="39" spans="2:5" ht="14.25" customHeight="1">
      <c r="B39" s="935" t="s">
        <v>27</v>
      </c>
    </row>
    <row r="40" spans="2:5" ht="14.25" customHeight="1">
      <c r="C40" s="930" t="s">
        <v>27</v>
      </c>
      <c r="D40" s="933">
        <v>0</v>
      </c>
    </row>
    <row r="42" spans="2:5" ht="14.25" customHeight="1">
      <c r="B42" s="935" t="s">
        <v>28</v>
      </c>
    </row>
    <row r="43" spans="2:5" ht="14.25" customHeight="1">
      <c r="C43" s="930" t="s">
        <v>29</v>
      </c>
      <c r="D43" s="933">
        <v>20000000</v>
      </c>
    </row>
    <row r="45" spans="2:5" ht="14.25" customHeight="1">
      <c r="B45" s="935" t="s">
        <v>30</v>
      </c>
    </row>
    <row r="46" spans="2:5" ht="14.25" customHeight="1">
      <c r="C46" s="930" t="s">
        <v>30</v>
      </c>
      <c r="D46" s="933">
        <v>5000000</v>
      </c>
    </row>
    <row r="54" spans="3:4" ht="14.25" customHeight="1">
      <c r="C54" s="789" t="s">
        <v>31</v>
      </c>
      <c r="D54" s="1119">
        <v>1450000</v>
      </c>
    </row>
    <row r="55" spans="3:4" ht="14.25" customHeight="1">
      <c r="D55" s="1119"/>
    </row>
  </sheetData>
  <mergeCells count="1">
    <mergeCell ref="C3:D3"/>
  </mergeCells>
  <phoneticPr fontId="6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  <pageSetUpPr fitToPage="1"/>
  </sheetPr>
  <dimension ref="A1:P58"/>
  <sheetViews>
    <sheetView topLeftCell="A25" workbookViewId="0">
      <selection activeCell="G33" sqref="G33"/>
    </sheetView>
  </sheetViews>
  <sheetFormatPr defaultColWidth="9" defaultRowHeight="12"/>
  <cols>
    <col min="1" max="1" width="3" style="974" customWidth="1"/>
    <col min="2" max="2" width="10.42578125" style="974" bestFit="1" customWidth="1"/>
    <col min="3" max="3" width="9.5703125" style="974" bestFit="1" customWidth="1"/>
    <col min="4" max="7" width="12.5703125" style="974" customWidth="1"/>
    <col min="8" max="8" width="7.85546875" style="974" customWidth="1"/>
    <col min="9" max="9" width="10.7109375" style="974" customWidth="1"/>
    <col min="10" max="10" width="7.85546875" style="974" customWidth="1"/>
    <col min="11" max="11" width="10.7109375" style="974" customWidth="1"/>
    <col min="12" max="12" width="7.85546875" style="974" customWidth="1"/>
    <col min="13" max="13" width="10.7109375" style="974" customWidth="1"/>
    <col min="14" max="14" width="7.85546875" style="974" customWidth="1"/>
    <col min="15" max="15" width="10.7109375" style="974" customWidth="1"/>
    <col min="16" max="16" width="7.85546875" style="974" customWidth="1"/>
    <col min="17" max="16384" width="9" style="974"/>
  </cols>
  <sheetData>
    <row r="1" spans="1:16">
      <c r="A1" s="973" t="s">
        <v>382</v>
      </c>
    </row>
    <row r="3" spans="1:16">
      <c r="B3" s="975" t="s">
        <v>383</v>
      </c>
    </row>
    <row r="4" spans="1:16" ht="7.5" customHeight="1"/>
    <row r="5" spans="1:16" ht="15" customHeight="1">
      <c r="B5" s="976" t="s">
        <v>384</v>
      </c>
      <c r="C5" s="977" t="s">
        <v>385</v>
      </c>
      <c r="D5" s="977" t="s">
        <v>386</v>
      </c>
      <c r="E5" s="977" t="s">
        <v>387</v>
      </c>
      <c r="F5" s="977" t="s">
        <v>388</v>
      </c>
      <c r="G5" s="977" t="s">
        <v>389</v>
      </c>
      <c r="H5" s="977" t="s">
        <v>388</v>
      </c>
      <c r="I5" s="977" t="s">
        <v>390</v>
      </c>
      <c r="J5" s="977" t="s">
        <v>388</v>
      </c>
      <c r="K5" s="977" t="s">
        <v>391</v>
      </c>
      <c r="L5" s="977" t="s">
        <v>388</v>
      </c>
      <c r="M5" s="977" t="s">
        <v>392</v>
      </c>
      <c r="N5" s="977" t="s">
        <v>388</v>
      </c>
      <c r="O5" s="977" t="s">
        <v>393</v>
      </c>
      <c r="P5" s="978" t="s">
        <v>388</v>
      </c>
    </row>
    <row r="6" spans="1:16" ht="14.25" customHeight="1">
      <c r="B6" s="1336" t="s">
        <v>394</v>
      </c>
      <c r="C6" s="979" t="s">
        <v>395</v>
      </c>
      <c r="D6" s="980">
        <v>0.7</v>
      </c>
      <c r="E6" s="980">
        <v>0.65</v>
      </c>
      <c r="F6" s="980">
        <f t="shared" ref="F6:F14" si="0">E6-D6</f>
        <v>-4.9999999999999933E-2</v>
      </c>
      <c r="G6" s="980">
        <v>0.59</v>
      </c>
      <c r="H6" s="980">
        <f t="shared" ref="H6:H14" si="1">G6-E6</f>
        <v>-6.0000000000000053E-2</v>
      </c>
      <c r="I6" s="980">
        <v>0.53</v>
      </c>
      <c r="J6" s="980">
        <f t="shared" ref="J6:J14" si="2">I6-G6</f>
        <v>-5.9999999999999942E-2</v>
      </c>
      <c r="K6" s="981">
        <v>0.5</v>
      </c>
      <c r="L6" s="982">
        <f t="shared" ref="L6:L14" si="3">K6-I6</f>
        <v>-3.0000000000000027E-2</v>
      </c>
      <c r="M6" s="982">
        <v>0.44</v>
      </c>
      <c r="N6" s="982">
        <f t="shared" ref="N6:N14" si="4">M6-K6</f>
        <v>-0.06</v>
      </c>
      <c r="O6" s="982">
        <v>0.41</v>
      </c>
      <c r="P6" s="982">
        <f t="shared" ref="P6:P14" si="5">O6-M6</f>
        <v>-3.0000000000000027E-2</v>
      </c>
    </row>
    <row r="7" spans="1:16" ht="14.25" customHeight="1">
      <c r="B7" s="1336"/>
      <c r="C7" s="979" t="s">
        <v>396</v>
      </c>
      <c r="D7" s="980">
        <v>0.67</v>
      </c>
      <c r="E7" s="980">
        <v>0.62</v>
      </c>
      <c r="F7" s="980">
        <f t="shared" si="0"/>
        <v>-5.0000000000000044E-2</v>
      </c>
      <c r="G7" s="980">
        <v>0.57999999999999996</v>
      </c>
      <c r="H7" s="980">
        <f t="shared" si="1"/>
        <v>-4.0000000000000036E-2</v>
      </c>
      <c r="I7" s="980">
        <v>0.51</v>
      </c>
      <c r="J7" s="980">
        <f t="shared" si="2"/>
        <v>-6.9999999999999951E-2</v>
      </c>
      <c r="K7" s="981">
        <v>0.46</v>
      </c>
      <c r="L7" s="982">
        <f t="shared" si="3"/>
        <v>-4.9999999999999989E-2</v>
      </c>
      <c r="M7" s="982">
        <v>0.42</v>
      </c>
      <c r="N7" s="982">
        <f t="shared" si="4"/>
        <v>-4.0000000000000036E-2</v>
      </c>
      <c r="O7" s="982">
        <v>0.36</v>
      </c>
      <c r="P7" s="982">
        <f t="shared" si="5"/>
        <v>-0.06</v>
      </c>
    </row>
    <row r="8" spans="1:16" ht="14.25" customHeight="1">
      <c r="B8" s="1336" t="s">
        <v>397</v>
      </c>
      <c r="C8" s="979" t="s">
        <v>395</v>
      </c>
      <c r="D8" s="980">
        <v>0.68</v>
      </c>
      <c r="E8" s="980">
        <v>0.63</v>
      </c>
      <c r="F8" s="980">
        <f t="shared" si="0"/>
        <v>-5.0000000000000044E-2</v>
      </c>
      <c r="G8" s="980">
        <v>0.56000000000000005</v>
      </c>
      <c r="H8" s="980">
        <f t="shared" si="1"/>
        <v>-6.9999999999999951E-2</v>
      </c>
      <c r="I8" s="980">
        <v>0.51</v>
      </c>
      <c r="J8" s="980">
        <f t="shared" si="2"/>
        <v>-5.0000000000000044E-2</v>
      </c>
      <c r="K8" s="981">
        <v>0.48</v>
      </c>
      <c r="L8" s="982">
        <f t="shared" si="3"/>
        <v>-3.0000000000000027E-2</v>
      </c>
      <c r="M8" s="982">
        <v>0.43</v>
      </c>
      <c r="N8" s="982">
        <f t="shared" si="4"/>
        <v>-4.9999999999999989E-2</v>
      </c>
      <c r="O8" s="982">
        <v>0.37</v>
      </c>
      <c r="P8" s="982">
        <f t="shared" si="5"/>
        <v>-0.06</v>
      </c>
    </row>
    <row r="9" spans="1:16" ht="14.25" customHeight="1">
      <c r="B9" s="1336"/>
      <c r="C9" s="979" t="s">
        <v>396</v>
      </c>
      <c r="D9" s="980">
        <v>0.66</v>
      </c>
      <c r="E9" s="980">
        <v>0.57999999999999996</v>
      </c>
      <c r="F9" s="980">
        <f t="shared" si="0"/>
        <v>-8.0000000000000071E-2</v>
      </c>
      <c r="G9" s="980">
        <v>0.52</v>
      </c>
      <c r="H9" s="980">
        <f t="shared" si="1"/>
        <v>-5.9999999999999942E-2</v>
      </c>
      <c r="I9" s="980">
        <v>0.47</v>
      </c>
      <c r="J9" s="980">
        <f t="shared" si="2"/>
        <v>-5.0000000000000044E-2</v>
      </c>
      <c r="K9" s="981">
        <v>0.42</v>
      </c>
      <c r="L9" s="982">
        <f t="shared" si="3"/>
        <v>-4.9999999999999989E-2</v>
      </c>
      <c r="M9" s="982">
        <v>0.38</v>
      </c>
      <c r="N9" s="982">
        <f t="shared" si="4"/>
        <v>-3.999999999999998E-2</v>
      </c>
      <c r="O9" s="982">
        <v>0.32</v>
      </c>
      <c r="P9" s="982">
        <f t="shared" si="5"/>
        <v>-0.06</v>
      </c>
    </row>
    <row r="10" spans="1:16" ht="14.25" customHeight="1">
      <c r="B10" s="1335" t="s">
        <v>398</v>
      </c>
      <c r="C10" s="979" t="s">
        <v>399</v>
      </c>
      <c r="D10" s="980">
        <v>0.67</v>
      </c>
      <c r="E10" s="980">
        <v>0.61</v>
      </c>
      <c r="F10" s="980">
        <f t="shared" si="0"/>
        <v>-6.0000000000000053E-2</v>
      </c>
      <c r="G10" s="980">
        <v>0.53</v>
      </c>
      <c r="H10" s="980">
        <f t="shared" si="1"/>
        <v>-7.999999999999996E-2</v>
      </c>
      <c r="I10" s="980">
        <v>0.49</v>
      </c>
      <c r="J10" s="980">
        <f t="shared" si="2"/>
        <v>-4.0000000000000036E-2</v>
      </c>
      <c r="K10" s="981">
        <v>0.44</v>
      </c>
      <c r="L10" s="982">
        <f t="shared" si="3"/>
        <v>-4.9999999999999989E-2</v>
      </c>
      <c r="M10" s="982">
        <v>0.39</v>
      </c>
      <c r="N10" s="982">
        <f t="shared" si="4"/>
        <v>-4.9999999999999989E-2</v>
      </c>
      <c r="O10" s="982">
        <v>0.35</v>
      </c>
      <c r="P10" s="982">
        <f t="shared" si="5"/>
        <v>-4.0000000000000036E-2</v>
      </c>
    </row>
    <row r="11" spans="1:16" ht="14.25" customHeight="1">
      <c r="B11" s="1335"/>
      <c r="C11" s="979" t="s">
        <v>400</v>
      </c>
      <c r="D11" s="980">
        <v>0.66</v>
      </c>
      <c r="E11" s="980">
        <v>0.56999999999999995</v>
      </c>
      <c r="F11" s="980">
        <f t="shared" si="0"/>
        <v>-9.000000000000008E-2</v>
      </c>
      <c r="G11" s="980">
        <v>0.51</v>
      </c>
      <c r="H11" s="980">
        <f t="shared" si="1"/>
        <v>-5.9999999999999942E-2</v>
      </c>
      <c r="I11" s="980">
        <v>0.46</v>
      </c>
      <c r="J11" s="980">
        <f t="shared" si="2"/>
        <v>-4.9999999999999989E-2</v>
      </c>
      <c r="K11" s="981">
        <v>0.41</v>
      </c>
      <c r="L11" s="982">
        <f t="shared" si="3"/>
        <v>-5.0000000000000044E-2</v>
      </c>
      <c r="M11" s="982">
        <v>0.38</v>
      </c>
      <c r="N11" s="982">
        <f t="shared" si="4"/>
        <v>-2.9999999999999971E-2</v>
      </c>
      <c r="O11" s="982">
        <v>0.3</v>
      </c>
      <c r="P11" s="982">
        <f t="shared" si="5"/>
        <v>-8.0000000000000016E-2</v>
      </c>
    </row>
    <row r="12" spans="1:16" ht="14.25" customHeight="1">
      <c r="B12" s="1335" t="s">
        <v>401</v>
      </c>
      <c r="C12" s="979" t="s">
        <v>399</v>
      </c>
      <c r="D12" s="980">
        <v>0.7</v>
      </c>
      <c r="E12" s="980">
        <v>0.65</v>
      </c>
      <c r="F12" s="980">
        <f t="shared" si="0"/>
        <v>-4.9999999999999933E-2</v>
      </c>
      <c r="G12" s="980">
        <v>0.6</v>
      </c>
      <c r="H12" s="980">
        <f t="shared" si="1"/>
        <v>-5.0000000000000044E-2</v>
      </c>
      <c r="I12" s="980">
        <v>0.59962149361841677</v>
      </c>
      <c r="J12" s="980">
        <f t="shared" si="2"/>
        <v>-3.7850638158321015E-4</v>
      </c>
      <c r="K12" s="981">
        <v>0.5</v>
      </c>
      <c r="L12" s="982">
        <f t="shared" si="3"/>
        <v>-9.9621493618416768E-2</v>
      </c>
      <c r="M12" s="982">
        <v>0.48</v>
      </c>
      <c r="N12" s="982">
        <f t="shared" si="4"/>
        <v>-2.0000000000000018E-2</v>
      </c>
      <c r="O12" s="982">
        <v>0.38</v>
      </c>
      <c r="P12" s="982">
        <f t="shared" si="5"/>
        <v>-9.9999999999999978E-2</v>
      </c>
    </row>
    <row r="13" spans="1:16" ht="14.25" customHeight="1">
      <c r="B13" s="1336"/>
      <c r="C13" s="979" t="s">
        <v>400</v>
      </c>
      <c r="D13" s="980">
        <v>0.8</v>
      </c>
      <c r="E13" s="980">
        <v>0.72148589524728901</v>
      </c>
      <c r="F13" s="980">
        <f t="shared" si="0"/>
        <v>-7.8514104752711034E-2</v>
      </c>
      <c r="G13" s="980">
        <v>0.6111343829590975</v>
      </c>
      <c r="H13" s="980">
        <f t="shared" si="1"/>
        <v>-0.11035151228819151</v>
      </c>
      <c r="I13" s="980">
        <v>0.6</v>
      </c>
      <c r="J13" s="980">
        <f t="shared" si="2"/>
        <v>-1.1134382959097522E-2</v>
      </c>
      <c r="K13" s="981">
        <v>0.5</v>
      </c>
      <c r="L13" s="982">
        <f t="shared" si="3"/>
        <v>-9.9999999999999978E-2</v>
      </c>
      <c r="M13" s="982">
        <v>0.48</v>
      </c>
      <c r="N13" s="982">
        <f t="shared" si="4"/>
        <v>-2.0000000000000018E-2</v>
      </c>
      <c r="O13" s="982">
        <v>0.46</v>
      </c>
      <c r="P13" s="982">
        <f t="shared" si="5"/>
        <v>-1.9999999999999962E-2</v>
      </c>
    </row>
    <row r="14" spans="1:16" ht="22.5" customHeight="1">
      <c r="B14" s="979" t="s">
        <v>402</v>
      </c>
      <c r="C14" s="979" t="s">
        <v>399</v>
      </c>
      <c r="D14" s="980">
        <v>0.55000000000000004</v>
      </c>
      <c r="E14" s="980">
        <v>0.5</v>
      </c>
      <c r="F14" s="980">
        <f t="shared" si="0"/>
        <v>-5.0000000000000044E-2</v>
      </c>
      <c r="G14" s="980">
        <v>0.45</v>
      </c>
      <c r="H14" s="980">
        <f t="shared" si="1"/>
        <v>-4.9999999999999989E-2</v>
      </c>
      <c r="I14" s="980">
        <v>0.4</v>
      </c>
      <c r="J14" s="980">
        <f t="shared" si="2"/>
        <v>-4.9999999999999989E-2</v>
      </c>
      <c r="K14" s="981">
        <v>0.35</v>
      </c>
      <c r="L14" s="982">
        <f t="shared" si="3"/>
        <v>-5.0000000000000044E-2</v>
      </c>
      <c r="M14" s="982">
        <v>0.3</v>
      </c>
      <c r="N14" s="982">
        <f t="shared" si="4"/>
        <v>-4.9999999999999989E-2</v>
      </c>
      <c r="O14" s="982">
        <v>0.25</v>
      </c>
      <c r="P14" s="982">
        <f t="shared" si="5"/>
        <v>-4.9999999999999989E-2</v>
      </c>
    </row>
    <row r="15" spans="1:16">
      <c r="B15" s="983"/>
      <c r="C15" s="983"/>
      <c r="D15" s="984"/>
      <c r="E15" s="984"/>
      <c r="F15" s="984"/>
      <c r="G15" s="984"/>
      <c r="H15" s="984"/>
      <c r="I15" s="984"/>
      <c r="J15" s="984"/>
      <c r="K15" s="985"/>
      <c r="L15" s="984"/>
      <c r="M15" s="984"/>
      <c r="N15" s="984"/>
      <c r="O15" s="984"/>
      <c r="P15" s="984"/>
    </row>
    <row r="16" spans="1:16">
      <c r="B16" s="986" t="s">
        <v>403</v>
      </c>
      <c r="C16" s="983"/>
      <c r="D16" s="984"/>
      <c r="E16" s="984"/>
      <c r="F16" s="984"/>
      <c r="G16" s="984"/>
      <c r="H16" s="984"/>
      <c r="I16" s="984"/>
      <c r="J16" s="984"/>
      <c r="K16" s="985"/>
      <c r="L16" s="984"/>
      <c r="M16" s="984"/>
      <c r="N16" s="984"/>
      <c r="O16" s="984"/>
      <c r="P16" s="984"/>
    </row>
    <row r="17" spans="2:16" ht="7.5" customHeight="1"/>
    <row r="18" spans="2:16" ht="15" customHeight="1">
      <c r="B18" s="976" t="s">
        <v>384</v>
      </c>
      <c r="C18" s="977" t="s">
        <v>385</v>
      </c>
      <c r="D18" s="977" t="s">
        <v>404</v>
      </c>
      <c r="E18" s="977" t="s">
        <v>405</v>
      </c>
      <c r="F18" s="977" t="s">
        <v>406</v>
      </c>
      <c r="G18" s="978" t="s">
        <v>407</v>
      </c>
    </row>
    <row r="19" spans="2:16" ht="14.25" customHeight="1">
      <c r="B19" s="1336" t="s">
        <v>408</v>
      </c>
      <c r="C19" s="979" t="s">
        <v>395</v>
      </c>
      <c r="D19" s="987">
        <v>227600000</v>
      </c>
      <c r="E19" s="988">
        <v>10000000</v>
      </c>
      <c r="F19" s="989">
        <f t="shared" ref="F19:F20" si="6">D19-E19</f>
        <v>217600000</v>
      </c>
      <c r="G19" s="990">
        <f t="shared" ref="G19:G20" si="7">F19/D19</f>
        <v>0.95606326889279436</v>
      </c>
      <c r="H19" s="983" t="s">
        <v>409</v>
      </c>
      <c r="I19" s="991" t="s">
        <v>410</v>
      </c>
      <c r="K19" s="992"/>
    </row>
    <row r="20" spans="2:16" ht="14.25" customHeight="1">
      <c r="B20" s="1336"/>
      <c r="C20" s="979" t="s">
        <v>396</v>
      </c>
      <c r="D20" s="987">
        <v>238000000</v>
      </c>
      <c r="E20" s="988">
        <v>10000000</v>
      </c>
      <c r="F20" s="989">
        <f t="shared" si="6"/>
        <v>228000000</v>
      </c>
      <c r="G20" s="990">
        <f t="shared" si="7"/>
        <v>0.95798319327731096</v>
      </c>
      <c r="H20" s="983"/>
      <c r="I20" s="991"/>
      <c r="K20" s="992"/>
    </row>
    <row r="21" spans="2:16" ht="14.25" customHeight="1">
      <c r="B21" s="1336" t="s">
        <v>397</v>
      </c>
      <c r="C21" s="979" t="s">
        <v>395</v>
      </c>
      <c r="D21" s="993">
        <v>208950000</v>
      </c>
      <c r="E21" s="994">
        <v>20000000</v>
      </c>
      <c r="F21" s="989">
        <f>D21-E21</f>
        <v>188950000</v>
      </c>
      <c r="G21" s="990">
        <f>F21/D21</f>
        <v>0.90428332136874845</v>
      </c>
      <c r="H21" s="983" t="s">
        <v>409</v>
      </c>
      <c r="I21" s="991" t="s">
        <v>411</v>
      </c>
      <c r="K21" s="992"/>
    </row>
    <row r="22" spans="2:16" ht="14.25" customHeight="1">
      <c r="B22" s="1336"/>
      <c r="C22" s="979" t="s">
        <v>396</v>
      </c>
      <c r="D22" s="993">
        <v>219650000</v>
      </c>
      <c r="E22" s="994">
        <v>20000000</v>
      </c>
      <c r="F22" s="989">
        <f>D22-E22</f>
        <v>199650000</v>
      </c>
      <c r="G22" s="990">
        <f>F22/D22</f>
        <v>0.90894605053494193</v>
      </c>
      <c r="H22" s="991"/>
      <c r="I22" s="991"/>
      <c r="K22" s="992"/>
    </row>
    <row r="23" spans="2:16" ht="14.25" customHeight="1">
      <c r="B23" s="1335" t="s">
        <v>398</v>
      </c>
      <c r="C23" s="979" t="s">
        <v>399</v>
      </c>
      <c r="D23" s="993">
        <v>198600000</v>
      </c>
      <c r="E23" s="994">
        <v>20000000</v>
      </c>
      <c r="F23" s="989">
        <f t="shared" ref="F23:F27" si="8">D23-E23</f>
        <v>178600000</v>
      </c>
      <c r="G23" s="990">
        <f t="shared" ref="G23:G27" si="9">F23/D23</f>
        <v>0.89929506545820748</v>
      </c>
      <c r="H23" s="983" t="s">
        <v>409</v>
      </c>
      <c r="I23" s="991" t="s">
        <v>411</v>
      </c>
      <c r="K23" s="992"/>
    </row>
    <row r="24" spans="2:16" ht="14.25" customHeight="1">
      <c r="B24" s="1335"/>
      <c r="C24" s="979" t="s">
        <v>400</v>
      </c>
      <c r="D24" s="993">
        <v>210450000</v>
      </c>
      <c r="E24" s="994">
        <v>20000000</v>
      </c>
      <c r="F24" s="989">
        <f t="shared" si="8"/>
        <v>190450000</v>
      </c>
      <c r="G24" s="990">
        <f t="shared" si="9"/>
        <v>0.90496555001187928</v>
      </c>
      <c r="H24" s="991"/>
      <c r="I24" s="991"/>
      <c r="K24" s="992"/>
    </row>
    <row r="25" spans="2:16" ht="14.25" customHeight="1">
      <c r="B25" s="1335" t="s">
        <v>401</v>
      </c>
      <c r="C25" s="979" t="s">
        <v>399</v>
      </c>
      <c r="D25" s="993">
        <v>305150000</v>
      </c>
      <c r="E25" s="994">
        <v>35000000</v>
      </c>
      <c r="F25" s="989">
        <f t="shared" si="8"/>
        <v>270150000</v>
      </c>
      <c r="G25" s="990">
        <f t="shared" si="9"/>
        <v>0.8853023103391775</v>
      </c>
      <c r="H25" s="983" t="s">
        <v>409</v>
      </c>
      <c r="I25" s="991" t="s">
        <v>412</v>
      </c>
      <c r="K25" s="992"/>
    </row>
    <row r="26" spans="2:16" ht="14.25" customHeight="1">
      <c r="B26" s="1336"/>
      <c r="C26" s="979" t="s">
        <v>400</v>
      </c>
      <c r="D26" s="993">
        <v>325350000</v>
      </c>
      <c r="E26" s="994">
        <v>35000000</v>
      </c>
      <c r="F26" s="989">
        <f t="shared" si="8"/>
        <v>290350000</v>
      </c>
      <c r="G26" s="990">
        <f t="shared" si="9"/>
        <v>0.89242354387582601</v>
      </c>
      <c r="H26" s="991"/>
      <c r="I26" s="991"/>
      <c r="K26" s="992"/>
    </row>
    <row r="27" spans="2:16" ht="22.5" customHeight="1">
      <c r="B27" s="979" t="s">
        <v>402</v>
      </c>
      <c r="C27" s="979" t="s">
        <v>399</v>
      </c>
      <c r="D27" s="993">
        <v>155375000</v>
      </c>
      <c r="E27" s="994">
        <v>20000000</v>
      </c>
      <c r="F27" s="989">
        <f t="shared" si="8"/>
        <v>135375000</v>
      </c>
      <c r="G27" s="990">
        <f t="shared" si="9"/>
        <v>0.87127916331456157</v>
      </c>
      <c r="H27" s="983" t="s">
        <v>409</v>
      </c>
      <c r="I27" s="991" t="s">
        <v>413</v>
      </c>
      <c r="K27" s="992"/>
    </row>
    <row r="29" spans="2:16">
      <c r="B29" s="974" t="s">
        <v>414</v>
      </c>
    </row>
    <row r="30" spans="2:16" ht="7.5" customHeight="1"/>
    <row r="31" spans="2:16" ht="15" customHeight="1">
      <c r="B31" s="976" t="s">
        <v>384</v>
      </c>
      <c r="C31" s="977" t="s">
        <v>385</v>
      </c>
      <c r="D31" s="977" t="s">
        <v>386</v>
      </c>
      <c r="E31" s="977" t="s">
        <v>387</v>
      </c>
      <c r="F31" s="977" t="s">
        <v>388</v>
      </c>
      <c r="G31" s="977" t="s">
        <v>389</v>
      </c>
      <c r="H31" s="977" t="s">
        <v>388</v>
      </c>
      <c r="I31" s="977" t="s">
        <v>390</v>
      </c>
      <c r="J31" s="977" t="s">
        <v>388</v>
      </c>
      <c r="K31" s="977" t="s">
        <v>415</v>
      </c>
      <c r="L31" s="977" t="s">
        <v>388</v>
      </c>
      <c r="M31" s="977" t="s">
        <v>392</v>
      </c>
      <c r="N31" s="977" t="s">
        <v>388</v>
      </c>
      <c r="O31" s="977" t="s">
        <v>393</v>
      </c>
      <c r="P31" s="978" t="s">
        <v>388</v>
      </c>
    </row>
    <row r="32" spans="2:16" ht="14.25" customHeight="1">
      <c r="B32" s="1336" t="s">
        <v>408</v>
      </c>
      <c r="C32" s="979" t="s">
        <v>395</v>
      </c>
      <c r="D32" s="980">
        <f>ROUNDDOWN(G19-(($G19-K32)/5),10)</f>
        <v>0.86485061510000005</v>
      </c>
      <c r="E32" s="980">
        <f>ROUNDDOWN(D32-(($D32-$K32)/4),10)</f>
        <v>0.77363796129999995</v>
      </c>
      <c r="F32" s="980">
        <f t="shared" ref="F32:F39" si="10">E32-D32</f>
        <v>-9.1212653800000099E-2</v>
      </c>
      <c r="G32" s="980">
        <f>ROUNDDOWN($E32-(($D32-$K32)/4),10)</f>
        <v>0.68242530749999997</v>
      </c>
      <c r="H32" s="980">
        <f t="shared" ref="H32:H40" si="11">G32-E32</f>
        <v>-9.1212653799999988E-2</v>
      </c>
      <c r="I32" s="980">
        <f>ROUNDDOWN($G32-(($D32-$K32)/4),10)</f>
        <v>0.59121265369999998</v>
      </c>
      <c r="J32" s="980">
        <f t="shared" ref="J32:J40" si="12">I32-G32</f>
        <v>-9.1212653799999988E-2</v>
      </c>
      <c r="K32" s="981">
        <v>0.5</v>
      </c>
      <c r="L32" s="981">
        <v>-3.0000000000000027E-2</v>
      </c>
      <c r="M32" s="981">
        <v>0.44</v>
      </c>
      <c r="N32" s="981">
        <v>-0.06</v>
      </c>
      <c r="O32" s="981">
        <v>0.41</v>
      </c>
      <c r="P32" s="981">
        <v>-3.0000000000000027E-2</v>
      </c>
    </row>
    <row r="33" spans="2:16" ht="14.25" customHeight="1">
      <c r="B33" s="1336"/>
      <c r="C33" s="979" t="s">
        <v>396</v>
      </c>
      <c r="D33" s="980">
        <f>ROUNDDOWN(G20-(($G20-K33)/5),10)</f>
        <v>0.85838655460000002</v>
      </c>
      <c r="E33" s="980">
        <f t="shared" ref="E33:E40" si="13">ROUNDDOWN(D33-(($D33-$K33)/4),10)</f>
        <v>0.7587899159</v>
      </c>
      <c r="F33" s="980">
        <f t="shared" si="10"/>
        <v>-9.9596638700000018E-2</v>
      </c>
      <c r="G33" s="980">
        <f t="shared" ref="G33:G40" si="14">ROUNDDOWN($E33-(($D33-$K33)/4),10)</f>
        <v>0.65919327719999998</v>
      </c>
      <c r="H33" s="980">
        <f t="shared" si="11"/>
        <v>-9.9596638700000018E-2</v>
      </c>
      <c r="I33" s="980">
        <f t="shared" ref="I33:I40" si="15">ROUNDDOWN($G33-(($D33-$K33)/4),10)</f>
        <v>0.55959663849999997</v>
      </c>
      <c r="J33" s="980">
        <f t="shared" si="12"/>
        <v>-9.9596638700000018E-2</v>
      </c>
      <c r="K33" s="981">
        <v>0.46</v>
      </c>
      <c r="L33" s="981">
        <v>-4.9999999999999989E-2</v>
      </c>
      <c r="M33" s="981">
        <v>0.42</v>
      </c>
      <c r="N33" s="981">
        <v>-4.0000000000000036E-2</v>
      </c>
      <c r="O33" s="981">
        <v>0.36</v>
      </c>
      <c r="P33" s="981">
        <v>-0.06</v>
      </c>
    </row>
    <row r="34" spans="2:16" ht="14.25" customHeight="1">
      <c r="B34" s="1336" t="s">
        <v>397</v>
      </c>
      <c r="C34" s="979" t="s">
        <v>395</v>
      </c>
      <c r="D34" s="980">
        <f>ROUNDDOWN(G21-(($G21-K34)/5),10)</f>
        <v>0.81856644759999997</v>
      </c>
      <c r="E34" s="980">
        <f t="shared" si="13"/>
        <v>0.73284957390000005</v>
      </c>
      <c r="F34" s="995">
        <f t="shared" si="10"/>
        <v>-8.5716873699999918E-2</v>
      </c>
      <c r="G34" s="980">
        <f t="shared" si="14"/>
        <v>0.64713270020000002</v>
      </c>
      <c r="H34" s="980">
        <f t="shared" si="11"/>
        <v>-8.5716873700000029E-2</v>
      </c>
      <c r="I34" s="980">
        <f t="shared" si="15"/>
        <v>0.56141582649999999</v>
      </c>
      <c r="J34" s="980">
        <f t="shared" si="12"/>
        <v>-8.5716873700000029E-2</v>
      </c>
      <c r="K34" s="981">
        <v>0.4756989528115943</v>
      </c>
      <c r="L34" s="981">
        <v>-3.7536248438990116E-2</v>
      </c>
      <c r="M34" s="981">
        <v>0.4271951864281216</v>
      </c>
      <c r="N34" s="981">
        <v>-4.8503766383472702E-2</v>
      </c>
      <c r="O34" s="981">
        <v>0.37083639047115696</v>
      </c>
      <c r="P34" s="981">
        <v>-5.6358795956964636E-2</v>
      </c>
    </row>
    <row r="35" spans="2:16" ht="14.25" customHeight="1">
      <c r="B35" s="1336"/>
      <c r="C35" s="979" t="s">
        <v>396</v>
      </c>
      <c r="D35" s="980">
        <f>ROUNDDOWN(G22-(($G22-K35)/5),10)</f>
        <v>0.81043325160000002</v>
      </c>
      <c r="E35" s="980">
        <f t="shared" si="13"/>
        <v>0.71192045270000004</v>
      </c>
      <c r="F35" s="980">
        <f t="shared" si="10"/>
        <v>-9.8512798899999976E-2</v>
      </c>
      <c r="G35" s="980">
        <f t="shared" si="14"/>
        <v>0.61340765379999995</v>
      </c>
      <c r="H35" s="980">
        <f t="shared" si="11"/>
        <v>-9.8512798900000087E-2</v>
      </c>
      <c r="I35" s="980">
        <f t="shared" si="15"/>
        <v>0.51489485489999998</v>
      </c>
      <c r="J35" s="980">
        <f t="shared" si="12"/>
        <v>-9.8512798899999976E-2</v>
      </c>
      <c r="K35" s="981">
        <v>0.41638205607799167</v>
      </c>
      <c r="L35" s="981">
        <v>-5.3146019281810952E-2</v>
      </c>
      <c r="M35" s="981">
        <v>0.38066154682671915</v>
      </c>
      <c r="N35" s="981">
        <v>-3.5720509251272514E-2</v>
      </c>
      <c r="O35" s="981">
        <v>0.32256155582458629</v>
      </c>
      <c r="P35" s="981">
        <v>-5.8099991002132867E-2</v>
      </c>
    </row>
    <row r="36" spans="2:16" ht="14.25" customHeight="1">
      <c r="B36" s="1335" t="s">
        <v>398</v>
      </c>
      <c r="C36" s="979" t="s">
        <v>399</v>
      </c>
      <c r="D36" s="980">
        <f t="shared" ref="D36:D39" si="16">ROUNDDOWN(G23-(($G23-K36)/5),10)</f>
        <v>0.80733046639999995</v>
      </c>
      <c r="E36" s="980">
        <f t="shared" si="13"/>
        <v>0.71536586739999997</v>
      </c>
      <c r="F36" s="980">
        <f t="shared" si="10"/>
        <v>-9.196459899999998E-2</v>
      </c>
      <c r="G36" s="980">
        <f t="shared" si="14"/>
        <v>0.62340126839999999</v>
      </c>
      <c r="H36" s="980">
        <f t="shared" si="11"/>
        <v>-9.196459899999998E-2</v>
      </c>
      <c r="I36" s="980">
        <f t="shared" si="15"/>
        <v>0.53143666940000001</v>
      </c>
      <c r="J36" s="980">
        <f t="shared" si="12"/>
        <v>-9.196459899999998E-2</v>
      </c>
      <c r="K36" s="981">
        <v>0.43947207064755306</v>
      </c>
      <c r="L36" s="981">
        <v>-5.2721328512380539E-2</v>
      </c>
      <c r="M36" s="981">
        <v>0.39096362891522385</v>
      </c>
      <c r="N36" s="981">
        <v>-4.8508441732329211E-2</v>
      </c>
      <c r="O36" s="981">
        <v>0.34723891655618083</v>
      </c>
      <c r="P36" s="981">
        <v>-4.3724712359043016E-2</v>
      </c>
    </row>
    <row r="37" spans="2:16" ht="14.25" customHeight="1">
      <c r="B37" s="1335"/>
      <c r="C37" s="979" t="s">
        <v>400</v>
      </c>
      <c r="D37" s="980">
        <f t="shared" si="16"/>
        <v>0.80640397730000002</v>
      </c>
      <c r="E37" s="980">
        <f t="shared" si="13"/>
        <v>0.70784240470000004</v>
      </c>
      <c r="F37" s="980">
        <f t="shared" si="10"/>
        <v>-9.856157259999998E-2</v>
      </c>
      <c r="G37" s="980">
        <f t="shared" si="14"/>
        <v>0.60928083209999995</v>
      </c>
      <c r="H37" s="980">
        <f t="shared" si="11"/>
        <v>-9.8561572600000091E-2</v>
      </c>
      <c r="I37" s="980">
        <f t="shared" si="15"/>
        <v>0.51071925949999997</v>
      </c>
      <c r="J37" s="980">
        <f t="shared" si="12"/>
        <v>-9.856157259999998E-2</v>
      </c>
      <c r="K37" s="981">
        <v>0.4121576869216495</v>
      </c>
      <c r="L37" s="981">
        <v>-4.7842313078350518E-2</v>
      </c>
      <c r="M37" s="981">
        <v>0.38280488404837432</v>
      </c>
      <c r="N37" s="981">
        <v>-2.9352802873275186E-2</v>
      </c>
      <c r="O37" s="981">
        <v>0.30073106980323477</v>
      </c>
      <c r="P37" s="981">
        <v>-8.2073814245139542E-2</v>
      </c>
    </row>
    <row r="38" spans="2:16" ht="14.25" customHeight="1">
      <c r="B38" s="1335" t="s">
        <v>401</v>
      </c>
      <c r="C38" s="979" t="s">
        <v>399</v>
      </c>
      <c r="D38" s="980">
        <f t="shared" si="16"/>
        <v>0.8082418482</v>
      </c>
      <c r="E38" s="980">
        <f t="shared" si="13"/>
        <v>0.73118138610000005</v>
      </c>
      <c r="F38" s="980">
        <f t="shared" si="10"/>
        <v>-7.7060462099999949E-2</v>
      </c>
      <c r="G38" s="980">
        <f t="shared" si="14"/>
        <v>0.65412092399999999</v>
      </c>
      <c r="H38" s="980">
        <f t="shared" si="11"/>
        <v>-7.706046210000006E-2</v>
      </c>
      <c r="I38" s="980">
        <f t="shared" si="15"/>
        <v>0.57706046190000004</v>
      </c>
      <c r="J38" s="980">
        <f t="shared" si="12"/>
        <v>-7.7060462099999949E-2</v>
      </c>
      <c r="K38" s="981">
        <v>0.5</v>
      </c>
      <c r="L38" s="981">
        <v>-9.9621493618416768E-2</v>
      </c>
      <c r="M38" s="981">
        <v>0.48</v>
      </c>
      <c r="N38" s="981">
        <v>-2.0000000000000018E-2</v>
      </c>
      <c r="O38" s="981">
        <v>0.37659150786639212</v>
      </c>
      <c r="P38" s="981">
        <v>-0.10340849213360787</v>
      </c>
    </row>
    <row r="39" spans="2:16" ht="14.25" customHeight="1">
      <c r="B39" s="1336"/>
      <c r="C39" s="979" t="s">
        <v>400</v>
      </c>
      <c r="D39" s="980">
        <f t="shared" si="16"/>
        <v>0.81393883509999998</v>
      </c>
      <c r="E39" s="980">
        <f t="shared" si="13"/>
        <v>0.73545412629999996</v>
      </c>
      <c r="F39" s="980">
        <f t="shared" si="10"/>
        <v>-7.8484708800000025E-2</v>
      </c>
      <c r="G39" s="980">
        <f t="shared" si="14"/>
        <v>0.65696941750000004</v>
      </c>
      <c r="H39" s="980">
        <f t="shared" si="11"/>
        <v>-7.8484708799999914E-2</v>
      </c>
      <c r="I39" s="980">
        <f t="shared" si="15"/>
        <v>0.57848470870000002</v>
      </c>
      <c r="J39" s="980">
        <f t="shared" si="12"/>
        <v>-7.8484708800000025E-2</v>
      </c>
      <c r="K39" s="981">
        <v>0.5</v>
      </c>
      <c r="L39" s="981">
        <v>-9.9999999999999978E-2</v>
      </c>
      <c r="M39" s="981">
        <v>0.48</v>
      </c>
      <c r="N39" s="981">
        <v>-2.0000000000000018E-2</v>
      </c>
      <c r="O39" s="981">
        <v>0.45924539631388245</v>
      </c>
      <c r="P39" s="981">
        <v>-2.0754603686117534E-2</v>
      </c>
    </row>
    <row r="40" spans="2:16" ht="22.5" customHeight="1">
      <c r="B40" s="979" t="s">
        <v>402</v>
      </c>
      <c r="C40" s="979" t="s">
        <v>399</v>
      </c>
      <c r="D40" s="980">
        <f>ROUNDDOWN(G27-(($G27-K40)/5),10)</f>
        <v>0.76702333060000005</v>
      </c>
      <c r="E40" s="980">
        <f t="shared" si="13"/>
        <v>0.6627674979</v>
      </c>
      <c r="F40" s="980">
        <f>E40-D40</f>
        <v>-0.10425583270000005</v>
      </c>
      <c r="G40" s="980">
        <f t="shared" si="14"/>
        <v>0.55851166519999995</v>
      </c>
      <c r="H40" s="980">
        <f t="shared" si="11"/>
        <v>-0.10425583270000005</v>
      </c>
      <c r="I40" s="980">
        <f t="shared" si="15"/>
        <v>0.45425583250000001</v>
      </c>
      <c r="J40" s="980">
        <f t="shared" si="12"/>
        <v>-0.10425583269999994</v>
      </c>
      <c r="K40" s="981">
        <v>0.35</v>
      </c>
      <c r="L40" s="981">
        <v>-5.0000000000000044E-2</v>
      </c>
      <c r="M40" s="981">
        <v>0.3</v>
      </c>
      <c r="N40" s="981">
        <v>-4.9999999999999989E-2</v>
      </c>
      <c r="O40" s="981">
        <v>0.25</v>
      </c>
      <c r="P40" s="981">
        <v>-4.9999999999999989E-2</v>
      </c>
    </row>
    <row r="42" spans="2:16">
      <c r="B42" s="974" t="s">
        <v>416</v>
      </c>
    </row>
    <row r="43" spans="2:16">
      <c r="B43" s="974" t="s">
        <v>417</v>
      </c>
    </row>
    <row r="44" spans="2:16">
      <c r="B44" s="974" t="s">
        <v>418</v>
      </c>
    </row>
    <row r="46" spans="2:16">
      <c r="B46" s="974" t="s">
        <v>419</v>
      </c>
    </row>
    <row r="47" spans="2:16" ht="7.5" customHeight="1" thickBot="1"/>
    <row r="48" spans="2:16" ht="15" customHeight="1" thickTop="1">
      <c r="B48" s="996" t="s">
        <v>384</v>
      </c>
      <c r="C48" s="997" t="s">
        <v>385</v>
      </c>
      <c r="D48" s="997" t="s">
        <v>386</v>
      </c>
      <c r="E48" s="997" t="s">
        <v>387</v>
      </c>
      <c r="F48" s="997" t="s">
        <v>388</v>
      </c>
      <c r="G48" s="997" t="s">
        <v>389</v>
      </c>
      <c r="H48" s="997" t="s">
        <v>388</v>
      </c>
      <c r="I48" s="997" t="s">
        <v>390</v>
      </c>
      <c r="J48" s="997" t="s">
        <v>388</v>
      </c>
      <c r="K48" s="997" t="s">
        <v>415</v>
      </c>
      <c r="L48" s="997" t="s">
        <v>388</v>
      </c>
      <c r="M48" s="997" t="s">
        <v>392</v>
      </c>
      <c r="N48" s="997" t="s">
        <v>388</v>
      </c>
      <c r="O48" s="997" t="s">
        <v>393</v>
      </c>
      <c r="P48" s="998" t="s">
        <v>388</v>
      </c>
    </row>
    <row r="49" spans="2:16" ht="14.25" customHeight="1">
      <c r="B49" s="1333" t="s">
        <v>408</v>
      </c>
      <c r="C49" s="979" t="s">
        <v>395</v>
      </c>
      <c r="D49" s="980">
        <f>(D32+D6)/2</f>
        <v>0.78242530755000006</v>
      </c>
      <c r="E49" s="980">
        <f>(E32+E6)/2</f>
        <v>0.71181898064999993</v>
      </c>
      <c r="F49" s="980">
        <f>E49-D49</f>
        <v>-7.0606326900000127E-2</v>
      </c>
      <c r="G49" s="980">
        <f>(G32+G6)/2</f>
        <v>0.63621265374999991</v>
      </c>
      <c r="H49" s="980">
        <f>G49-E49</f>
        <v>-7.560632690000002E-2</v>
      </c>
      <c r="I49" s="980">
        <f>(I32+I6)/2</f>
        <v>0.56060632685</v>
      </c>
      <c r="J49" s="980">
        <f>I49-G49</f>
        <v>-7.5606326899999909E-2</v>
      </c>
      <c r="K49" s="981">
        <v>0.5</v>
      </c>
      <c r="L49" s="982">
        <f>K49-I49</f>
        <v>-6.0606326850000003E-2</v>
      </c>
      <c r="M49" s="982">
        <v>0.44</v>
      </c>
      <c r="N49" s="982">
        <f>M49-K49</f>
        <v>-0.06</v>
      </c>
      <c r="O49" s="982">
        <v>0.41</v>
      </c>
      <c r="P49" s="999">
        <f t="shared" ref="P49:P52" si="17">O49-M49</f>
        <v>-3.0000000000000027E-2</v>
      </c>
    </row>
    <row r="50" spans="2:16" ht="14.25" customHeight="1">
      <c r="B50" s="1333"/>
      <c r="C50" s="979" t="s">
        <v>396</v>
      </c>
      <c r="D50" s="980">
        <f t="shared" ref="D50:E57" si="18">(D33+D7)/2</f>
        <v>0.76419327729999997</v>
      </c>
      <c r="E50" s="980">
        <f t="shared" si="18"/>
        <v>0.68939495795000005</v>
      </c>
      <c r="F50" s="980">
        <f t="shared" ref="F50:F57" si="19">E50-D50</f>
        <v>-7.479831934999992E-2</v>
      </c>
      <c r="G50" s="980">
        <f t="shared" ref="G50:G57" si="20">(G33+G7)/2</f>
        <v>0.61959663860000003</v>
      </c>
      <c r="H50" s="980">
        <f t="shared" ref="H50:H57" si="21">G50-E50</f>
        <v>-6.9798319350000027E-2</v>
      </c>
      <c r="I50" s="980">
        <f t="shared" ref="I50:I57" si="22">(I33+I7)/2</f>
        <v>0.53479831924999999</v>
      </c>
      <c r="J50" s="980">
        <f t="shared" ref="J50:J57" si="23">I50-G50</f>
        <v>-8.479831935000004E-2</v>
      </c>
      <c r="K50" s="981">
        <v>0.46</v>
      </c>
      <c r="L50" s="982">
        <f>K50-I50</f>
        <v>-7.4798319249999967E-2</v>
      </c>
      <c r="M50" s="982">
        <v>0.42</v>
      </c>
      <c r="N50" s="982">
        <f t="shared" ref="N50:N52" si="24">M50-K50</f>
        <v>-4.0000000000000036E-2</v>
      </c>
      <c r="O50" s="982">
        <v>0.36</v>
      </c>
      <c r="P50" s="999">
        <f t="shared" si="17"/>
        <v>-0.06</v>
      </c>
    </row>
    <row r="51" spans="2:16" ht="14.25" customHeight="1">
      <c r="B51" s="1333" t="s">
        <v>397</v>
      </c>
      <c r="C51" s="979" t="s">
        <v>395</v>
      </c>
      <c r="D51" s="980">
        <f t="shared" si="18"/>
        <v>0.74928322380000001</v>
      </c>
      <c r="E51" s="980">
        <f t="shared" si="18"/>
        <v>0.68142478695000008</v>
      </c>
      <c r="F51" s="980">
        <f t="shared" si="19"/>
        <v>-6.7858436849999926E-2</v>
      </c>
      <c r="G51" s="980">
        <f t="shared" si="20"/>
        <v>0.60356635010000004</v>
      </c>
      <c r="H51" s="980">
        <f t="shared" si="21"/>
        <v>-7.7858436850000046E-2</v>
      </c>
      <c r="I51" s="980">
        <f t="shared" si="22"/>
        <v>0.53570791325</v>
      </c>
      <c r="J51" s="980">
        <f t="shared" si="23"/>
        <v>-6.7858436850000037E-2</v>
      </c>
      <c r="K51" s="981">
        <v>0.48</v>
      </c>
      <c r="L51" s="982">
        <f t="shared" ref="L51:L52" si="25">K51-I51</f>
        <v>-5.5707913250000018E-2</v>
      </c>
      <c r="M51" s="982">
        <v>0.4271951864281216</v>
      </c>
      <c r="N51" s="982">
        <f t="shared" si="24"/>
        <v>-5.2804813571878384E-2</v>
      </c>
      <c r="O51" s="982">
        <v>0.37083639047115696</v>
      </c>
      <c r="P51" s="999">
        <f t="shared" si="17"/>
        <v>-5.6358795956964636E-2</v>
      </c>
    </row>
    <row r="52" spans="2:16" ht="14.25" customHeight="1">
      <c r="B52" s="1333"/>
      <c r="C52" s="979" t="s">
        <v>396</v>
      </c>
      <c r="D52" s="980">
        <f t="shared" si="18"/>
        <v>0.73521662580000002</v>
      </c>
      <c r="E52" s="980">
        <f t="shared" si="18"/>
        <v>0.64596022634999994</v>
      </c>
      <c r="F52" s="980">
        <f t="shared" si="19"/>
        <v>-8.9256399450000079E-2</v>
      </c>
      <c r="G52" s="980">
        <f>(G35+G9)/2</f>
        <v>0.56670382689999999</v>
      </c>
      <c r="H52" s="980">
        <f t="shared" si="21"/>
        <v>-7.9256399449999959E-2</v>
      </c>
      <c r="I52" s="980">
        <f>(I35+I9)/2</f>
        <v>0.49244742744999997</v>
      </c>
      <c r="J52" s="980">
        <f t="shared" si="23"/>
        <v>-7.425639945000001E-2</v>
      </c>
      <c r="K52" s="981">
        <v>0.42</v>
      </c>
      <c r="L52" s="982">
        <f t="shared" si="25"/>
        <v>-7.244742744999999E-2</v>
      </c>
      <c r="M52" s="982">
        <v>0.38066154682671915</v>
      </c>
      <c r="N52" s="982">
        <f t="shared" si="24"/>
        <v>-3.933845317328083E-2</v>
      </c>
      <c r="O52" s="982">
        <v>0.32256155582458629</v>
      </c>
      <c r="P52" s="999">
        <f t="shared" si="17"/>
        <v>-5.8099991002132867E-2</v>
      </c>
    </row>
    <row r="53" spans="2:16" ht="14.25" customHeight="1">
      <c r="B53" s="1334" t="s">
        <v>398</v>
      </c>
      <c r="C53" s="979" t="s">
        <v>399</v>
      </c>
      <c r="D53" s="980">
        <f t="shared" si="18"/>
        <v>0.73866523319999999</v>
      </c>
      <c r="E53" s="980">
        <f>(E36+E10)/2</f>
        <v>0.66268293369999998</v>
      </c>
      <c r="F53" s="980">
        <f t="shared" si="19"/>
        <v>-7.5982299500000017E-2</v>
      </c>
      <c r="G53" s="980">
        <f t="shared" si="20"/>
        <v>0.57670063420000006</v>
      </c>
      <c r="H53" s="980">
        <f t="shared" si="21"/>
        <v>-8.5982299499999915E-2</v>
      </c>
      <c r="I53" s="980">
        <f t="shared" si="22"/>
        <v>0.51071833469999994</v>
      </c>
      <c r="J53" s="980">
        <f t="shared" si="23"/>
        <v>-6.5982299500000119E-2</v>
      </c>
      <c r="K53" s="981">
        <v>0.43947207064755306</v>
      </c>
      <c r="L53" s="981">
        <v>-5.2721328512380539E-2</v>
      </c>
      <c r="M53" s="981">
        <v>0.39096362891522385</v>
      </c>
      <c r="N53" s="981">
        <v>-4.8508441732329211E-2</v>
      </c>
      <c r="O53" s="981">
        <v>0.34723891655618083</v>
      </c>
      <c r="P53" s="1000">
        <v>-4.3724712359043016E-2</v>
      </c>
    </row>
    <row r="54" spans="2:16" ht="14.25" customHeight="1">
      <c r="B54" s="1334"/>
      <c r="C54" s="979" t="s">
        <v>400</v>
      </c>
      <c r="D54" s="980">
        <f t="shared" si="18"/>
        <v>0.73320198865000008</v>
      </c>
      <c r="E54" s="980">
        <f t="shared" si="18"/>
        <v>0.63892120234999994</v>
      </c>
      <c r="F54" s="980">
        <f t="shared" si="19"/>
        <v>-9.4280786300000141E-2</v>
      </c>
      <c r="G54" s="980">
        <f t="shared" si="20"/>
        <v>0.55964041604999992</v>
      </c>
      <c r="H54" s="980">
        <f t="shared" si="21"/>
        <v>-7.9280786300000017E-2</v>
      </c>
      <c r="I54" s="980">
        <f t="shared" si="22"/>
        <v>0.48535962975000002</v>
      </c>
      <c r="J54" s="980">
        <f t="shared" si="23"/>
        <v>-7.4280786299999901E-2</v>
      </c>
      <c r="K54" s="981">
        <v>0.4121576869216495</v>
      </c>
      <c r="L54" s="981">
        <v>-4.7842313078350518E-2</v>
      </c>
      <c r="M54" s="981">
        <v>0.38280488404837432</v>
      </c>
      <c r="N54" s="981">
        <v>-2.9352802873275186E-2</v>
      </c>
      <c r="O54" s="981">
        <v>0.30073106980323477</v>
      </c>
      <c r="P54" s="1000">
        <v>-8.2073814245139542E-2</v>
      </c>
    </row>
    <row r="55" spans="2:16" ht="14.25" customHeight="1">
      <c r="B55" s="1334" t="s">
        <v>401</v>
      </c>
      <c r="C55" s="979" t="s">
        <v>399</v>
      </c>
      <c r="D55" s="980">
        <f t="shared" si="18"/>
        <v>0.75412092409999998</v>
      </c>
      <c r="E55" s="980">
        <f t="shared" si="18"/>
        <v>0.69059069305000009</v>
      </c>
      <c r="F55" s="980">
        <f t="shared" si="19"/>
        <v>-6.3530231049999886E-2</v>
      </c>
      <c r="G55" s="980">
        <f t="shared" si="20"/>
        <v>0.62706046199999999</v>
      </c>
      <c r="H55" s="980">
        <f t="shared" si="21"/>
        <v>-6.3530231050000108E-2</v>
      </c>
      <c r="I55" s="980">
        <f t="shared" si="22"/>
        <v>0.58834097775920835</v>
      </c>
      <c r="J55" s="980">
        <f t="shared" si="23"/>
        <v>-3.8719484240791635E-2</v>
      </c>
      <c r="K55" s="981">
        <v>0.5</v>
      </c>
      <c r="L55" s="981">
        <v>-9.9621493618416768E-2</v>
      </c>
      <c r="M55" s="981">
        <v>0.48</v>
      </c>
      <c r="N55" s="981">
        <v>-2.0000000000000018E-2</v>
      </c>
      <c r="O55" s="981">
        <v>0.37659150786639212</v>
      </c>
      <c r="P55" s="1000">
        <v>-0.10340849213360787</v>
      </c>
    </row>
    <row r="56" spans="2:16" ht="14.25" customHeight="1">
      <c r="B56" s="1333"/>
      <c r="C56" s="979" t="s">
        <v>400</v>
      </c>
      <c r="D56" s="980">
        <f t="shared" si="18"/>
        <v>0.80696941754999996</v>
      </c>
      <c r="E56" s="980">
        <f t="shared" si="18"/>
        <v>0.72847001077364448</v>
      </c>
      <c r="F56" s="980">
        <f t="shared" si="19"/>
        <v>-7.8499406776355474E-2</v>
      </c>
      <c r="G56" s="980">
        <f t="shared" si="20"/>
        <v>0.63405190022954883</v>
      </c>
      <c r="H56" s="980">
        <f t="shared" si="21"/>
        <v>-9.4418110544095657E-2</v>
      </c>
      <c r="I56" s="980">
        <f t="shared" si="22"/>
        <v>0.58924235435000005</v>
      </c>
      <c r="J56" s="980">
        <f t="shared" si="23"/>
        <v>-4.4809545879548773E-2</v>
      </c>
      <c r="K56" s="981">
        <v>0.5</v>
      </c>
      <c r="L56" s="981">
        <v>-9.9999999999999978E-2</v>
      </c>
      <c r="M56" s="981">
        <v>0.48</v>
      </c>
      <c r="N56" s="981">
        <v>-2.0000000000000018E-2</v>
      </c>
      <c r="O56" s="981">
        <v>0.45924539631388245</v>
      </c>
      <c r="P56" s="1000">
        <v>-2.0754603686117534E-2</v>
      </c>
    </row>
    <row r="57" spans="2:16" ht="22.5" customHeight="1" thickBot="1">
      <c r="B57" s="1001" t="s">
        <v>402</v>
      </c>
      <c r="C57" s="1002" t="s">
        <v>399</v>
      </c>
      <c r="D57" s="1003">
        <f t="shared" si="18"/>
        <v>0.65851166530000005</v>
      </c>
      <c r="E57" s="1003">
        <f t="shared" si="18"/>
        <v>0.58138374895</v>
      </c>
      <c r="F57" s="1003">
        <f t="shared" si="19"/>
        <v>-7.7127916350000048E-2</v>
      </c>
      <c r="G57" s="1003">
        <f t="shared" si="20"/>
        <v>0.50425583259999995</v>
      </c>
      <c r="H57" s="1003">
        <f t="shared" si="21"/>
        <v>-7.7127916350000048E-2</v>
      </c>
      <c r="I57" s="1003">
        <f t="shared" si="22"/>
        <v>0.42712791625000002</v>
      </c>
      <c r="J57" s="1003">
        <f t="shared" si="23"/>
        <v>-7.7127916349999937E-2</v>
      </c>
      <c r="K57" s="1004">
        <v>0.35</v>
      </c>
      <c r="L57" s="1004">
        <v>-5.0000000000000044E-2</v>
      </c>
      <c r="M57" s="1004">
        <v>0.3</v>
      </c>
      <c r="N57" s="1004">
        <v>-4.9999999999999989E-2</v>
      </c>
      <c r="O57" s="1004">
        <v>0.25</v>
      </c>
      <c r="P57" s="1005">
        <v>-4.9999999999999989E-2</v>
      </c>
    </row>
    <row r="58" spans="2:16" ht="12.75" thickTop="1"/>
  </sheetData>
  <mergeCells count="16">
    <mergeCell ref="B21:B22"/>
    <mergeCell ref="B6:B7"/>
    <mergeCell ref="B8:B9"/>
    <mergeCell ref="B10:B11"/>
    <mergeCell ref="B12:B13"/>
    <mergeCell ref="B19:B20"/>
    <mergeCell ref="B49:B50"/>
    <mergeCell ref="B51:B52"/>
    <mergeCell ref="B53:B54"/>
    <mergeCell ref="B55:B56"/>
    <mergeCell ref="B23:B24"/>
    <mergeCell ref="B25:B26"/>
    <mergeCell ref="B32:B33"/>
    <mergeCell ref="B34:B35"/>
    <mergeCell ref="B36:B37"/>
    <mergeCell ref="B38:B39"/>
  </mergeCells>
  <phoneticPr fontId="69"/>
  <pageMargins left="0.7" right="0.7" top="0.75" bottom="0.75" header="0.3" footer="0.3"/>
  <pageSetup paperSize="9" scale="5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T58"/>
  <sheetViews>
    <sheetView zoomScale="70" zoomScaleNormal="70" workbookViewId="0">
      <selection activeCell="B9" sqref="B9:B13"/>
    </sheetView>
  </sheetViews>
  <sheetFormatPr defaultColWidth="9" defaultRowHeight="12" outlineLevelCol="1"/>
  <cols>
    <col min="1" max="1" width="3.42578125" style="790" customWidth="1"/>
    <col min="2" max="2" width="19.85546875" style="790" bestFit="1" customWidth="1"/>
    <col min="3" max="4" width="13.5703125" style="790" customWidth="1"/>
    <col min="5" max="5" width="13.5703125" style="790" customWidth="1" outlineLevel="1"/>
    <col min="6" max="7" width="13.5703125" style="790" customWidth="1"/>
    <col min="8" max="9" width="14.42578125" style="790" customWidth="1"/>
    <col min="10" max="10" width="11.7109375" style="790" bestFit="1" customWidth="1"/>
    <col min="11" max="14" width="10" style="790" customWidth="1"/>
    <col min="15" max="20" width="15.140625" style="790" customWidth="1"/>
    <col min="21" max="16384" width="9" style="790"/>
  </cols>
  <sheetData>
    <row r="1" spans="1:20" ht="15.75">
      <c r="A1" s="1006" t="s">
        <v>420</v>
      </c>
    </row>
    <row r="3" spans="1:20" s="1007" customFormat="1" ht="28.5" customHeight="1">
      <c r="B3" s="1008" t="s">
        <v>421</v>
      </c>
      <c r="C3" s="1009" t="s">
        <v>422</v>
      </c>
      <c r="D3" s="1009" t="s">
        <v>423</v>
      </c>
      <c r="E3" s="1009" t="s">
        <v>424</v>
      </c>
      <c r="F3" s="1009" t="s">
        <v>261</v>
      </c>
      <c r="G3" s="1009" t="s">
        <v>425</v>
      </c>
      <c r="H3" s="1009" t="s">
        <v>426</v>
      </c>
      <c r="I3" s="1009" t="s">
        <v>5</v>
      </c>
      <c r="J3" s="1009" t="s">
        <v>427</v>
      </c>
      <c r="K3" s="1009" t="s">
        <v>71</v>
      </c>
      <c r="L3" s="1009" t="s">
        <v>428</v>
      </c>
      <c r="M3" s="1009" t="s">
        <v>429</v>
      </c>
      <c r="N3" s="1010" t="s">
        <v>430</v>
      </c>
      <c r="O3" s="1010" t="s">
        <v>431</v>
      </c>
      <c r="P3" s="1009" t="s">
        <v>432</v>
      </c>
      <c r="Q3" s="1009" t="s">
        <v>433</v>
      </c>
      <c r="R3" s="1009" t="s">
        <v>434</v>
      </c>
      <c r="S3" s="1009" t="s">
        <v>435</v>
      </c>
      <c r="T3" s="1011" t="s">
        <v>436</v>
      </c>
    </row>
    <row r="4" spans="1:20" ht="14.25" customHeight="1">
      <c r="B4" s="1337" t="s">
        <v>437</v>
      </c>
      <c r="C4" s="1343">
        <v>202300000</v>
      </c>
      <c r="D4" s="1343">
        <v>12000000</v>
      </c>
      <c r="E4" s="1343">
        <f>C4-D4</f>
        <v>190300000</v>
      </c>
      <c r="F4" s="1012">
        <v>12</v>
      </c>
      <c r="G4" s="1012"/>
      <c r="H4" s="1013">
        <v>0.151</v>
      </c>
      <c r="I4" s="1013">
        <v>9.7299999999999998E-2</v>
      </c>
      <c r="J4" s="1014">
        <f>G4/$C$4</f>
        <v>0</v>
      </c>
      <c r="K4" s="1012"/>
      <c r="L4" s="1015">
        <v>0.66</v>
      </c>
      <c r="M4" s="1015">
        <f>'Special RV'!D35</f>
        <v>0.81043325160000002</v>
      </c>
      <c r="N4" s="1015">
        <f>ROUND(AVERAGE(L4:M4),2)</f>
        <v>0.74</v>
      </c>
      <c r="O4" s="1014">
        <f>N4*C4</f>
        <v>149702000</v>
      </c>
      <c r="P4" s="1016">
        <f>SUM(C34:C38)</f>
        <v>5647000</v>
      </c>
      <c r="Q4" s="1017">
        <f>ROUNDUP(1.6%*C4,-3)</f>
        <v>3237000</v>
      </c>
      <c r="R4" s="1017">
        <f>ROUNDUP(1.9%*C4,-3)</f>
        <v>3844000</v>
      </c>
      <c r="S4" s="1018">
        <f>357000*F4</f>
        <v>4284000</v>
      </c>
      <c r="T4" s="1012"/>
    </row>
    <row r="5" spans="1:20" ht="14.25" customHeight="1">
      <c r="B5" s="1338"/>
      <c r="C5" s="1344"/>
      <c r="D5" s="1344"/>
      <c r="E5" s="1344"/>
      <c r="F5" s="1019">
        <v>24</v>
      </c>
      <c r="G5" s="1019"/>
      <c r="H5" s="1020">
        <v>0.14499999999999999</v>
      </c>
      <c r="I5" s="1020">
        <v>9.9500000000000005E-2</v>
      </c>
      <c r="J5" s="1021">
        <f>G5/$C$4</f>
        <v>0</v>
      </c>
      <c r="K5" s="1019"/>
      <c r="L5" s="1022">
        <v>0.57999999999999996</v>
      </c>
      <c r="M5" s="1022">
        <f>'Special RV'!E35</f>
        <v>0.71192045270000004</v>
      </c>
      <c r="N5" s="1022">
        <f t="shared" ref="N5:N28" si="0">ROUND(AVERAGE(L5:M5),2)</f>
        <v>0.65</v>
      </c>
      <c r="O5" s="1021">
        <f>N5*C4</f>
        <v>131495000</v>
      </c>
      <c r="P5" s="1023">
        <f>SUM(D34:D38)</f>
        <v>10538000</v>
      </c>
      <c r="Q5" s="1024">
        <f>Q4*2</f>
        <v>6474000</v>
      </c>
      <c r="R5" s="1024">
        <f>R4*2</f>
        <v>7688000</v>
      </c>
      <c r="S5" s="1025">
        <f t="shared" ref="S5:S8" si="1">357000*F5</f>
        <v>8568000</v>
      </c>
      <c r="T5" s="1019"/>
    </row>
    <row r="6" spans="1:20" ht="14.25" customHeight="1">
      <c r="B6" s="1338"/>
      <c r="C6" s="1344"/>
      <c r="D6" s="1344"/>
      <c r="E6" s="1344"/>
      <c r="F6" s="1019">
        <v>36</v>
      </c>
      <c r="G6" s="1019"/>
      <c r="H6" s="1020">
        <v>0.14399999999999999</v>
      </c>
      <c r="I6" s="1020">
        <v>9.9699999999999997E-2</v>
      </c>
      <c r="J6" s="1021">
        <f>G6/$C$4</f>
        <v>0</v>
      </c>
      <c r="K6" s="1019"/>
      <c r="L6" s="1022">
        <v>0.52</v>
      </c>
      <c r="M6" s="1022">
        <f>'Special RV'!G35</f>
        <v>0.61340765379999995</v>
      </c>
      <c r="N6" s="1022">
        <f t="shared" si="0"/>
        <v>0.56999999999999995</v>
      </c>
      <c r="O6" s="1021">
        <f>N6*C4</f>
        <v>115310999.99999999</v>
      </c>
      <c r="P6" s="1023">
        <f>SUM(E34:E38)</f>
        <v>14970000</v>
      </c>
      <c r="Q6" s="1024">
        <f>Q4*3</f>
        <v>9711000</v>
      </c>
      <c r="R6" s="1024">
        <f>R4*3</f>
        <v>11532000</v>
      </c>
      <c r="S6" s="1025">
        <f t="shared" si="1"/>
        <v>12852000</v>
      </c>
      <c r="T6" s="1019"/>
    </row>
    <row r="7" spans="1:20" ht="14.25" customHeight="1">
      <c r="B7" s="1338"/>
      <c r="C7" s="1344"/>
      <c r="D7" s="1344"/>
      <c r="E7" s="1344"/>
      <c r="F7" s="1019">
        <v>48</v>
      </c>
      <c r="G7" s="1019"/>
      <c r="H7" s="1020">
        <v>0.14399999999999999</v>
      </c>
      <c r="I7" s="1020">
        <v>9.9400000000000002E-2</v>
      </c>
      <c r="J7" s="1021">
        <f>G7/$C$4</f>
        <v>0</v>
      </c>
      <c r="K7" s="1019"/>
      <c r="L7" s="1022">
        <v>0.47</v>
      </c>
      <c r="M7" s="1022">
        <f>'Special RV'!I35</f>
        <v>0.51489485489999998</v>
      </c>
      <c r="N7" s="1022">
        <f t="shared" si="0"/>
        <v>0.49</v>
      </c>
      <c r="O7" s="1021">
        <f>N7*C4</f>
        <v>99127000</v>
      </c>
      <c r="P7" s="1023">
        <f>SUM(F34:F38)</f>
        <v>19755000</v>
      </c>
      <c r="Q7" s="1026">
        <f>Q4*4</f>
        <v>12948000</v>
      </c>
      <c r="R7" s="1026">
        <f>R4*4</f>
        <v>15376000</v>
      </c>
      <c r="S7" s="1025">
        <f t="shared" si="1"/>
        <v>17136000</v>
      </c>
      <c r="T7" s="1019"/>
    </row>
    <row r="8" spans="1:20" ht="14.25" customHeight="1">
      <c r="B8" s="1339"/>
      <c r="C8" s="1345"/>
      <c r="D8" s="1345"/>
      <c r="E8" s="1345"/>
      <c r="F8" s="1027">
        <v>60</v>
      </c>
      <c r="G8" s="1027"/>
      <c r="H8" s="1028">
        <v>0.14299999999999999</v>
      </c>
      <c r="I8" s="1028">
        <v>9.9199999999999997E-2</v>
      </c>
      <c r="J8" s="1029">
        <f>G8/$C$4</f>
        <v>0</v>
      </c>
      <c r="K8" s="1027"/>
      <c r="L8" s="1030">
        <v>0.42</v>
      </c>
      <c r="M8" s="1030">
        <f>L8</f>
        <v>0.42</v>
      </c>
      <c r="N8" s="1030">
        <f t="shared" si="0"/>
        <v>0.42</v>
      </c>
      <c r="O8" s="1029">
        <f>N8*C4</f>
        <v>84966000</v>
      </c>
      <c r="P8" s="1031">
        <f>SUM(G34:G38)</f>
        <v>24191000</v>
      </c>
      <c r="Q8" s="1032">
        <f>Q4*5</f>
        <v>16185000</v>
      </c>
      <c r="R8" s="1032">
        <f>R4*5</f>
        <v>19220000</v>
      </c>
      <c r="S8" s="1033">
        <f t="shared" si="1"/>
        <v>21420000</v>
      </c>
      <c r="T8" s="1027"/>
    </row>
    <row r="9" spans="1:20" ht="14.25" customHeight="1">
      <c r="B9" s="1340" t="s">
        <v>438</v>
      </c>
      <c r="C9" s="1347">
        <v>191100000</v>
      </c>
      <c r="D9" s="1347">
        <v>12000000</v>
      </c>
      <c r="E9" s="1347">
        <f>C9-D9</f>
        <v>179100000</v>
      </c>
      <c r="F9" s="1034">
        <v>12</v>
      </c>
      <c r="G9" s="1034"/>
      <c r="H9" s="1035">
        <v>0.151</v>
      </c>
      <c r="I9" s="1035">
        <v>9.7299999999999998E-2</v>
      </c>
      <c r="J9" s="1036">
        <f>G9/$C$9</f>
        <v>0</v>
      </c>
      <c r="K9" s="1034"/>
      <c r="L9" s="1037">
        <v>0.68</v>
      </c>
      <c r="M9" s="1037">
        <f>'Special RV'!D34</f>
        <v>0.81856644759999997</v>
      </c>
      <c r="N9" s="1037">
        <f t="shared" si="0"/>
        <v>0.75</v>
      </c>
      <c r="O9" s="1036">
        <f>N9*C9</f>
        <v>143325000</v>
      </c>
      <c r="P9" s="1038">
        <f>SUM(C39:C43)</f>
        <v>6117000</v>
      </c>
      <c r="Q9" s="1039">
        <f>ROUNDUP(1.6%*C9,-3)</f>
        <v>3058000</v>
      </c>
      <c r="R9" s="1039">
        <f>ROUNDUP(1.9%*C9,-3)</f>
        <v>3631000</v>
      </c>
      <c r="S9" s="1040">
        <f>305000*F9</f>
        <v>3660000</v>
      </c>
      <c r="T9" s="1034"/>
    </row>
    <row r="10" spans="1:20" ht="14.25" customHeight="1">
      <c r="B10" s="1341"/>
      <c r="C10" s="1348"/>
      <c r="D10" s="1348"/>
      <c r="E10" s="1348"/>
      <c r="F10" s="1041">
        <v>24</v>
      </c>
      <c r="G10" s="1041"/>
      <c r="H10" s="1042">
        <v>0.14499999999999999</v>
      </c>
      <c r="I10" s="1042">
        <v>9.9500000000000005E-2</v>
      </c>
      <c r="J10" s="1043">
        <f>G10/$C$9</f>
        <v>0</v>
      </c>
      <c r="K10" s="1041"/>
      <c r="L10" s="1044">
        <v>0.63</v>
      </c>
      <c r="M10" s="1044">
        <f>'Special RV'!E34</f>
        <v>0.73284957390000005</v>
      </c>
      <c r="N10" s="1044">
        <f t="shared" si="0"/>
        <v>0.68</v>
      </c>
      <c r="O10" s="1043">
        <f>N10*C9</f>
        <v>129948000.00000001</v>
      </c>
      <c r="P10" s="1045">
        <f>SUM(D39:D43)</f>
        <v>10771000</v>
      </c>
      <c r="Q10" s="1046">
        <f>Q9*2</f>
        <v>6116000</v>
      </c>
      <c r="R10" s="1046">
        <f>R9*2</f>
        <v>7262000</v>
      </c>
      <c r="S10" s="1047">
        <f t="shared" ref="S10:S13" si="2">305000*F10</f>
        <v>7320000</v>
      </c>
      <c r="T10" s="1041"/>
    </row>
    <row r="11" spans="1:20" ht="14.25" customHeight="1">
      <c r="B11" s="1341"/>
      <c r="C11" s="1348"/>
      <c r="D11" s="1348"/>
      <c r="E11" s="1348"/>
      <c r="F11" s="1041">
        <v>36</v>
      </c>
      <c r="G11" s="1041"/>
      <c r="H11" s="1042">
        <v>0.14399999999999999</v>
      </c>
      <c r="I11" s="1042">
        <v>9.9699999999999997E-2</v>
      </c>
      <c r="J11" s="1043">
        <f>G11/$C$9</f>
        <v>0</v>
      </c>
      <c r="K11" s="1041"/>
      <c r="L11" s="1044">
        <v>0.56000000000000005</v>
      </c>
      <c r="M11" s="1044">
        <f>'Special RV'!G34</f>
        <v>0.64713270020000002</v>
      </c>
      <c r="N11" s="1044">
        <f>ROUND(AVERAGE(L11:M11),2)</f>
        <v>0.6</v>
      </c>
      <c r="O11" s="1043">
        <f>N11*C9</f>
        <v>114660000</v>
      </c>
      <c r="P11" s="1045">
        <f>SUM(E39:E43)</f>
        <v>14991000</v>
      </c>
      <c r="Q11" s="1046">
        <f>Q9*3</f>
        <v>9174000</v>
      </c>
      <c r="R11" s="1046">
        <f>R9*3</f>
        <v>10893000</v>
      </c>
      <c r="S11" s="1047">
        <f t="shared" si="2"/>
        <v>10980000</v>
      </c>
      <c r="T11" s="1041"/>
    </row>
    <row r="12" spans="1:20" ht="14.25" customHeight="1">
      <c r="B12" s="1341"/>
      <c r="C12" s="1348"/>
      <c r="D12" s="1348"/>
      <c r="E12" s="1348"/>
      <c r="F12" s="1041">
        <v>48</v>
      </c>
      <c r="G12" s="1041"/>
      <c r="H12" s="1042">
        <v>0.14399999999999999</v>
      </c>
      <c r="I12" s="1042">
        <v>9.9400000000000002E-2</v>
      </c>
      <c r="J12" s="1043">
        <f>G12/$C$9</f>
        <v>0</v>
      </c>
      <c r="K12" s="1041"/>
      <c r="L12" s="1044">
        <v>0.51</v>
      </c>
      <c r="M12" s="1044">
        <f>'Special RV'!I34</f>
        <v>0.56141582649999999</v>
      </c>
      <c r="N12" s="1044">
        <f t="shared" si="0"/>
        <v>0.54</v>
      </c>
      <c r="O12" s="1043">
        <f>N12*C9</f>
        <v>103194000</v>
      </c>
      <c r="P12" s="1045">
        <f>SUM(F39:F43)</f>
        <v>19546000</v>
      </c>
      <c r="Q12" s="1048">
        <f>Q9*4</f>
        <v>12232000</v>
      </c>
      <c r="R12" s="1048">
        <f>R9*4</f>
        <v>14524000</v>
      </c>
      <c r="S12" s="1047">
        <f t="shared" si="2"/>
        <v>14640000</v>
      </c>
      <c r="T12" s="1041"/>
    </row>
    <row r="13" spans="1:20" ht="14.25" customHeight="1">
      <c r="B13" s="1342"/>
      <c r="C13" s="1349"/>
      <c r="D13" s="1349"/>
      <c r="E13" s="1349"/>
      <c r="F13" s="1049">
        <v>60</v>
      </c>
      <c r="G13" s="1049"/>
      <c r="H13" s="1050">
        <v>0.14299999999999999</v>
      </c>
      <c r="I13" s="1050">
        <v>9.9199999999999997E-2</v>
      </c>
      <c r="J13" s="1051">
        <f>G13/$C$9</f>
        <v>0</v>
      </c>
      <c r="K13" s="1049"/>
      <c r="L13" s="1052">
        <v>0.48</v>
      </c>
      <c r="M13" s="1052">
        <f>L13</f>
        <v>0.48</v>
      </c>
      <c r="N13" s="1052">
        <f t="shared" si="0"/>
        <v>0.48</v>
      </c>
      <c r="O13" s="1051">
        <f>N13*C9</f>
        <v>91728000</v>
      </c>
      <c r="P13" s="1053">
        <f>SUM(G39:G43)</f>
        <v>23770000</v>
      </c>
      <c r="Q13" s="1054">
        <f>Q9*5</f>
        <v>15290000</v>
      </c>
      <c r="R13" s="1054">
        <f>R9*5</f>
        <v>18155000</v>
      </c>
      <c r="S13" s="1055">
        <f t="shared" si="2"/>
        <v>18300000</v>
      </c>
      <c r="T13" s="1049"/>
    </row>
    <row r="14" spans="1:20" ht="14.25" customHeight="1">
      <c r="B14" s="1337" t="s">
        <v>439</v>
      </c>
      <c r="C14" s="1343">
        <v>219650000</v>
      </c>
      <c r="D14" s="1343">
        <v>12000000</v>
      </c>
      <c r="E14" s="1343">
        <f>C14-D14</f>
        <v>207650000</v>
      </c>
      <c r="F14" s="1012">
        <v>12</v>
      </c>
      <c r="G14" s="1012"/>
      <c r="H14" s="1013">
        <v>0.151</v>
      </c>
      <c r="I14" s="1013">
        <v>9.7299999999999998E-2</v>
      </c>
      <c r="J14" s="1014">
        <f>G14/$C$14</f>
        <v>0</v>
      </c>
      <c r="K14" s="1012"/>
      <c r="L14" s="1015">
        <v>0.66</v>
      </c>
      <c r="M14" s="1056">
        <f>M4</f>
        <v>0.81043325160000002</v>
      </c>
      <c r="N14" s="1056">
        <f t="shared" si="0"/>
        <v>0.74</v>
      </c>
      <c r="O14" s="1014">
        <f>N14*C14</f>
        <v>162541000</v>
      </c>
      <c r="P14" s="1016">
        <f>SUM(C44:C48)</f>
        <v>6073728.0657534245</v>
      </c>
      <c r="Q14" s="1017">
        <f>ROUNDUP(1.6%*C14,-3)</f>
        <v>3515000</v>
      </c>
      <c r="R14" s="1017">
        <f>ROUNDUP(1.9%*C14,-3)</f>
        <v>4174000</v>
      </c>
      <c r="S14" s="1018">
        <f>357000*F14</f>
        <v>4284000</v>
      </c>
      <c r="T14" s="1012"/>
    </row>
    <row r="15" spans="1:20" ht="14.25" customHeight="1">
      <c r="B15" s="1338"/>
      <c r="C15" s="1344"/>
      <c r="D15" s="1344"/>
      <c r="E15" s="1344"/>
      <c r="F15" s="1019">
        <v>24</v>
      </c>
      <c r="G15" s="1019"/>
      <c r="H15" s="1020">
        <v>0.14499999999999999</v>
      </c>
      <c r="I15" s="1020">
        <v>9.9500000000000005E-2</v>
      </c>
      <c r="J15" s="1021">
        <f>G15/$C$14</f>
        <v>0</v>
      </c>
      <c r="K15" s="1019"/>
      <c r="L15" s="1022">
        <v>0.57999999999999996</v>
      </c>
      <c r="M15" s="1056">
        <f t="shared" ref="M15:M18" si="3">M5</f>
        <v>0.71192045270000004</v>
      </c>
      <c r="N15" s="1022">
        <f t="shared" si="0"/>
        <v>0.65</v>
      </c>
      <c r="O15" s="1021">
        <f>N15*C14</f>
        <v>142772500</v>
      </c>
      <c r="P15" s="1023">
        <f>SUM(D44:D48)</f>
        <v>11332000</v>
      </c>
      <c r="Q15" s="1024">
        <f>Q14*2</f>
        <v>7030000</v>
      </c>
      <c r="R15" s="1024">
        <f>R14*2</f>
        <v>8348000</v>
      </c>
      <c r="S15" s="1025">
        <f t="shared" ref="S15:S18" si="4">357000*F15</f>
        <v>8568000</v>
      </c>
      <c r="T15" s="1019"/>
    </row>
    <row r="16" spans="1:20" ht="14.25" customHeight="1">
      <c r="B16" s="1338"/>
      <c r="C16" s="1344"/>
      <c r="D16" s="1344"/>
      <c r="E16" s="1344"/>
      <c r="F16" s="1019">
        <v>36</v>
      </c>
      <c r="G16" s="1019"/>
      <c r="H16" s="1020">
        <v>0.14399999999999999</v>
      </c>
      <c r="I16" s="1020">
        <v>9.9699999999999997E-2</v>
      </c>
      <c r="J16" s="1021">
        <f>G16/$C$14</f>
        <v>0</v>
      </c>
      <c r="K16" s="1019"/>
      <c r="L16" s="1022">
        <v>0.52</v>
      </c>
      <c r="M16" s="1056">
        <f t="shared" si="3"/>
        <v>0.61340765379999995</v>
      </c>
      <c r="N16" s="1022">
        <f t="shared" si="0"/>
        <v>0.56999999999999995</v>
      </c>
      <c r="O16" s="1021">
        <f>N16*C14</f>
        <v>125200499.99999999</v>
      </c>
      <c r="P16" s="1023">
        <f>SUM(E44:E48)</f>
        <v>16003000</v>
      </c>
      <c r="Q16" s="1024">
        <f>Q14*3</f>
        <v>10545000</v>
      </c>
      <c r="R16" s="1024">
        <f>R14*3</f>
        <v>12522000</v>
      </c>
      <c r="S16" s="1025">
        <f t="shared" si="4"/>
        <v>12852000</v>
      </c>
      <c r="T16" s="1019"/>
    </row>
    <row r="17" spans="2:20" ht="14.25" customHeight="1">
      <c r="B17" s="1338"/>
      <c r="C17" s="1344"/>
      <c r="D17" s="1344"/>
      <c r="E17" s="1344"/>
      <c r="F17" s="1019">
        <v>48</v>
      </c>
      <c r="G17" s="1019"/>
      <c r="H17" s="1020">
        <v>0.14399999999999999</v>
      </c>
      <c r="I17" s="1020">
        <v>9.9400000000000002E-2</v>
      </c>
      <c r="J17" s="1021">
        <f>G17/$C$14</f>
        <v>0</v>
      </c>
      <c r="K17" s="1019"/>
      <c r="L17" s="1022">
        <v>0.47</v>
      </c>
      <c r="M17" s="1056">
        <f t="shared" si="3"/>
        <v>0.51489485489999998</v>
      </c>
      <c r="N17" s="1022">
        <f t="shared" si="0"/>
        <v>0.49</v>
      </c>
      <c r="O17" s="1021">
        <f>N17*C14</f>
        <v>107628500</v>
      </c>
      <c r="P17" s="1023">
        <f>SUM(F44:F48)</f>
        <v>20194000</v>
      </c>
      <c r="Q17" s="1026">
        <f>Q14*4</f>
        <v>14060000</v>
      </c>
      <c r="R17" s="1026">
        <f>R14*4</f>
        <v>16696000</v>
      </c>
      <c r="S17" s="1025">
        <f t="shared" si="4"/>
        <v>17136000</v>
      </c>
      <c r="T17" s="1019"/>
    </row>
    <row r="18" spans="2:20" ht="14.25" customHeight="1">
      <c r="B18" s="1339"/>
      <c r="C18" s="1345"/>
      <c r="D18" s="1345"/>
      <c r="E18" s="1345"/>
      <c r="F18" s="1027">
        <v>60</v>
      </c>
      <c r="G18" s="1027"/>
      <c r="H18" s="1028">
        <v>0.14299999999999999</v>
      </c>
      <c r="I18" s="1028">
        <v>9.9199999999999997E-2</v>
      </c>
      <c r="J18" s="1029">
        <f>G18/$C$14</f>
        <v>0</v>
      </c>
      <c r="K18" s="1027"/>
      <c r="L18" s="1030">
        <v>0.42</v>
      </c>
      <c r="M18" s="1057">
        <f t="shared" si="3"/>
        <v>0.42</v>
      </c>
      <c r="N18" s="1030">
        <f t="shared" si="0"/>
        <v>0.42</v>
      </c>
      <c r="O18" s="1029">
        <f>N18*C14</f>
        <v>92253000</v>
      </c>
      <c r="P18" s="1031">
        <f>SUM(G44:G48)</f>
        <v>24956000</v>
      </c>
      <c r="Q18" s="1032">
        <f>Q14*5</f>
        <v>17575000</v>
      </c>
      <c r="R18" s="1032">
        <f>R14*5</f>
        <v>20870000</v>
      </c>
      <c r="S18" s="1033">
        <f t="shared" si="4"/>
        <v>21420000</v>
      </c>
      <c r="T18" s="1027"/>
    </row>
    <row r="19" spans="2:20" ht="14.25" customHeight="1">
      <c r="B19" s="1340" t="s">
        <v>440</v>
      </c>
      <c r="C19" s="1347">
        <v>208950000</v>
      </c>
      <c r="D19" s="1347">
        <v>12000000</v>
      </c>
      <c r="E19" s="1347">
        <f>C19-D19</f>
        <v>196950000</v>
      </c>
      <c r="F19" s="1034">
        <v>12</v>
      </c>
      <c r="G19" s="1034"/>
      <c r="H19" s="1035">
        <v>0.151</v>
      </c>
      <c r="I19" s="1035">
        <v>9.7299999999999998E-2</v>
      </c>
      <c r="J19" s="1036">
        <f>G19/$C$19</f>
        <v>0</v>
      </c>
      <c r="K19" s="1034"/>
      <c r="L19" s="1037">
        <v>0.68</v>
      </c>
      <c r="M19" s="1037">
        <f>M9</f>
        <v>0.81856644759999997</v>
      </c>
      <c r="N19" s="1037">
        <f t="shared" si="0"/>
        <v>0.75</v>
      </c>
      <c r="O19" s="1036">
        <f>N19*C19</f>
        <v>156712500</v>
      </c>
      <c r="P19" s="1038">
        <f>SUM(C49:C53)</f>
        <v>5811000</v>
      </c>
      <c r="Q19" s="1039">
        <f>ROUNDUP(1.6%*C19,-3)</f>
        <v>3344000</v>
      </c>
      <c r="R19" s="1039">
        <f>ROUNDUP(1.9%*C19,-3)</f>
        <v>3971000</v>
      </c>
      <c r="S19" s="1040">
        <f>305000*F19</f>
        <v>3660000</v>
      </c>
      <c r="T19" s="1034"/>
    </row>
    <row r="20" spans="2:20" ht="14.25" customHeight="1">
      <c r="B20" s="1341"/>
      <c r="C20" s="1348"/>
      <c r="D20" s="1348"/>
      <c r="E20" s="1348"/>
      <c r="F20" s="1041">
        <v>24</v>
      </c>
      <c r="G20" s="1041"/>
      <c r="H20" s="1042">
        <v>0.14499999999999999</v>
      </c>
      <c r="I20" s="1042">
        <v>9.9500000000000005E-2</v>
      </c>
      <c r="J20" s="1043">
        <f>G20/$C$19</f>
        <v>0</v>
      </c>
      <c r="K20" s="1041"/>
      <c r="L20" s="1044">
        <v>0.63</v>
      </c>
      <c r="M20" s="1044">
        <f t="shared" ref="M20:M23" si="5">M10</f>
        <v>0.73284957390000005</v>
      </c>
      <c r="N20" s="1044">
        <f t="shared" si="0"/>
        <v>0.68</v>
      </c>
      <c r="O20" s="1043">
        <f>N20*C19</f>
        <v>142086000</v>
      </c>
      <c r="P20" s="1045">
        <f>SUM(D49:D53)</f>
        <v>10843000</v>
      </c>
      <c r="Q20" s="1046">
        <f>Q19*2</f>
        <v>6688000</v>
      </c>
      <c r="R20" s="1046">
        <f>R19*2</f>
        <v>7942000</v>
      </c>
      <c r="S20" s="1047">
        <f t="shared" ref="S20:S22" si="6">305000*F20</f>
        <v>7320000</v>
      </c>
      <c r="T20" s="1041"/>
    </row>
    <row r="21" spans="2:20" ht="14.25" customHeight="1">
      <c r="B21" s="1341"/>
      <c r="C21" s="1348"/>
      <c r="D21" s="1348"/>
      <c r="E21" s="1348"/>
      <c r="F21" s="1041">
        <v>36</v>
      </c>
      <c r="G21" s="1041"/>
      <c r="H21" s="1042">
        <v>0.14399999999999999</v>
      </c>
      <c r="I21" s="1042">
        <v>9.9699999999999997E-2</v>
      </c>
      <c r="J21" s="1043">
        <f>G21/$C$19</f>
        <v>0</v>
      </c>
      <c r="K21" s="1041"/>
      <c r="L21" s="1044">
        <v>0.56000000000000005</v>
      </c>
      <c r="M21" s="1044">
        <f t="shared" si="5"/>
        <v>0.64713270020000002</v>
      </c>
      <c r="N21" s="1044">
        <f t="shared" si="0"/>
        <v>0.6</v>
      </c>
      <c r="O21" s="1043">
        <f>N21*C19</f>
        <v>125370000</v>
      </c>
      <c r="P21" s="1045">
        <f>SUM(E49:E53)</f>
        <v>15316000</v>
      </c>
      <c r="Q21" s="1046">
        <f>Q19*3</f>
        <v>10032000</v>
      </c>
      <c r="R21" s="1046">
        <f>R19*3</f>
        <v>11913000</v>
      </c>
      <c r="S21" s="1047">
        <f t="shared" si="6"/>
        <v>10980000</v>
      </c>
      <c r="T21" s="1041"/>
    </row>
    <row r="22" spans="2:20" ht="14.25" customHeight="1">
      <c r="B22" s="1341"/>
      <c r="C22" s="1348"/>
      <c r="D22" s="1348"/>
      <c r="E22" s="1348"/>
      <c r="F22" s="1041">
        <v>48</v>
      </c>
      <c r="G22" s="1041"/>
      <c r="H22" s="1042">
        <v>0.14399999999999999</v>
      </c>
      <c r="I22" s="1042">
        <v>9.9400000000000002E-2</v>
      </c>
      <c r="J22" s="1043">
        <f>G22/$C$19</f>
        <v>0</v>
      </c>
      <c r="K22" s="1041"/>
      <c r="L22" s="1044">
        <v>0.51</v>
      </c>
      <c r="M22" s="1044">
        <f t="shared" si="5"/>
        <v>0.56141582649999999</v>
      </c>
      <c r="N22" s="1044">
        <f t="shared" si="0"/>
        <v>0.54</v>
      </c>
      <c r="O22" s="1043">
        <f>N22*C19</f>
        <v>112833000</v>
      </c>
      <c r="P22" s="1045">
        <f>SUM(F49:F53)</f>
        <v>19333000</v>
      </c>
      <c r="Q22" s="1048">
        <f>Q19*4</f>
        <v>13376000</v>
      </c>
      <c r="R22" s="1048">
        <f>R19*4</f>
        <v>15884000</v>
      </c>
      <c r="S22" s="1047">
        <f t="shared" si="6"/>
        <v>14640000</v>
      </c>
      <c r="T22" s="1041"/>
    </row>
    <row r="23" spans="2:20" ht="14.25" customHeight="1">
      <c r="B23" s="1342"/>
      <c r="C23" s="1349"/>
      <c r="D23" s="1349"/>
      <c r="E23" s="1349"/>
      <c r="F23" s="1049">
        <v>60</v>
      </c>
      <c r="G23" s="1049"/>
      <c r="H23" s="1050">
        <v>0.14299999999999999</v>
      </c>
      <c r="I23" s="1050">
        <v>9.9199999999999997E-2</v>
      </c>
      <c r="J23" s="1051">
        <f>G23/$C$19</f>
        <v>0</v>
      </c>
      <c r="K23" s="1049"/>
      <c r="L23" s="1052">
        <v>0.48</v>
      </c>
      <c r="M23" s="1052">
        <f t="shared" si="5"/>
        <v>0.48</v>
      </c>
      <c r="N23" s="1052">
        <f t="shared" si="0"/>
        <v>0.48</v>
      </c>
      <c r="O23" s="1051">
        <f>N23*C19</f>
        <v>100296000</v>
      </c>
      <c r="P23" s="1053">
        <f>SUM(G49:G53)</f>
        <v>23894000</v>
      </c>
      <c r="Q23" s="1054">
        <f>Q19*5</f>
        <v>16720000</v>
      </c>
      <c r="R23" s="1054">
        <f>R19*5</f>
        <v>19855000</v>
      </c>
      <c r="S23" s="1055">
        <f>305000*F23</f>
        <v>18300000</v>
      </c>
      <c r="T23" s="1049"/>
    </row>
    <row r="24" spans="2:20" ht="14.25" customHeight="1">
      <c r="B24" s="1337" t="s">
        <v>441</v>
      </c>
      <c r="C24" s="1343">
        <v>221250000</v>
      </c>
      <c r="D24" s="1343">
        <v>12000000</v>
      </c>
      <c r="E24" s="1343">
        <f>C24-D24</f>
        <v>209250000</v>
      </c>
      <c r="F24" s="1012">
        <v>12</v>
      </c>
      <c r="G24" s="1012"/>
      <c r="H24" s="1013">
        <v>0.151</v>
      </c>
      <c r="I24" s="1013">
        <v>9.7299999999999998E-2</v>
      </c>
      <c r="J24" s="1014">
        <f>G24/$C$24</f>
        <v>0</v>
      </c>
      <c r="K24" s="1012"/>
      <c r="L24" s="1058">
        <v>0.68</v>
      </c>
      <c r="M24" s="1015">
        <f>M9</f>
        <v>0.81856644759999997</v>
      </c>
      <c r="N24" s="1056">
        <f t="shared" si="0"/>
        <v>0.75</v>
      </c>
      <c r="O24" s="1014">
        <f>N24*C24</f>
        <v>165937500</v>
      </c>
      <c r="P24" s="1016">
        <f>SUM(C54:C58)</f>
        <v>6114000</v>
      </c>
      <c r="Q24" s="1017">
        <f>ROUNDUP(1.6%*C24,-3)</f>
        <v>3540000</v>
      </c>
      <c r="R24" s="1017">
        <f>ROUNDUP(1.9%*C24,-3)</f>
        <v>4204000</v>
      </c>
      <c r="S24" s="1018">
        <f>326000*F24</f>
        <v>3912000</v>
      </c>
      <c r="T24" s="1012"/>
    </row>
    <row r="25" spans="2:20" ht="14.25" customHeight="1">
      <c r="B25" s="1338"/>
      <c r="C25" s="1344"/>
      <c r="D25" s="1344"/>
      <c r="E25" s="1344"/>
      <c r="F25" s="1019">
        <v>24</v>
      </c>
      <c r="G25" s="1019"/>
      <c r="H25" s="1020">
        <v>0.14499999999999999</v>
      </c>
      <c r="I25" s="1020">
        <v>9.9500000000000005E-2</v>
      </c>
      <c r="J25" s="1021">
        <f>G25/$C$24</f>
        <v>0</v>
      </c>
      <c r="K25" s="1019"/>
      <c r="L25" s="1059">
        <v>0.63</v>
      </c>
      <c r="M25" s="1022">
        <f t="shared" ref="M25:M28" si="7">M10</f>
        <v>0.73284957390000005</v>
      </c>
      <c r="N25" s="1022">
        <f t="shared" si="0"/>
        <v>0.68</v>
      </c>
      <c r="O25" s="1021">
        <f>N25*C24</f>
        <v>150450000</v>
      </c>
      <c r="P25" s="1023">
        <f>SUM(D54:D58)</f>
        <v>11405000</v>
      </c>
      <c r="Q25" s="1024">
        <f>Q24*2</f>
        <v>7080000</v>
      </c>
      <c r="R25" s="1024">
        <f>R24*2</f>
        <v>8408000</v>
      </c>
      <c r="S25" s="1025">
        <f t="shared" ref="S25:S28" si="8">326000*F25</f>
        <v>7824000</v>
      </c>
      <c r="T25" s="1019"/>
    </row>
    <row r="26" spans="2:20" ht="14.25" customHeight="1">
      <c r="B26" s="1338"/>
      <c r="C26" s="1344"/>
      <c r="D26" s="1344"/>
      <c r="E26" s="1344"/>
      <c r="F26" s="1019">
        <v>36</v>
      </c>
      <c r="G26" s="1019"/>
      <c r="H26" s="1020">
        <v>0.14399999999999999</v>
      </c>
      <c r="I26" s="1020">
        <v>9.9699999999999997E-2</v>
      </c>
      <c r="J26" s="1021">
        <f>G26/$C$24</f>
        <v>0</v>
      </c>
      <c r="K26" s="1019"/>
      <c r="L26" s="1059">
        <v>0.56000000000000005</v>
      </c>
      <c r="M26" s="1022">
        <f t="shared" si="7"/>
        <v>0.64713270020000002</v>
      </c>
      <c r="N26" s="1022">
        <f t="shared" si="0"/>
        <v>0.6</v>
      </c>
      <c r="O26" s="1021">
        <f>N26*C24</f>
        <v>132750000</v>
      </c>
      <c r="P26" s="1023">
        <f>SUM(E54:E58)</f>
        <v>16105000</v>
      </c>
      <c r="Q26" s="1024">
        <f>Q24*3</f>
        <v>10620000</v>
      </c>
      <c r="R26" s="1024">
        <f>R24*3</f>
        <v>12612000</v>
      </c>
      <c r="S26" s="1025">
        <f t="shared" si="8"/>
        <v>11736000</v>
      </c>
      <c r="T26" s="1019"/>
    </row>
    <row r="27" spans="2:20" ht="14.25" customHeight="1">
      <c r="B27" s="1338"/>
      <c r="C27" s="1344"/>
      <c r="D27" s="1344"/>
      <c r="E27" s="1344"/>
      <c r="F27" s="1019">
        <v>48</v>
      </c>
      <c r="G27" s="1019"/>
      <c r="H27" s="1020">
        <v>0.14399999999999999</v>
      </c>
      <c r="I27" s="1020">
        <v>9.9400000000000002E-2</v>
      </c>
      <c r="J27" s="1021">
        <f>G27/$C$24</f>
        <v>0</v>
      </c>
      <c r="K27" s="1019"/>
      <c r="L27" s="1059">
        <v>0.51</v>
      </c>
      <c r="M27" s="1022">
        <f t="shared" si="7"/>
        <v>0.56141582649999999</v>
      </c>
      <c r="N27" s="1022">
        <f t="shared" si="0"/>
        <v>0.54</v>
      </c>
      <c r="O27" s="1021">
        <f>N27*C24</f>
        <v>119475000.00000001</v>
      </c>
      <c r="P27" s="1023">
        <f>SUM(F54:F58)</f>
        <v>20322000</v>
      </c>
      <c r="Q27" s="1026">
        <f>Q24*4</f>
        <v>14160000</v>
      </c>
      <c r="R27" s="1026">
        <f>R24*4</f>
        <v>16816000</v>
      </c>
      <c r="S27" s="1025">
        <f t="shared" si="8"/>
        <v>15648000</v>
      </c>
      <c r="T27" s="1019"/>
    </row>
    <row r="28" spans="2:20" ht="14.25" customHeight="1">
      <c r="B28" s="1339"/>
      <c r="C28" s="1345"/>
      <c r="D28" s="1345"/>
      <c r="E28" s="1345"/>
      <c r="F28" s="1027">
        <v>60</v>
      </c>
      <c r="G28" s="1027"/>
      <c r="H28" s="1028">
        <v>0.14299999999999999</v>
      </c>
      <c r="I28" s="1028">
        <v>9.9199999999999997E-2</v>
      </c>
      <c r="J28" s="1029">
        <f>G28/$C$24</f>
        <v>0</v>
      </c>
      <c r="K28" s="1027"/>
      <c r="L28" s="1060">
        <v>0.48</v>
      </c>
      <c r="M28" s="1030">
        <f t="shared" si="7"/>
        <v>0.48</v>
      </c>
      <c r="N28" s="1030">
        <f t="shared" si="0"/>
        <v>0.48</v>
      </c>
      <c r="O28" s="1029">
        <f>N28*C24</f>
        <v>106200000</v>
      </c>
      <c r="P28" s="1031">
        <f>SUM(G54:G58)</f>
        <v>25115000</v>
      </c>
      <c r="Q28" s="1032">
        <f>Q24*5</f>
        <v>17700000</v>
      </c>
      <c r="R28" s="1032">
        <f>R24*5</f>
        <v>21020000</v>
      </c>
      <c r="S28" s="1033">
        <f t="shared" si="8"/>
        <v>19560000</v>
      </c>
      <c r="T28" s="1027"/>
    </row>
    <row r="33" spans="2:7">
      <c r="B33" s="1061" t="s">
        <v>442</v>
      </c>
      <c r="C33" s="1062">
        <v>12</v>
      </c>
      <c r="D33" s="1062">
        <v>24</v>
      </c>
      <c r="E33" s="1062">
        <v>36</v>
      </c>
      <c r="F33" s="1062">
        <v>48</v>
      </c>
      <c r="G33" s="1063">
        <v>60</v>
      </c>
    </row>
    <row r="34" spans="2:7">
      <c r="B34" s="1346" t="s">
        <v>443</v>
      </c>
      <c r="C34" s="1064">
        <v>5647000</v>
      </c>
      <c r="D34" s="1064">
        <v>5228000</v>
      </c>
      <c r="E34" s="1064">
        <v>5228000</v>
      </c>
      <c r="F34" s="1064">
        <v>5228000</v>
      </c>
      <c r="G34" s="1064">
        <v>5228000</v>
      </c>
    </row>
    <row r="35" spans="2:7">
      <c r="B35" s="1338"/>
      <c r="C35" s="1065"/>
      <c r="D35" s="1065">
        <v>5310000</v>
      </c>
      <c r="E35" s="1065">
        <v>4937000</v>
      </c>
      <c r="F35" s="1065">
        <v>4937000</v>
      </c>
      <c r="G35" s="1065">
        <v>4937000</v>
      </c>
    </row>
    <row r="36" spans="2:7">
      <c r="B36" s="1338"/>
      <c r="C36" s="1065"/>
      <c r="D36" s="1065"/>
      <c r="E36" s="1065">
        <v>4805000</v>
      </c>
      <c r="F36" s="1065">
        <v>4396000</v>
      </c>
      <c r="G36" s="1065">
        <v>4396000</v>
      </c>
    </row>
    <row r="37" spans="2:7">
      <c r="B37" s="1338"/>
      <c r="C37" s="1065"/>
      <c r="D37" s="1065"/>
      <c r="E37" s="1065"/>
      <c r="F37" s="1065">
        <v>5194000</v>
      </c>
      <c r="G37" s="1065">
        <v>4815000</v>
      </c>
    </row>
    <row r="38" spans="2:7">
      <c r="B38" s="1339"/>
      <c r="C38" s="1066"/>
      <c r="D38" s="1066"/>
      <c r="E38" s="1066"/>
      <c r="F38" s="1066"/>
      <c r="G38" s="1066">
        <v>4815000</v>
      </c>
    </row>
    <row r="39" spans="2:7">
      <c r="B39" s="1340" t="s">
        <v>438</v>
      </c>
      <c r="C39" s="1067">
        <v>6117000</v>
      </c>
      <c r="D39" s="1067">
        <v>5718000</v>
      </c>
      <c r="E39" s="1067">
        <v>5718000</v>
      </c>
      <c r="F39" s="1067">
        <v>5718000</v>
      </c>
      <c r="G39" s="1067">
        <v>5718000</v>
      </c>
    </row>
    <row r="40" spans="2:7">
      <c r="B40" s="1341"/>
      <c r="C40" s="1068"/>
      <c r="D40" s="1068">
        <v>5053000</v>
      </c>
      <c r="E40" s="1068">
        <v>4697000</v>
      </c>
      <c r="F40" s="1068">
        <v>4697000</v>
      </c>
      <c r="G40" s="1068">
        <v>4697000</v>
      </c>
    </row>
    <row r="41" spans="2:7">
      <c r="B41" s="1341"/>
      <c r="C41" s="1068"/>
      <c r="D41" s="1068"/>
      <c r="E41" s="1068">
        <v>4576000</v>
      </c>
      <c r="F41" s="1068">
        <v>4187000</v>
      </c>
      <c r="G41" s="1068">
        <v>4187000</v>
      </c>
    </row>
    <row r="42" spans="2:7">
      <c r="B42" s="1341"/>
      <c r="C42" s="1068"/>
      <c r="D42" s="1068"/>
      <c r="E42" s="1068"/>
      <c r="F42" s="1068">
        <v>4944000</v>
      </c>
      <c r="G42" s="1068">
        <v>4583000</v>
      </c>
    </row>
    <row r="43" spans="2:7">
      <c r="B43" s="1342"/>
      <c r="C43" s="1069"/>
      <c r="D43" s="1069"/>
      <c r="E43" s="1069"/>
      <c r="F43" s="1069"/>
      <c r="G43" s="1069">
        <v>4585000</v>
      </c>
    </row>
    <row r="44" spans="2:7">
      <c r="B44" s="1337" t="s">
        <v>439</v>
      </c>
      <c r="C44" s="1070">
        <v>6073728.0657534245</v>
      </c>
      <c r="D44" s="1070">
        <v>5624000</v>
      </c>
      <c r="E44" s="1070">
        <v>5624000</v>
      </c>
      <c r="F44" s="1070">
        <v>5624000</v>
      </c>
      <c r="G44" s="1070">
        <v>5624000</v>
      </c>
    </row>
    <row r="45" spans="2:7">
      <c r="B45" s="1338"/>
      <c r="C45" s="1065"/>
      <c r="D45" s="1065">
        <v>5708000</v>
      </c>
      <c r="E45" s="1065">
        <v>5307000</v>
      </c>
      <c r="F45" s="1065">
        <v>5307000</v>
      </c>
      <c r="G45" s="1065">
        <v>5307000</v>
      </c>
    </row>
    <row r="46" spans="2:7">
      <c r="B46" s="1338"/>
      <c r="C46" s="1065"/>
      <c r="D46" s="1065"/>
      <c r="E46" s="1065">
        <v>5072000</v>
      </c>
      <c r="F46" s="1065">
        <v>4721000</v>
      </c>
      <c r="G46" s="1065">
        <v>4721000</v>
      </c>
    </row>
    <row r="47" spans="2:7">
      <c r="B47" s="1338"/>
      <c r="C47" s="1065"/>
      <c r="D47" s="1065"/>
      <c r="E47" s="1065"/>
      <c r="F47" s="1065">
        <v>4542000</v>
      </c>
      <c r="G47" s="1065">
        <v>4134000</v>
      </c>
    </row>
    <row r="48" spans="2:7">
      <c r="B48" s="1339"/>
      <c r="C48" s="1066"/>
      <c r="D48" s="1066"/>
      <c r="E48" s="1066"/>
      <c r="F48" s="1066"/>
      <c r="G48" s="1066">
        <v>5170000</v>
      </c>
    </row>
    <row r="49" spans="2:7">
      <c r="B49" s="1340" t="s">
        <v>440</v>
      </c>
      <c r="C49" s="1067">
        <v>5811000</v>
      </c>
      <c r="D49" s="1067">
        <v>5380000</v>
      </c>
      <c r="E49" s="1067">
        <v>5380000</v>
      </c>
      <c r="F49" s="1067">
        <v>5380000</v>
      </c>
      <c r="G49" s="1067">
        <v>5380000</v>
      </c>
    </row>
    <row r="50" spans="2:7">
      <c r="B50" s="1341"/>
      <c r="C50" s="1068"/>
      <c r="D50" s="1068">
        <v>5463000</v>
      </c>
      <c r="E50" s="1068">
        <v>5079000</v>
      </c>
      <c r="F50" s="1068">
        <v>5079000</v>
      </c>
      <c r="G50" s="1068">
        <v>5079000</v>
      </c>
    </row>
    <row r="51" spans="2:7">
      <c r="B51" s="1341"/>
      <c r="C51" s="1068"/>
      <c r="D51" s="1068"/>
      <c r="E51" s="1068">
        <v>4857000</v>
      </c>
      <c r="F51" s="1068">
        <v>4521000</v>
      </c>
      <c r="G51" s="1068">
        <v>4521000</v>
      </c>
    </row>
    <row r="52" spans="2:7">
      <c r="B52" s="1341"/>
      <c r="C52" s="1068"/>
      <c r="D52" s="1068"/>
      <c r="E52" s="1068"/>
      <c r="F52" s="1068">
        <v>4353000</v>
      </c>
      <c r="G52" s="1068">
        <v>3963000</v>
      </c>
    </row>
    <row r="53" spans="2:7">
      <c r="B53" s="1342"/>
      <c r="C53" s="1069"/>
      <c r="D53" s="1069"/>
      <c r="E53" s="1069"/>
      <c r="F53" s="1069"/>
      <c r="G53" s="1069">
        <v>4951000</v>
      </c>
    </row>
    <row r="54" spans="2:7">
      <c r="B54" s="1337" t="s">
        <v>441</v>
      </c>
      <c r="C54" s="1070">
        <v>6114000</v>
      </c>
      <c r="D54" s="1070">
        <v>5660000</v>
      </c>
      <c r="E54" s="1070">
        <v>5660000</v>
      </c>
      <c r="F54" s="1070">
        <v>5660000</v>
      </c>
      <c r="G54" s="1070">
        <v>5660000</v>
      </c>
    </row>
    <row r="55" spans="2:7">
      <c r="B55" s="1338"/>
      <c r="C55" s="1065"/>
      <c r="D55" s="1065">
        <v>5745000</v>
      </c>
      <c r="E55" s="1065">
        <v>5341000</v>
      </c>
      <c r="F55" s="1065">
        <v>5341000</v>
      </c>
      <c r="G55" s="1065">
        <v>5341000</v>
      </c>
    </row>
    <row r="56" spans="2:7">
      <c r="B56" s="1338"/>
      <c r="C56" s="1065"/>
      <c r="D56" s="1065"/>
      <c r="E56" s="1065">
        <v>5104000</v>
      </c>
      <c r="F56" s="1065">
        <v>4751000</v>
      </c>
      <c r="G56" s="1065">
        <v>4751000</v>
      </c>
    </row>
    <row r="57" spans="2:7">
      <c r="B57" s="1338"/>
      <c r="C57" s="1065"/>
      <c r="D57" s="1065"/>
      <c r="E57" s="1065"/>
      <c r="F57" s="1065">
        <v>4570000</v>
      </c>
      <c r="G57" s="1065">
        <v>4160000</v>
      </c>
    </row>
    <row r="58" spans="2:7">
      <c r="B58" s="1339"/>
      <c r="C58" s="1066"/>
      <c r="D58" s="1066"/>
      <c r="E58" s="1066"/>
      <c r="F58" s="1066"/>
      <c r="G58" s="1066">
        <v>5203000</v>
      </c>
    </row>
  </sheetData>
  <mergeCells count="25">
    <mergeCell ref="B4:B8"/>
    <mergeCell ref="C4:C8"/>
    <mergeCell ref="D4:D8"/>
    <mergeCell ref="E4:E8"/>
    <mergeCell ref="B9:B13"/>
    <mergeCell ref="C9:C13"/>
    <mergeCell ref="D9:D13"/>
    <mergeCell ref="E9:E13"/>
    <mergeCell ref="D24:D28"/>
    <mergeCell ref="E24:E28"/>
    <mergeCell ref="B34:B38"/>
    <mergeCell ref="B39:B43"/>
    <mergeCell ref="B14:B18"/>
    <mergeCell ref="C14:C18"/>
    <mergeCell ref="D14:D18"/>
    <mergeCell ref="E14:E18"/>
    <mergeCell ref="B19:B23"/>
    <mergeCell ref="C19:C23"/>
    <mergeCell ref="D19:D23"/>
    <mergeCell ref="E19:E23"/>
    <mergeCell ref="B44:B48"/>
    <mergeCell ref="B49:B53"/>
    <mergeCell ref="B54:B58"/>
    <mergeCell ref="B24:B28"/>
    <mergeCell ref="C24:C28"/>
  </mergeCells>
  <phoneticPr fontId="69"/>
  <pageMargins left="0.7" right="0.7" top="0.75" bottom="0.75" header="0.3" footer="0.3"/>
  <pageSetup paperSize="8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T87"/>
  <sheetViews>
    <sheetView zoomScale="70" zoomScaleNormal="70" workbookViewId="0">
      <selection activeCell="D34" sqref="D34:D38"/>
    </sheetView>
  </sheetViews>
  <sheetFormatPr defaultColWidth="9" defaultRowHeight="12" outlineLevelCol="1"/>
  <cols>
    <col min="1" max="1" width="3.42578125" style="790" customWidth="1"/>
    <col min="2" max="2" width="19.85546875" style="790" bestFit="1" customWidth="1"/>
    <col min="3" max="4" width="13.140625" style="790" customWidth="1"/>
    <col min="5" max="5" width="13.140625" style="790" customWidth="1" outlineLevel="1"/>
    <col min="6" max="7" width="13.140625" style="790" customWidth="1"/>
    <col min="8" max="9" width="14.42578125" style="790" customWidth="1"/>
    <col min="10" max="10" width="11.7109375" style="790" bestFit="1" customWidth="1"/>
    <col min="11" max="14" width="10" style="790" customWidth="1"/>
    <col min="15" max="20" width="15.140625" style="790" customWidth="1"/>
    <col min="21" max="16384" width="9" style="790"/>
  </cols>
  <sheetData>
    <row r="1" spans="1:20" ht="15.75">
      <c r="A1" s="1006" t="s">
        <v>444</v>
      </c>
    </row>
    <row r="3" spans="1:20" s="1007" customFormat="1" ht="28.5" customHeight="1">
      <c r="B3" s="1008" t="s">
        <v>421</v>
      </c>
      <c r="C3" s="1009" t="s">
        <v>422</v>
      </c>
      <c r="D3" s="1009" t="s">
        <v>423</v>
      </c>
      <c r="E3" s="1009" t="s">
        <v>424</v>
      </c>
      <c r="F3" s="1009" t="s">
        <v>261</v>
      </c>
      <c r="G3" s="1009" t="s">
        <v>425</v>
      </c>
      <c r="H3" s="1009" t="s">
        <v>426</v>
      </c>
      <c r="I3" s="1009" t="s">
        <v>5</v>
      </c>
      <c r="J3" s="1009" t="s">
        <v>427</v>
      </c>
      <c r="K3" s="1009" t="s">
        <v>71</v>
      </c>
      <c r="L3" s="1009" t="s">
        <v>428</v>
      </c>
      <c r="M3" s="1009" t="s">
        <v>429</v>
      </c>
      <c r="N3" s="1010" t="s">
        <v>430</v>
      </c>
      <c r="O3" s="1010" t="s">
        <v>431</v>
      </c>
      <c r="P3" s="1009" t="s">
        <v>432</v>
      </c>
      <c r="Q3" s="1009" t="s">
        <v>433</v>
      </c>
      <c r="R3" s="1009" t="s">
        <v>434</v>
      </c>
      <c r="S3" s="1009" t="s">
        <v>435</v>
      </c>
      <c r="T3" s="1011" t="s">
        <v>436</v>
      </c>
    </row>
    <row r="4" spans="1:20" ht="14.25" customHeight="1">
      <c r="B4" s="1337" t="s">
        <v>445</v>
      </c>
      <c r="C4" s="1343">
        <v>258900000</v>
      </c>
      <c r="D4" s="1343">
        <v>5000000</v>
      </c>
      <c r="E4" s="1343">
        <f>C4-D4</f>
        <v>253900000</v>
      </c>
      <c r="F4" s="1012">
        <v>12</v>
      </c>
      <c r="G4" s="1012"/>
      <c r="H4" s="1013">
        <v>0.151</v>
      </c>
      <c r="I4" s="1013">
        <v>9.7299999999999998E-2</v>
      </c>
      <c r="J4" s="1014">
        <f>G4/$C$4</f>
        <v>0</v>
      </c>
      <c r="K4" s="1012"/>
      <c r="L4" s="1015">
        <v>0.67</v>
      </c>
      <c r="M4" s="1015">
        <f>'Special RV'!D33</f>
        <v>0.85838655460000002</v>
      </c>
      <c r="N4" s="1015">
        <f>ROUND(AVERAGE(L4:M4),2)</f>
        <v>0.76</v>
      </c>
      <c r="O4" s="1014">
        <f>N4*C4</f>
        <v>196764000</v>
      </c>
      <c r="P4" s="1016">
        <f>SUM(C48:C52)</f>
        <v>6972000</v>
      </c>
      <c r="Q4" s="1017">
        <f>ROUNDUP(1.6%*C4,-3)</f>
        <v>4143000</v>
      </c>
      <c r="R4" s="1017">
        <f>ROUNDUP(1.9%*C4,-3)</f>
        <v>4920000</v>
      </c>
      <c r="S4" s="1018">
        <f>386000*F4</f>
        <v>4632000</v>
      </c>
      <c r="T4" s="1012"/>
    </row>
    <row r="5" spans="1:20" ht="14.25" customHeight="1">
      <c r="B5" s="1338"/>
      <c r="C5" s="1344"/>
      <c r="D5" s="1344"/>
      <c r="E5" s="1344"/>
      <c r="F5" s="1019">
        <v>24</v>
      </c>
      <c r="G5" s="1019"/>
      <c r="H5" s="1020">
        <v>0.14499999999999999</v>
      </c>
      <c r="I5" s="1020">
        <v>9.9500000000000005E-2</v>
      </c>
      <c r="J5" s="1021">
        <f>G5/$C$4</f>
        <v>0</v>
      </c>
      <c r="K5" s="1019"/>
      <c r="L5" s="1022">
        <v>0.62</v>
      </c>
      <c r="M5" s="1022">
        <f>'Special RV'!E33</f>
        <v>0.7587899159</v>
      </c>
      <c r="N5" s="1022">
        <f t="shared" ref="N5:N43" si="0">ROUND(AVERAGE(L5:M5),2)</f>
        <v>0.69</v>
      </c>
      <c r="O5" s="1021">
        <f>N5*C4</f>
        <v>178641000</v>
      </c>
      <c r="P5" s="1023">
        <f>SUM(D48:D52)</f>
        <v>12319000</v>
      </c>
      <c r="Q5" s="1024">
        <f>Q4*2</f>
        <v>8286000</v>
      </c>
      <c r="R5" s="1024">
        <f>R4*2</f>
        <v>9840000</v>
      </c>
      <c r="S5" s="1025">
        <f t="shared" ref="S5:S13" si="1">386000*F5</f>
        <v>9264000</v>
      </c>
      <c r="T5" s="1019"/>
    </row>
    <row r="6" spans="1:20" ht="14.25" customHeight="1">
      <c r="B6" s="1338"/>
      <c r="C6" s="1344"/>
      <c r="D6" s="1344"/>
      <c r="E6" s="1344"/>
      <c r="F6" s="1019">
        <v>36</v>
      </c>
      <c r="G6" s="1019"/>
      <c r="H6" s="1020">
        <v>0.14399999999999999</v>
      </c>
      <c r="I6" s="1020">
        <v>9.9699999999999997E-2</v>
      </c>
      <c r="J6" s="1021">
        <f>G6/$C$4</f>
        <v>0</v>
      </c>
      <c r="K6" s="1019"/>
      <c r="L6" s="1022">
        <v>0.57999999999999996</v>
      </c>
      <c r="M6" s="1022">
        <f>'Special RV'!G33</f>
        <v>0.65919327719999998</v>
      </c>
      <c r="N6" s="1022">
        <f t="shared" si="0"/>
        <v>0.62</v>
      </c>
      <c r="O6" s="1021">
        <f>N6*C4</f>
        <v>160518000</v>
      </c>
      <c r="P6" s="1023">
        <f>SUM(E48:E52)</f>
        <v>17715000</v>
      </c>
      <c r="Q6" s="1024">
        <f>Q4*3</f>
        <v>12429000</v>
      </c>
      <c r="R6" s="1024">
        <f>R4*3</f>
        <v>14760000</v>
      </c>
      <c r="S6" s="1025">
        <f t="shared" si="1"/>
        <v>13896000</v>
      </c>
      <c r="T6" s="1019"/>
    </row>
    <row r="7" spans="1:20" ht="14.25" customHeight="1">
      <c r="B7" s="1338"/>
      <c r="C7" s="1344"/>
      <c r="D7" s="1344"/>
      <c r="E7" s="1344"/>
      <c r="F7" s="1019">
        <v>48</v>
      </c>
      <c r="G7" s="1019"/>
      <c r="H7" s="1020">
        <v>0.14399999999999999</v>
      </c>
      <c r="I7" s="1020">
        <v>9.9400000000000002E-2</v>
      </c>
      <c r="J7" s="1021">
        <f>G7/$C$4</f>
        <v>0</v>
      </c>
      <c r="K7" s="1019"/>
      <c r="L7" s="1022">
        <v>0.51</v>
      </c>
      <c r="M7" s="1022">
        <f>'Special RV'!I33</f>
        <v>0.55959663849999997</v>
      </c>
      <c r="N7" s="1022">
        <f t="shared" si="0"/>
        <v>0.53</v>
      </c>
      <c r="O7" s="1021">
        <f>N7*C4</f>
        <v>137217000</v>
      </c>
      <c r="P7" s="1023">
        <f>SUM(F48:F52)</f>
        <v>22448000</v>
      </c>
      <c r="Q7" s="1026">
        <f>Q4*4</f>
        <v>16572000</v>
      </c>
      <c r="R7" s="1026">
        <f>R4*4</f>
        <v>19680000</v>
      </c>
      <c r="S7" s="1025">
        <f t="shared" si="1"/>
        <v>18528000</v>
      </c>
      <c r="T7" s="1019"/>
    </row>
    <row r="8" spans="1:20" ht="14.25" customHeight="1">
      <c r="B8" s="1339"/>
      <c r="C8" s="1345"/>
      <c r="D8" s="1345"/>
      <c r="E8" s="1345"/>
      <c r="F8" s="1027">
        <v>60</v>
      </c>
      <c r="G8" s="1027"/>
      <c r="H8" s="1028">
        <v>0.14299999999999999</v>
      </c>
      <c r="I8" s="1028">
        <v>9.9199999999999997E-2</v>
      </c>
      <c r="J8" s="1029">
        <f>G8/$C$4</f>
        <v>0</v>
      </c>
      <c r="K8" s="1027"/>
      <c r="L8" s="1030">
        <v>0.46</v>
      </c>
      <c r="M8" s="1030">
        <f>L8</f>
        <v>0.46</v>
      </c>
      <c r="N8" s="1030">
        <f t="shared" si="0"/>
        <v>0.46</v>
      </c>
      <c r="O8" s="1029">
        <f>N8*C4</f>
        <v>119094000</v>
      </c>
      <c r="P8" s="1031">
        <f>SUM(G48:G52)</f>
        <v>26836000</v>
      </c>
      <c r="Q8" s="1032">
        <f>Q4*5</f>
        <v>20715000</v>
      </c>
      <c r="R8" s="1032">
        <f>R4*5</f>
        <v>24600000</v>
      </c>
      <c r="S8" s="1033">
        <f t="shared" si="1"/>
        <v>23160000</v>
      </c>
      <c r="T8" s="1027"/>
    </row>
    <row r="9" spans="1:20" ht="14.25" customHeight="1">
      <c r="B9" s="1340" t="s">
        <v>446</v>
      </c>
      <c r="C9" s="1347">
        <v>250200000</v>
      </c>
      <c r="D9" s="1347">
        <v>5000000</v>
      </c>
      <c r="E9" s="1347">
        <f>C9-D9</f>
        <v>245200000</v>
      </c>
      <c r="F9" s="1034">
        <v>12</v>
      </c>
      <c r="G9" s="1034"/>
      <c r="H9" s="1035">
        <v>0.151</v>
      </c>
      <c r="I9" s="1035">
        <v>9.7299999999999998E-2</v>
      </c>
      <c r="J9" s="1036">
        <f>G9/$C$9</f>
        <v>0</v>
      </c>
      <c r="K9" s="1034"/>
      <c r="L9" s="1037">
        <v>0.67</v>
      </c>
      <c r="M9" s="1037">
        <f>M4</f>
        <v>0.85838655460000002</v>
      </c>
      <c r="N9" s="1037">
        <f t="shared" si="0"/>
        <v>0.76</v>
      </c>
      <c r="O9" s="1036">
        <f>N9*C9</f>
        <v>190152000</v>
      </c>
      <c r="P9" s="1038">
        <f>SUM(C53:C57)</f>
        <v>6760000</v>
      </c>
      <c r="Q9" s="1039">
        <f>ROUNDUP(1.6%*C9,-3)</f>
        <v>4004000</v>
      </c>
      <c r="R9" s="1039">
        <f>ROUNDUP(1.9%*C9,-3)</f>
        <v>4754000</v>
      </c>
      <c r="S9" s="1040">
        <f>386000*F9</f>
        <v>4632000</v>
      </c>
      <c r="T9" s="1034"/>
    </row>
    <row r="10" spans="1:20" ht="14.25" customHeight="1">
      <c r="B10" s="1341"/>
      <c r="C10" s="1348"/>
      <c r="D10" s="1348"/>
      <c r="E10" s="1348"/>
      <c r="F10" s="1041">
        <v>24</v>
      </c>
      <c r="G10" s="1041"/>
      <c r="H10" s="1042">
        <v>0.14499999999999999</v>
      </c>
      <c r="I10" s="1042">
        <v>9.9500000000000005E-2</v>
      </c>
      <c r="J10" s="1043">
        <f>G10/$C$9</f>
        <v>0</v>
      </c>
      <c r="K10" s="1041"/>
      <c r="L10" s="1044">
        <v>0.62</v>
      </c>
      <c r="M10" s="1044">
        <f t="shared" ref="M10:M12" si="2">M5</f>
        <v>0.7587899159</v>
      </c>
      <c r="N10" s="1044">
        <f t="shared" si="0"/>
        <v>0.69</v>
      </c>
      <c r="O10" s="1043">
        <f>N10*C9</f>
        <v>172638000</v>
      </c>
      <c r="P10" s="1045">
        <f>SUM(D53:D57)</f>
        <v>11949000</v>
      </c>
      <c r="Q10" s="1046">
        <f>Q9*2</f>
        <v>8008000</v>
      </c>
      <c r="R10" s="1046">
        <f>R9*2</f>
        <v>9508000</v>
      </c>
      <c r="S10" s="1047">
        <f t="shared" si="1"/>
        <v>9264000</v>
      </c>
      <c r="T10" s="1041"/>
    </row>
    <row r="11" spans="1:20" ht="14.25" customHeight="1">
      <c r="B11" s="1341"/>
      <c r="C11" s="1348"/>
      <c r="D11" s="1348"/>
      <c r="E11" s="1348"/>
      <c r="F11" s="1041">
        <v>36</v>
      </c>
      <c r="G11" s="1041"/>
      <c r="H11" s="1042">
        <v>0.14399999999999999</v>
      </c>
      <c r="I11" s="1042">
        <v>9.9699999999999997E-2</v>
      </c>
      <c r="J11" s="1043">
        <f>G11/$C$9</f>
        <v>0</v>
      </c>
      <c r="K11" s="1041"/>
      <c r="L11" s="1044">
        <v>0.57999999999999996</v>
      </c>
      <c r="M11" s="1044">
        <f t="shared" si="2"/>
        <v>0.65919327719999998</v>
      </c>
      <c r="N11" s="1044">
        <f t="shared" si="0"/>
        <v>0.62</v>
      </c>
      <c r="O11" s="1043">
        <f>N11*C9</f>
        <v>155124000</v>
      </c>
      <c r="P11" s="1045">
        <f>SUM(E53:E57)</f>
        <v>17183000</v>
      </c>
      <c r="Q11" s="1046">
        <f>Q9*3</f>
        <v>12012000</v>
      </c>
      <c r="R11" s="1046">
        <f>R9*3</f>
        <v>14262000</v>
      </c>
      <c r="S11" s="1047">
        <f t="shared" si="1"/>
        <v>13896000</v>
      </c>
      <c r="T11" s="1041"/>
    </row>
    <row r="12" spans="1:20" ht="14.25" customHeight="1">
      <c r="B12" s="1341"/>
      <c r="C12" s="1348"/>
      <c r="D12" s="1348"/>
      <c r="E12" s="1348"/>
      <c r="F12" s="1041">
        <v>48</v>
      </c>
      <c r="G12" s="1041"/>
      <c r="H12" s="1042">
        <v>0.14399999999999999</v>
      </c>
      <c r="I12" s="1042">
        <v>9.9400000000000002E-2</v>
      </c>
      <c r="J12" s="1043">
        <f>G12/$C$9</f>
        <v>0</v>
      </c>
      <c r="K12" s="1041"/>
      <c r="L12" s="1044">
        <v>0.51</v>
      </c>
      <c r="M12" s="1044">
        <f t="shared" si="2"/>
        <v>0.55959663849999997</v>
      </c>
      <c r="N12" s="1044">
        <f t="shared" si="0"/>
        <v>0.53</v>
      </c>
      <c r="O12" s="1043">
        <f>N12*C9</f>
        <v>132606000</v>
      </c>
      <c r="P12" s="1045">
        <f>SUM(F53:F57)</f>
        <v>21779000</v>
      </c>
      <c r="Q12" s="1048">
        <f>Q9*4</f>
        <v>16016000</v>
      </c>
      <c r="R12" s="1048">
        <f>R9*4</f>
        <v>19016000</v>
      </c>
      <c r="S12" s="1047">
        <f t="shared" si="1"/>
        <v>18528000</v>
      </c>
      <c r="T12" s="1041"/>
    </row>
    <row r="13" spans="1:20" ht="14.25" customHeight="1">
      <c r="B13" s="1342"/>
      <c r="C13" s="1349"/>
      <c r="D13" s="1349"/>
      <c r="E13" s="1349"/>
      <c r="F13" s="1049">
        <v>60</v>
      </c>
      <c r="G13" s="1049"/>
      <c r="H13" s="1050">
        <v>0.14299999999999999</v>
      </c>
      <c r="I13" s="1050">
        <v>9.9199999999999997E-2</v>
      </c>
      <c r="J13" s="1051">
        <f>G13/$C$9</f>
        <v>0</v>
      </c>
      <c r="K13" s="1049"/>
      <c r="L13" s="1052">
        <v>0.46</v>
      </c>
      <c r="M13" s="1052">
        <f>L13</f>
        <v>0.46</v>
      </c>
      <c r="N13" s="1052">
        <f t="shared" si="0"/>
        <v>0.46</v>
      </c>
      <c r="O13" s="1051">
        <f>N13*C9</f>
        <v>115092000</v>
      </c>
      <c r="P13" s="1053">
        <f>SUM(G53:G57)</f>
        <v>26041000</v>
      </c>
      <c r="Q13" s="1054">
        <f>Q9*5</f>
        <v>20020000</v>
      </c>
      <c r="R13" s="1054">
        <f>R9*5</f>
        <v>23770000</v>
      </c>
      <c r="S13" s="1055">
        <f t="shared" si="1"/>
        <v>23160000</v>
      </c>
      <c r="T13" s="1049"/>
    </row>
    <row r="14" spans="1:20" ht="14.25" customHeight="1">
      <c r="B14" s="1337" t="s">
        <v>447</v>
      </c>
      <c r="C14" s="1343">
        <v>240200000</v>
      </c>
      <c r="D14" s="1343">
        <v>5000000</v>
      </c>
      <c r="E14" s="1343">
        <f>C14-D14</f>
        <v>235200000</v>
      </c>
      <c r="F14" s="1012">
        <v>12</v>
      </c>
      <c r="G14" s="1012"/>
      <c r="H14" s="1013">
        <v>0.151</v>
      </c>
      <c r="I14" s="1013">
        <v>9.7299999999999998E-2</v>
      </c>
      <c r="J14" s="1014">
        <f>G14/$C$14</f>
        <v>0</v>
      </c>
      <c r="K14" s="1012"/>
      <c r="L14" s="1015">
        <v>0.7</v>
      </c>
      <c r="M14" s="1056">
        <f>'Special RV'!D32</f>
        <v>0.86485061510000005</v>
      </c>
      <c r="N14" s="1056">
        <f t="shared" si="0"/>
        <v>0.78</v>
      </c>
      <c r="O14" s="1014">
        <f>N14*C14</f>
        <v>187356000</v>
      </c>
      <c r="P14" s="1016">
        <f>SUM(C58:C62)</f>
        <v>6580000</v>
      </c>
      <c r="Q14" s="1017">
        <f>ROUNDUP(1.6%*C14,-3)</f>
        <v>3844000</v>
      </c>
      <c r="R14" s="1017">
        <f>ROUNDUP(1.9%*C14,-3)</f>
        <v>4564000</v>
      </c>
      <c r="S14" s="1018">
        <f>357000*F14</f>
        <v>4284000</v>
      </c>
      <c r="T14" s="1012"/>
    </row>
    <row r="15" spans="1:20" ht="14.25" customHeight="1">
      <c r="B15" s="1338"/>
      <c r="C15" s="1344"/>
      <c r="D15" s="1344"/>
      <c r="E15" s="1344"/>
      <c r="F15" s="1019">
        <v>24</v>
      </c>
      <c r="G15" s="1019"/>
      <c r="H15" s="1020">
        <v>0.14499999999999999</v>
      </c>
      <c r="I15" s="1020">
        <v>9.9500000000000005E-2</v>
      </c>
      <c r="J15" s="1021">
        <f>G15/$C$14</f>
        <v>0</v>
      </c>
      <c r="K15" s="1019"/>
      <c r="L15" s="1022">
        <v>0.65</v>
      </c>
      <c r="M15" s="1022">
        <f>'Special RV'!E32</f>
        <v>0.77363796129999995</v>
      </c>
      <c r="N15" s="1022">
        <f t="shared" si="0"/>
        <v>0.71</v>
      </c>
      <c r="O15" s="1021">
        <f>N15*C14</f>
        <v>170542000</v>
      </c>
      <c r="P15" s="1023">
        <f>SUM(D58:D62)</f>
        <v>12272000</v>
      </c>
      <c r="Q15" s="1024">
        <f>Q14*2</f>
        <v>7688000</v>
      </c>
      <c r="R15" s="1024">
        <f>R14*2</f>
        <v>9128000</v>
      </c>
      <c r="S15" s="1025">
        <f t="shared" ref="S15:S18" si="3">357000*F15</f>
        <v>8568000</v>
      </c>
      <c r="T15" s="1019"/>
    </row>
    <row r="16" spans="1:20" ht="14.25" customHeight="1">
      <c r="B16" s="1338"/>
      <c r="C16" s="1344"/>
      <c r="D16" s="1344"/>
      <c r="E16" s="1344"/>
      <c r="F16" s="1019">
        <v>36</v>
      </c>
      <c r="G16" s="1019"/>
      <c r="H16" s="1020">
        <v>0.14399999999999999</v>
      </c>
      <c r="I16" s="1020">
        <v>9.9699999999999997E-2</v>
      </c>
      <c r="J16" s="1021">
        <f>G16/$C$14</f>
        <v>0</v>
      </c>
      <c r="K16" s="1019"/>
      <c r="L16" s="1022">
        <v>0.59</v>
      </c>
      <c r="M16" s="1022">
        <f>'Special RV'!G32</f>
        <v>0.68242530749999997</v>
      </c>
      <c r="N16" s="1022">
        <f t="shared" si="0"/>
        <v>0.64</v>
      </c>
      <c r="O16" s="1021">
        <f>N16*C14</f>
        <v>153728000</v>
      </c>
      <c r="P16" s="1023">
        <f>SUM(E58:E62)</f>
        <v>17322000</v>
      </c>
      <c r="Q16" s="1024">
        <f>Q14*3</f>
        <v>11532000</v>
      </c>
      <c r="R16" s="1024">
        <f>R14*3</f>
        <v>13692000</v>
      </c>
      <c r="S16" s="1025">
        <f t="shared" si="3"/>
        <v>12852000</v>
      </c>
      <c r="T16" s="1019"/>
    </row>
    <row r="17" spans="2:20" ht="14.25" customHeight="1">
      <c r="B17" s="1338"/>
      <c r="C17" s="1344"/>
      <c r="D17" s="1344"/>
      <c r="E17" s="1344"/>
      <c r="F17" s="1019">
        <v>48</v>
      </c>
      <c r="G17" s="1019"/>
      <c r="H17" s="1020">
        <v>0.14399999999999999</v>
      </c>
      <c r="I17" s="1020">
        <v>9.9400000000000002E-2</v>
      </c>
      <c r="J17" s="1021">
        <f>G17/$C$14</f>
        <v>0</v>
      </c>
      <c r="K17" s="1019"/>
      <c r="L17" s="1022">
        <v>0.53</v>
      </c>
      <c r="M17" s="1022">
        <f>'Special RV'!I32</f>
        <v>0.59121265369999998</v>
      </c>
      <c r="N17" s="1022">
        <f t="shared" si="0"/>
        <v>0.56000000000000005</v>
      </c>
      <c r="O17" s="1021">
        <f>N17*C14</f>
        <v>134512000</v>
      </c>
      <c r="P17" s="1023">
        <f>SUM(F58:F62)</f>
        <v>21758000</v>
      </c>
      <c r="Q17" s="1026">
        <f>Q14*4</f>
        <v>15376000</v>
      </c>
      <c r="R17" s="1026">
        <f>R14*4</f>
        <v>18256000</v>
      </c>
      <c r="S17" s="1025">
        <f t="shared" si="3"/>
        <v>17136000</v>
      </c>
      <c r="T17" s="1019"/>
    </row>
    <row r="18" spans="2:20" ht="14.25" customHeight="1">
      <c r="B18" s="1339"/>
      <c r="C18" s="1345"/>
      <c r="D18" s="1345"/>
      <c r="E18" s="1345"/>
      <c r="F18" s="1027">
        <v>60</v>
      </c>
      <c r="G18" s="1027"/>
      <c r="H18" s="1028">
        <v>0.14299999999999999</v>
      </c>
      <c r="I18" s="1028">
        <v>9.9199999999999997E-2</v>
      </c>
      <c r="J18" s="1029">
        <f>G18/$C$14</f>
        <v>0</v>
      </c>
      <c r="K18" s="1027"/>
      <c r="L18" s="1030">
        <v>0.5</v>
      </c>
      <c r="M18" s="1030">
        <f>L18</f>
        <v>0.5</v>
      </c>
      <c r="N18" s="1030">
        <f t="shared" si="0"/>
        <v>0.5</v>
      </c>
      <c r="O18" s="1029">
        <f>N18*C14</f>
        <v>120100000</v>
      </c>
      <c r="P18" s="1031">
        <f>SUM(G58:G62)</f>
        <v>25955000</v>
      </c>
      <c r="Q18" s="1032">
        <f>Q14*5</f>
        <v>19220000</v>
      </c>
      <c r="R18" s="1032">
        <f>R14*5</f>
        <v>22820000</v>
      </c>
      <c r="S18" s="1033">
        <f t="shared" si="3"/>
        <v>21420000</v>
      </c>
      <c r="T18" s="1027"/>
    </row>
    <row r="19" spans="2:20" ht="14.25" customHeight="1">
      <c r="B19" s="1340" t="s">
        <v>448</v>
      </c>
      <c r="C19" s="1347">
        <v>238000000</v>
      </c>
      <c r="D19" s="1347">
        <v>5000000</v>
      </c>
      <c r="E19" s="1347">
        <f>C19-D19</f>
        <v>233000000</v>
      </c>
      <c r="F19" s="1034">
        <v>12</v>
      </c>
      <c r="G19" s="1034"/>
      <c r="H19" s="1035">
        <v>0.151</v>
      </c>
      <c r="I19" s="1035">
        <v>9.7299999999999998E-2</v>
      </c>
      <c r="J19" s="1036">
        <f>G19/$C$19</f>
        <v>0</v>
      </c>
      <c r="K19" s="1034"/>
      <c r="L19" s="1037">
        <v>0.67</v>
      </c>
      <c r="M19" s="1037">
        <f>M9</f>
        <v>0.85838655460000002</v>
      </c>
      <c r="N19" s="1037">
        <f t="shared" si="0"/>
        <v>0.76</v>
      </c>
      <c r="O19" s="1036">
        <f>N19*C19</f>
        <v>180880000</v>
      </c>
      <c r="P19" s="1038">
        <f>SUM(C63:C67)</f>
        <v>6526000</v>
      </c>
      <c r="Q19" s="1039">
        <f>ROUNDUP(1.6%*C19,-3)</f>
        <v>3808000</v>
      </c>
      <c r="R19" s="1039">
        <f>ROUNDUP(1.9%*C19,-3)</f>
        <v>4522000</v>
      </c>
      <c r="S19" s="1040">
        <f>386000*F19</f>
        <v>4632000</v>
      </c>
      <c r="T19" s="1034"/>
    </row>
    <row r="20" spans="2:20" ht="14.25" customHeight="1">
      <c r="B20" s="1341"/>
      <c r="C20" s="1348"/>
      <c r="D20" s="1348"/>
      <c r="E20" s="1348"/>
      <c r="F20" s="1041">
        <v>24</v>
      </c>
      <c r="G20" s="1041"/>
      <c r="H20" s="1042">
        <v>0.14499999999999999</v>
      </c>
      <c r="I20" s="1042">
        <v>9.9500000000000005E-2</v>
      </c>
      <c r="J20" s="1043">
        <f>G20/$C$19</f>
        <v>0</v>
      </c>
      <c r="K20" s="1041"/>
      <c r="L20" s="1044">
        <v>0.62</v>
      </c>
      <c r="M20" s="1044">
        <f t="shared" ref="M20:M22" si="4">M10</f>
        <v>0.7587899159</v>
      </c>
      <c r="N20" s="1044">
        <f t="shared" si="0"/>
        <v>0.69</v>
      </c>
      <c r="O20" s="1043">
        <f>N20*C19</f>
        <v>164220000</v>
      </c>
      <c r="P20" s="1045">
        <f>SUM(D63:D67)</f>
        <v>12171000</v>
      </c>
      <c r="Q20" s="1046">
        <f>Q19*2</f>
        <v>7616000</v>
      </c>
      <c r="R20" s="1046">
        <f>R19*2</f>
        <v>9044000</v>
      </c>
      <c r="S20" s="1047">
        <f t="shared" ref="S20:S23" si="5">386000*F20</f>
        <v>9264000</v>
      </c>
      <c r="T20" s="1041"/>
    </row>
    <row r="21" spans="2:20" ht="14.25" customHeight="1">
      <c r="B21" s="1341"/>
      <c r="C21" s="1348"/>
      <c r="D21" s="1348"/>
      <c r="E21" s="1348"/>
      <c r="F21" s="1041">
        <v>36</v>
      </c>
      <c r="G21" s="1041"/>
      <c r="H21" s="1042">
        <v>0.14399999999999999</v>
      </c>
      <c r="I21" s="1042">
        <v>9.9699999999999997E-2</v>
      </c>
      <c r="J21" s="1043">
        <f>G21/$C$19</f>
        <v>0</v>
      </c>
      <c r="K21" s="1041"/>
      <c r="L21" s="1044">
        <v>0.57999999999999996</v>
      </c>
      <c r="M21" s="1044">
        <f t="shared" si="4"/>
        <v>0.65919327719999998</v>
      </c>
      <c r="N21" s="1044">
        <f t="shared" si="0"/>
        <v>0.62</v>
      </c>
      <c r="O21" s="1043">
        <f>N21*C19</f>
        <v>147560000</v>
      </c>
      <c r="P21" s="1045">
        <f>SUM(E63:E67)</f>
        <v>17181000</v>
      </c>
      <c r="Q21" s="1046">
        <f>Q19*3</f>
        <v>11424000</v>
      </c>
      <c r="R21" s="1046">
        <f>R19*3</f>
        <v>13566000</v>
      </c>
      <c r="S21" s="1047">
        <f t="shared" si="5"/>
        <v>13896000</v>
      </c>
      <c r="T21" s="1041"/>
    </row>
    <row r="22" spans="2:20" ht="14.25" customHeight="1">
      <c r="B22" s="1341"/>
      <c r="C22" s="1348"/>
      <c r="D22" s="1348"/>
      <c r="E22" s="1348"/>
      <c r="F22" s="1041">
        <v>48</v>
      </c>
      <c r="G22" s="1041"/>
      <c r="H22" s="1042">
        <v>0.14399999999999999</v>
      </c>
      <c r="I22" s="1042">
        <v>9.9400000000000002E-2</v>
      </c>
      <c r="J22" s="1043">
        <f>G22/$C$19</f>
        <v>0</v>
      </c>
      <c r="K22" s="1041"/>
      <c r="L22" s="1044">
        <v>0.51</v>
      </c>
      <c r="M22" s="1044">
        <f t="shared" si="4"/>
        <v>0.55959663849999997</v>
      </c>
      <c r="N22" s="1044">
        <f t="shared" si="0"/>
        <v>0.53</v>
      </c>
      <c r="O22" s="1043">
        <f>N22*C19</f>
        <v>126140000</v>
      </c>
      <c r="P22" s="1045">
        <f>SUM(F63:F67)</f>
        <v>21582000</v>
      </c>
      <c r="Q22" s="1048">
        <f>Q19*4</f>
        <v>15232000</v>
      </c>
      <c r="R22" s="1048">
        <f>R19*4</f>
        <v>18088000</v>
      </c>
      <c r="S22" s="1047">
        <f t="shared" si="5"/>
        <v>18528000</v>
      </c>
      <c r="T22" s="1041"/>
    </row>
    <row r="23" spans="2:20" ht="14.25" customHeight="1">
      <c r="B23" s="1342"/>
      <c r="C23" s="1349"/>
      <c r="D23" s="1349"/>
      <c r="E23" s="1349"/>
      <c r="F23" s="1049">
        <v>60</v>
      </c>
      <c r="G23" s="1049"/>
      <c r="H23" s="1050">
        <v>0.14299999999999999</v>
      </c>
      <c r="I23" s="1050">
        <v>9.9199999999999997E-2</v>
      </c>
      <c r="J23" s="1051">
        <f>G23/$C$19</f>
        <v>0</v>
      </c>
      <c r="K23" s="1049"/>
      <c r="L23" s="1052">
        <v>0.46</v>
      </c>
      <c r="M23" s="1052">
        <f>L23</f>
        <v>0.46</v>
      </c>
      <c r="N23" s="1052">
        <f t="shared" si="0"/>
        <v>0.46</v>
      </c>
      <c r="O23" s="1051">
        <f>N23*C19</f>
        <v>109480000</v>
      </c>
      <c r="P23" s="1053">
        <f>SUM(G63:G67)</f>
        <v>25745000</v>
      </c>
      <c r="Q23" s="1054">
        <f>Q19*5</f>
        <v>19040000</v>
      </c>
      <c r="R23" s="1054">
        <f>R19*5</f>
        <v>22610000</v>
      </c>
      <c r="S23" s="1055">
        <f t="shared" si="5"/>
        <v>23160000</v>
      </c>
      <c r="T23" s="1049"/>
    </row>
    <row r="24" spans="2:20" ht="14.25" customHeight="1">
      <c r="B24" s="1346" t="s">
        <v>449</v>
      </c>
      <c r="C24" s="1351">
        <v>227600000</v>
      </c>
      <c r="D24" s="1351">
        <v>5000000</v>
      </c>
      <c r="E24" s="1351">
        <f>C24-D24</f>
        <v>222600000</v>
      </c>
      <c r="F24" s="1071">
        <v>12</v>
      </c>
      <c r="G24" s="1071"/>
      <c r="H24" s="1013">
        <v>0.151</v>
      </c>
      <c r="I24" s="1013">
        <v>9.7299999999999998E-2</v>
      </c>
      <c r="J24" s="1072">
        <f>G24/$C$24</f>
        <v>0</v>
      </c>
      <c r="K24" s="1071"/>
      <c r="L24" s="1015">
        <v>0.7</v>
      </c>
      <c r="M24" s="1056">
        <f>M14</f>
        <v>0.86485061510000005</v>
      </c>
      <c r="N24" s="1056">
        <f t="shared" si="0"/>
        <v>0.78</v>
      </c>
      <c r="O24" s="1014">
        <f>N24*C24</f>
        <v>177528000</v>
      </c>
      <c r="P24" s="1016">
        <f>SUM(C68:C72)</f>
        <v>6270000</v>
      </c>
      <c r="Q24" s="1017">
        <f>ROUNDUP(1.6%*C24,-3)</f>
        <v>3642000</v>
      </c>
      <c r="R24" s="1017">
        <f>ROUNDUP(1.9%*C24,-3)</f>
        <v>4325000</v>
      </c>
      <c r="S24" s="1018">
        <f>357000*F24</f>
        <v>4284000</v>
      </c>
      <c r="T24" s="1071"/>
    </row>
    <row r="25" spans="2:20" ht="14.25" customHeight="1">
      <c r="B25" s="1338"/>
      <c r="C25" s="1344"/>
      <c r="D25" s="1344"/>
      <c r="E25" s="1344"/>
      <c r="F25" s="1019">
        <v>24</v>
      </c>
      <c r="G25" s="1019"/>
      <c r="H25" s="1020">
        <v>0.14499999999999999</v>
      </c>
      <c r="I25" s="1020">
        <v>9.9500000000000005E-2</v>
      </c>
      <c r="J25" s="1021">
        <f>G25/$C$24</f>
        <v>0</v>
      </c>
      <c r="K25" s="1019"/>
      <c r="L25" s="1022">
        <v>0.65</v>
      </c>
      <c r="M25" s="1056">
        <f t="shared" ref="M25:M27" si="6">M15</f>
        <v>0.77363796129999995</v>
      </c>
      <c r="N25" s="1022">
        <f t="shared" si="0"/>
        <v>0.71</v>
      </c>
      <c r="O25" s="1021">
        <f>N25*C24</f>
        <v>161596000</v>
      </c>
      <c r="P25" s="1023">
        <f>SUM(D68:D72)</f>
        <v>11696000</v>
      </c>
      <c r="Q25" s="1024">
        <f>Q24*2</f>
        <v>7284000</v>
      </c>
      <c r="R25" s="1024">
        <f>R24*2</f>
        <v>8650000</v>
      </c>
      <c r="S25" s="1025">
        <f t="shared" ref="S25:S28" si="7">357000*F25</f>
        <v>8568000</v>
      </c>
      <c r="T25" s="1019"/>
    </row>
    <row r="26" spans="2:20" ht="14.25" customHeight="1">
      <c r="B26" s="1338"/>
      <c r="C26" s="1344"/>
      <c r="D26" s="1344"/>
      <c r="E26" s="1344"/>
      <c r="F26" s="1019">
        <v>36</v>
      </c>
      <c r="G26" s="1019"/>
      <c r="H26" s="1020">
        <v>0.14399999999999999</v>
      </c>
      <c r="I26" s="1020">
        <v>9.9699999999999997E-2</v>
      </c>
      <c r="J26" s="1021">
        <f>G26/$C$24</f>
        <v>0</v>
      </c>
      <c r="K26" s="1019"/>
      <c r="L26" s="1022">
        <v>0.59</v>
      </c>
      <c r="M26" s="1056">
        <f t="shared" si="6"/>
        <v>0.68242530749999997</v>
      </c>
      <c r="N26" s="1022">
        <f t="shared" si="0"/>
        <v>0.64</v>
      </c>
      <c r="O26" s="1021">
        <f>N26*C24</f>
        <v>145664000</v>
      </c>
      <c r="P26" s="1023">
        <f>SUM(E68:E72)</f>
        <v>16513000</v>
      </c>
      <c r="Q26" s="1024">
        <f>Q24*3</f>
        <v>10926000</v>
      </c>
      <c r="R26" s="1024">
        <f>R24*3</f>
        <v>12975000</v>
      </c>
      <c r="S26" s="1025">
        <f t="shared" si="7"/>
        <v>12852000</v>
      </c>
      <c r="T26" s="1019"/>
    </row>
    <row r="27" spans="2:20" ht="14.25" customHeight="1">
      <c r="B27" s="1338"/>
      <c r="C27" s="1344"/>
      <c r="D27" s="1344"/>
      <c r="E27" s="1344"/>
      <c r="F27" s="1019">
        <v>48</v>
      </c>
      <c r="G27" s="1019"/>
      <c r="H27" s="1020">
        <v>0.14399999999999999</v>
      </c>
      <c r="I27" s="1020">
        <v>9.9400000000000002E-2</v>
      </c>
      <c r="J27" s="1021">
        <f>G27/$C$24</f>
        <v>0</v>
      </c>
      <c r="K27" s="1019"/>
      <c r="L27" s="1022">
        <v>0.53</v>
      </c>
      <c r="M27" s="1056">
        <f t="shared" si="6"/>
        <v>0.59121265369999998</v>
      </c>
      <c r="N27" s="1022">
        <f t="shared" si="0"/>
        <v>0.56000000000000005</v>
      </c>
      <c r="O27" s="1021">
        <f>N27*C24</f>
        <v>127456000.00000001</v>
      </c>
      <c r="P27" s="1023">
        <f>SUM(F68:F72)</f>
        <v>20749000</v>
      </c>
      <c r="Q27" s="1026">
        <f>Q24*4</f>
        <v>14568000</v>
      </c>
      <c r="R27" s="1026">
        <f>R24*4</f>
        <v>17300000</v>
      </c>
      <c r="S27" s="1025">
        <f t="shared" si="7"/>
        <v>17136000</v>
      </c>
      <c r="T27" s="1019"/>
    </row>
    <row r="28" spans="2:20" ht="14.25" customHeight="1">
      <c r="B28" s="1350"/>
      <c r="C28" s="1352"/>
      <c r="D28" s="1352"/>
      <c r="E28" s="1352"/>
      <c r="F28" s="1073">
        <v>60</v>
      </c>
      <c r="G28" s="1073"/>
      <c r="H28" s="1028">
        <v>0.14299999999999999</v>
      </c>
      <c r="I28" s="1028">
        <v>9.9199999999999997E-2</v>
      </c>
      <c r="J28" s="1074">
        <f>G28/$C$24</f>
        <v>0</v>
      </c>
      <c r="K28" s="1073"/>
      <c r="L28" s="1030">
        <v>0.5</v>
      </c>
      <c r="M28" s="1030">
        <f>L28</f>
        <v>0.5</v>
      </c>
      <c r="N28" s="1030">
        <f t="shared" si="0"/>
        <v>0.5</v>
      </c>
      <c r="O28" s="1029">
        <f>N28*C24</f>
        <v>113800000</v>
      </c>
      <c r="P28" s="1031">
        <f>SUM(G68:G72)</f>
        <v>24757000</v>
      </c>
      <c r="Q28" s="1032">
        <f>Q24*5</f>
        <v>18210000</v>
      </c>
      <c r="R28" s="1032">
        <f>R24*5</f>
        <v>21625000</v>
      </c>
      <c r="S28" s="1033">
        <f t="shared" si="7"/>
        <v>21420000</v>
      </c>
      <c r="T28" s="1073"/>
    </row>
    <row r="29" spans="2:20" ht="14.25" customHeight="1">
      <c r="B29" s="1340" t="s">
        <v>450</v>
      </c>
      <c r="C29" s="1347">
        <v>231600000</v>
      </c>
      <c r="D29" s="1347">
        <v>5000000</v>
      </c>
      <c r="E29" s="1347">
        <f>C29-D29</f>
        <v>226600000</v>
      </c>
      <c r="F29" s="1034">
        <v>12</v>
      </c>
      <c r="G29" s="1034"/>
      <c r="H29" s="1035">
        <v>0.151</v>
      </c>
      <c r="I29" s="1035">
        <v>9.7299999999999998E-2</v>
      </c>
      <c r="J29" s="1036">
        <f>G29/$C$29</f>
        <v>0</v>
      </c>
      <c r="K29" s="1034"/>
      <c r="L29" s="1037">
        <v>0.67</v>
      </c>
      <c r="M29" s="1037">
        <f>M19</f>
        <v>0.85838655460000002</v>
      </c>
      <c r="N29" s="1037">
        <f t="shared" si="0"/>
        <v>0.76</v>
      </c>
      <c r="O29" s="1036">
        <f>N29*C29</f>
        <v>176016000</v>
      </c>
      <c r="P29" s="1038">
        <f>SUM(C73:C77)</f>
        <v>6368000</v>
      </c>
      <c r="Q29" s="1039">
        <f>ROUNDUP(1.6%*C29,-3)</f>
        <v>3706000</v>
      </c>
      <c r="R29" s="1039">
        <f>ROUNDUP(1.9%*C29,-3)</f>
        <v>4401000</v>
      </c>
      <c r="S29" s="1040">
        <f>386000*F29</f>
        <v>4632000</v>
      </c>
      <c r="T29" s="1034"/>
    </row>
    <row r="30" spans="2:20" ht="14.25" customHeight="1">
      <c r="B30" s="1341"/>
      <c r="C30" s="1348"/>
      <c r="D30" s="1348"/>
      <c r="E30" s="1348"/>
      <c r="F30" s="1041">
        <v>24</v>
      </c>
      <c r="G30" s="1041"/>
      <c r="H30" s="1042">
        <v>0.14499999999999999</v>
      </c>
      <c r="I30" s="1042">
        <v>9.9500000000000005E-2</v>
      </c>
      <c r="J30" s="1043">
        <f>G30/$C$29</f>
        <v>0</v>
      </c>
      <c r="K30" s="1041"/>
      <c r="L30" s="1044">
        <v>0.62</v>
      </c>
      <c r="M30" s="1044">
        <f t="shared" ref="M30:M32" si="8">M20</f>
        <v>0.7587899159</v>
      </c>
      <c r="N30" s="1044">
        <f t="shared" si="0"/>
        <v>0.69</v>
      </c>
      <c r="O30" s="1043">
        <f>N30*C29</f>
        <v>159804000</v>
      </c>
      <c r="P30" s="1045">
        <f>SUM(D73:D77)</f>
        <v>11878000</v>
      </c>
      <c r="Q30" s="1046">
        <f>Q29*2</f>
        <v>7412000</v>
      </c>
      <c r="R30" s="1046">
        <f>R29*2</f>
        <v>8802000</v>
      </c>
      <c r="S30" s="1047">
        <f t="shared" ref="S30:S33" si="9">386000*F30</f>
        <v>9264000</v>
      </c>
      <c r="T30" s="1041"/>
    </row>
    <row r="31" spans="2:20" ht="14.25" customHeight="1">
      <c r="B31" s="1341"/>
      <c r="C31" s="1348"/>
      <c r="D31" s="1348"/>
      <c r="E31" s="1348"/>
      <c r="F31" s="1041">
        <v>36</v>
      </c>
      <c r="G31" s="1041"/>
      <c r="H31" s="1042">
        <v>0.14399999999999999</v>
      </c>
      <c r="I31" s="1042">
        <v>9.9699999999999997E-2</v>
      </c>
      <c r="J31" s="1043">
        <f>G31/$C$29</f>
        <v>0</v>
      </c>
      <c r="K31" s="1041"/>
      <c r="L31" s="1044">
        <v>0.57999999999999996</v>
      </c>
      <c r="M31" s="1044">
        <f t="shared" si="8"/>
        <v>0.65919327719999998</v>
      </c>
      <c r="N31" s="1044">
        <f t="shared" si="0"/>
        <v>0.62</v>
      </c>
      <c r="O31" s="1043">
        <f>N31*C29</f>
        <v>143592000</v>
      </c>
      <c r="P31" s="1045">
        <f>SUM(E73:E77)</f>
        <v>16769000</v>
      </c>
      <c r="Q31" s="1046">
        <f>Q29*3</f>
        <v>11118000</v>
      </c>
      <c r="R31" s="1046">
        <f>R29*3</f>
        <v>13203000</v>
      </c>
      <c r="S31" s="1047">
        <f t="shared" si="9"/>
        <v>13896000</v>
      </c>
      <c r="T31" s="1041"/>
    </row>
    <row r="32" spans="2:20" ht="14.25" customHeight="1">
      <c r="B32" s="1341"/>
      <c r="C32" s="1348"/>
      <c r="D32" s="1348"/>
      <c r="E32" s="1348"/>
      <c r="F32" s="1041">
        <v>48</v>
      </c>
      <c r="G32" s="1041"/>
      <c r="H32" s="1042">
        <v>0.14399999999999999</v>
      </c>
      <c r="I32" s="1042">
        <v>9.9400000000000002E-2</v>
      </c>
      <c r="J32" s="1043">
        <f>G32/$C$29</f>
        <v>0</v>
      </c>
      <c r="K32" s="1041"/>
      <c r="L32" s="1044">
        <v>0.51</v>
      </c>
      <c r="M32" s="1044">
        <f t="shared" si="8"/>
        <v>0.55959663849999997</v>
      </c>
      <c r="N32" s="1044">
        <f t="shared" si="0"/>
        <v>0.53</v>
      </c>
      <c r="O32" s="1043">
        <f>N32*C29</f>
        <v>122748000</v>
      </c>
      <c r="P32" s="1045">
        <f>SUM(F73:F77)</f>
        <v>21069000</v>
      </c>
      <c r="Q32" s="1048">
        <f>Q29*4</f>
        <v>14824000</v>
      </c>
      <c r="R32" s="1048">
        <f>R29*4</f>
        <v>17604000</v>
      </c>
      <c r="S32" s="1047">
        <f t="shared" si="9"/>
        <v>18528000</v>
      </c>
      <c r="T32" s="1041"/>
    </row>
    <row r="33" spans="2:20" ht="14.25" customHeight="1">
      <c r="B33" s="1342"/>
      <c r="C33" s="1349"/>
      <c r="D33" s="1349"/>
      <c r="E33" s="1349"/>
      <c r="F33" s="1049">
        <v>60</v>
      </c>
      <c r="G33" s="1049"/>
      <c r="H33" s="1050">
        <v>0.14299999999999999</v>
      </c>
      <c r="I33" s="1050">
        <v>9.9199999999999997E-2</v>
      </c>
      <c r="J33" s="1051">
        <f>G33/$C$29</f>
        <v>0</v>
      </c>
      <c r="K33" s="1049"/>
      <c r="L33" s="1052">
        <v>0.46</v>
      </c>
      <c r="M33" s="1052">
        <f>L33</f>
        <v>0.46</v>
      </c>
      <c r="N33" s="1052">
        <f t="shared" si="0"/>
        <v>0.46</v>
      </c>
      <c r="O33" s="1051">
        <f>N33*C29</f>
        <v>106536000</v>
      </c>
      <c r="P33" s="1053">
        <f>SUM(G73:G77)</f>
        <v>25137000</v>
      </c>
      <c r="Q33" s="1054">
        <f>Q29*5</f>
        <v>18530000</v>
      </c>
      <c r="R33" s="1054">
        <f>R29*5</f>
        <v>22005000</v>
      </c>
      <c r="S33" s="1055">
        <f t="shared" si="9"/>
        <v>23160000</v>
      </c>
      <c r="T33" s="1049"/>
    </row>
    <row r="34" spans="2:20" ht="14.25" customHeight="1">
      <c r="B34" s="1346" t="s">
        <v>451</v>
      </c>
      <c r="C34" s="1351">
        <v>220600000</v>
      </c>
      <c r="D34" s="1351">
        <v>5000000</v>
      </c>
      <c r="E34" s="1351">
        <f>C34-D34</f>
        <v>215600000</v>
      </c>
      <c r="F34" s="1071">
        <v>12</v>
      </c>
      <c r="G34" s="1071"/>
      <c r="H34" s="1013">
        <v>0.151</v>
      </c>
      <c r="I34" s="1013">
        <v>9.7299999999999998E-2</v>
      </c>
      <c r="J34" s="1072">
        <f>G34/$C$34</f>
        <v>0</v>
      </c>
      <c r="K34" s="1071"/>
      <c r="L34" s="1015">
        <v>0.7</v>
      </c>
      <c r="M34" s="1056">
        <f>M24</f>
        <v>0.86485061510000005</v>
      </c>
      <c r="N34" s="1056">
        <f t="shared" si="0"/>
        <v>0.78</v>
      </c>
      <c r="O34" s="1014">
        <f>N34*C34</f>
        <v>172068000</v>
      </c>
      <c r="P34" s="1016">
        <f>SUM(C78:C82)</f>
        <v>6098000</v>
      </c>
      <c r="Q34" s="1017">
        <f>ROUNDUP(1.6%*C34,-3)</f>
        <v>3530000</v>
      </c>
      <c r="R34" s="1017">
        <f>ROUNDUP(1.9%*C34,-3)</f>
        <v>4192000</v>
      </c>
      <c r="S34" s="1018">
        <f>357000*F34</f>
        <v>4284000</v>
      </c>
      <c r="T34" s="1071"/>
    </row>
    <row r="35" spans="2:20" ht="14.25" customHeight="1">
      <c r="B35" s="1338"/>
      <c r="C35" s="1344"/>
      <c r="D35" s="1344"/>
      <c r="E35" s="1344"/>
      <c r="F35" s="1019">
        <v>24</v>
      </c>
      <c r="G35" s="1019"/>
      <c r="H35" s="1020">
        <v>0.14499999999999999</v>
      </c>
      <c r="I35" s="1020">
        <v>9.9500000000000005E-2</v>
      </c>
      <c r="J35" s="1021">
        <f>G35/$C$34</f>
        <v>0</v>
      </c>
      <c r="K35" s="1019"/>
      <c r="L35" s="1022">
        <v>0.65</v>
      </c>
      <c r="M35" s="1056">
        <f t="shared" ref="M35:M37" si="10">M25</f>
        <v>0.77363796129999995</v>
      </c>
      <c r="N35" s="1022">
        <f t="shared" si="0"/>
        <v>0.71</v>
      </c>
      <c r="O35" s="1021">
        <f>N35*C34</f>
        <v>156626000</v>
      </c>
      <c r="P35" s="1023">
        <f>SUM(D78:D82)</f>
        <v>11375000</v>
      </c>
      <c r="Q35" s="1024">
        <f>Q34*2</f>
        <v>7060000</v>
      </c>
      <c r="R35" s="1024">
        <f>R34*2</f>
        <v>8384000</v>
      </c>
      <c r="S35" s="1025">
        <f t="shared" ref="S35:S38" si="11">357000*F35</f>
        <v>8568000</v>
      </c>
      <c r="T35" s="1019"/>
    </row>
    <row r="36" spans="2:20" ht="14.25" customHeight="1">
      <c r="B36" s="1338"/>
      <c r="C36" s="1344"/>
      <c r="D36" s="1344"/>
      <c r="E36" s="1344"/>
      <c r="F36" s="1019">
        <v>36</v>
      </c>
      <c r="G36" s="1019"/>
      <c r="H36" s="1020">
        <v>0.14399999999999999</v>
      </c>
      <c r="I36" s="1020">
        <v>9.9699999999999997E-2</v>
      </c>
      <c r="J36" s="1021">
        <f>G36/$C$34</f>
        <v>0</v>
      </c>
      <c r="K36" s="1019"/>
      <c r="L36" s="1022">
        <v>0.59</v>
      </c>
      <c r="M36" s="1056">
        <f t="shared" si="10"/>
        <v>0.68242530749999997</v>
      </c>
      <c r="N36" s="1022">
        <f t="shared" si="0"/>
        <v>0.64</v>
      </c>
      <c r="O36" s="1021">
        <f>N36*C34</f>
        <v>141184000</v>
      </c>
      <c r="P36" s="1023">
        <f>SUM(E78:E82)</f>
        <v>16064000</v>
      </c>
      <c r="Q36" s="1024">
        <f>Q34*3</f>
        <v>10590000</v>
      </c>
      <c r="R36" s="1024">
        <f>R34*3</f>
        <v>12576000</v>
      </c>
      <c r="S36" s="1025">
        <f t="shared" si="11"/>
        <v>12852000</v>
      </c>
      <c r="T36" s="1019"/>
    </row>
    <row r="37" spans="2:20" ht="14.25" customHeight="1">
      <c r="B37" s="1338"/>
      <c r="C37" s="1344"/>
      <c r="D37" s="1344"/>
      <c r="E37" s="1344"/>
      <c r="F37" s="1019">
        <v>48</v>
      </c>
      <c r="G37" s="1019"/>
      <c r="H37" s="1020">
        <v>0.14399999999999999</v>
      </c>
      <c r="I37" s="1020">
        <v>9.9400000000000002E-2</v>
      </c>
      <c r="J37" s="1021">
        <f>G37/$C$34</f>
        <v>0</v>
      </c>
      <c r="K37" s="1019"/>
      <c r="L37" s="1022">
        <v>0.53</v>
      </c>
      <c r="M37" s="1056">
        <f t="shared" si="10"/>
        <v>0.59121265369999998</v>
      </c>
      <c r="N37" s="1022">
        <f t="shared" si="0"/>
        <v>0.56000000000000005</v>
      </c>
      <c r="O37" s="1021">
        <f>N37*C34</f>
        <v>123536000.00000001</v>
      </c>
      <c r="P37" s="1023">
        <f>SUM(F78:F82)</f>
        <v>20270000</v>
      </c>
      <c r="Q37" s="1026">
        <f>Q34*4</f>
        <v>14120000</v>
      </c>
      <c r="R37" s="1026">
        <f>R34*4</f>
        <v>16768000</v>
      </c>
      <c r="S37" s="1025">
        <f t="shared" si="11"/>
        <v>17136000</v>
      </c>
      <c r="T37" s="1019"/>
    </row>
    <row r="38" spans="2:20" ht="14.25" customHeight="1">
      <c r="B38" s="1350"/>
      <c r="C38" s="1352"/>
      <c r="D38" s="1352"/>
      <c r="E38" s="1352"/>
      <c r="F38" s="1073">
        <v>60</v>
      </c>
      <c r="G38" s="1073"/>
      <c r="H38" s="1028">
        <v>0.14299999999999999</v>
      </c>
      <c r="I38" s="1028">
        <v>9.9199999999999997E-2</v>
      </c>
      <c r="J38" s="1074">
        <f>G38/$C$34</f>
        <v>0</v>
      </c>
      <c r="K38" s="1073"/>
      <c r="L38" s="1030">
        <v>0.5</v>
      </c>
      <c r="M38" s="1030">
        <f>L38</f>
        <v>0.5</v>
      </c>
      <c r="N38" s="1030">
        <f t="shared" si="0"/>
        <v>0.5</v>
      </c>
      <c r="O38" s="1029">
        <f>N38*C34</f>
        <v>110300000</v>
      </c>
      <c r="P38" s="1031">
        <f>SUM(G78:G82)</f>
        <v>25052000</v>
      </c>
      <c r="Q38" s="1032">
        <f>Q34*5</f>
        <v>17650000</v>
      </c>
      <c r="R38" s="1032">
        <f>R34*5</f>
        <v>20960000</v>
      </c>
      <c r="S38" s="1033">
        <f t="shared" si="11"/>
        <v>21420000</v>
      </c>
      <c r="T38" s="1073"/>
    </row>
    <row r="39" spans="2:20" ht="14.25" customHeight="1">
      <c r="B39" s="1340" t="s">
        <v>452</v>
      </c>
      <c r="C39" s="1347">
        <v>204100000</v>
      </c>
      <c r="D39" s="1347">
        <v>5000000</v>
      </c>
      <c r="E39" s="1347">
        <f>C39-D39</f>
        <v>199100000</v>
      </c>
      <c r="F39" s="1034">
        <v>12</v>
      </c>
      <c r="G39" s="1034"/>
      <c r="H39" s="1035">
        <v>0.151</v>
      </c>
      <c r="I39" s="1035">
        <v>9.7299999999999998E-2</v>
      </c>
      <c r="J39" s="1036">
        <f>G39/$C$39</f>
        <v>0</v>
      </c>
      <c r="K39" s="1034"/>
      <c r="L39" s="1037">
        <v>0.7</v>
      </c>
      <c r="M39" s="1037">
        <f>M34</f>
        <v>0.86485061510000005</v>
      </c>
      <c r="N39" s="1037">
        <f t="shared" si="0"/>
        <v>0.78</v>
      </c>
      <c r="O39" s="1036">
        <f>N39*C39</f>
        <v>159198000</v>
      </c>
      <c r="P39" s="1038">
        <f>SUM(C83:C87)</f>
        <v>5691000</v>
      </c>
      <c r="Q39" s="1039">
        <f>ROUNDUP(1.6%*C39,-3)</f>
        <v>3266000</v>
      </c>
      <c r="R39" s="1039">
        <f>ROUNDUP(1.9%*C39,-3)</f>
        <v>3878000</v>
      </c>
      <c r="S39" s="1040">
        <f>357000*F39</f>
        <v>4284000</v>
      </c>
      <c r="T39" s="1034"/>
    </row>
    <row r="40" spans="2:20" ht="14.25" customHeight="1">
      <c r="B40" s="1341"/>
      <c r="C40" s="1348"/>
      <c r="D40" s="1348"/>
      <c r="E40" s="1348"/>
      <c r="F40" s="1041">
        <v>24</v>
      </c>
      <c r="G40" s="1041"/>
      <c r="H40" s="1042">
        <v>0.14499999999999999</v>
      </c>
      <c r="I40" s="1042">
        <v>9.9500000000000005E-2</v>
      </c>
      <c r="J40" s="1043">
        <f t="shared" ref="J40:J43" si="12">G40/$C$39</f>
        <v>0</v>
      </c>
      <c r="K40" s="1041"/>
      <c r="L40" s="1044">
        <v>0.65</v>
      </c>
      <c r="M40" s="1044">
        <f t="shared" ref="M40:M42" si="13">M35</f>
        <v>0.77363796129999995</v>
      </c>
      <c r="N40" s="1044">
        <f t="shared" si="0"/>
        <v>0.71</v>
      </c>
      <c r="O40" s="1043">
        <f>N40*C39</f>
        <v>144911000</v>
      </c>
      <c r="P40" s="1045">
        <f>SUM(D83:D87)</f>
        <v>10620000</v>
      </c>
      <c r="Q40" s="1046">
        <f>Q39*2</f>
        <v>6532000</v>
      </c>
      <c r="R40" s="1046">
        <f>R39*2</f>
        <v>7756000</v>
      </c>
      <c r="S40" s="1047">
        <f t="shared" ref="S40:S43" si="14">357000*F40</f>
        <v>8568000</v>
      </c>
      <c r="T40" s="1041"/>
    </row>
    <row r="41" spans="2:20" ht="14.25" customHeight="1">
      <c r="B41" s="1341"/>
      <c r="C41" s="1348"/>
      <c r="D41" s="1348"/>
      <c r="E41" s="1348"/>
      <c r="F41" s="1041">
        <v>36</v>
      </c>
      <c r="G41" s="1041"/>
      <c r="H41" s="1042">
        <v>0.14399999999999999</v>
      </c>
      <c r="I41" s="1042">
        <v>9.9699999999999997E-2</v>
      </c>
      <c r="J41" s="1043">
        <f t="shared" si="12"/>
        <v>0</v>
      </c>
      <c r="K41" s="1041"/>
      <c r="L41" s="1044">
        <v>0.59</v>
      </c>
      <c r="M41" s="1044">
        <f t="shared" si="13"/>
        <v>0.68242530749999997</v>
      </c>
      <c r="N41" s="1044">
        <f t="shared" si="0"/>
        <v>0.64</v>
      </c>
      <c r="O41" s="1043">
        <f>N41*C39</f>
        <v>130624000</v>
      </c>
      <c r="P41" s="1045">
        <f>SUM(E83:E87)</f>
        <v>15086000</v>
      </c>
      <c r="Q41" s="1046">
        <f>Q39*3</f>
        <v>9798000</v>
      </c>
      <c r="R41" s="1046">
        <f>R39*3</f>
        <v>11634000</v>
      </c>
      <c r="S41" s="1047">
        <f t="shared" si="14"/>
        <v>12852000</v>
      </c>
      <c r="T41" s="1041"/>
    </row>
    <row r="42" spans="2:20" ht="14.25" customHeight="1">
      <c r="B42" s="1341"/>
      <c r="C42" s="1348"/>
      <c r="D42" s="1348"/>
      <c r="E42" s="1348"/>
      <c r="F42" s="1041">
        <v>48</v>
      </c>
      <c r="G42" s="1041"/>
      <c r="H42" s="1042">
        <v>0.14399999999999999</v>
      </c>
      <c r="I42" s="1042">
        <v>9.9400000000000002E-2</v>
      </c>
      <c r="J42" s="1043">
        <f t="shared" si="12"/>
        <v>0</v>
      </c>
      <c r="K42" s="1041"/>
      <c r="L42" s="1044">
        <v>0.53</v>
      </c>
      <c r="M42" s="1044">
        <f t="shared" si="13"/>
        <v>0.59121265369999998</v>
      </c>
      <c r="N42" s="1044">
        <f t="shared" si="0"/>
        <v>0.56000000000000005</v>
      </c>
      <c r="O42" s="1043">
        <f>N42*C39</f>
        <v>114296000.00000001</v>
      </c>
      <c r="P42" s="1045">
        <f>SUM(F83:F87)</f>
        <v>19909000</v>
      </c>
      <c r="Q42" s="1048">
        <f>Q39*4</f>
        <v>13064000</v>
      </c>
      <c r="R42" s="1048">
        <f>R39*4</f>
        <v>15512000</v>
      </c>
      <c r="S42" s="1047">
        <f t="shared" si="14"/>
        <v>17136000</v>
      </c>
      <c r="T42" s="1041"/>
    </row>
    <row r="43" spans="2:20" ht="14.25" customHeight="1">
      <c r="B43" s="1342"/>
      <c r="C43" s="1349"/>
      <c r="D43" s="1349"/>
      <c r="E43" s="1349"/>
      <c r="F43" s="1049">
        <v>60</v>
      </c>
      <c r="G43" s="1049"/>
      <c r="H43" s="1050">
        <v>0.14299999999999999</v>
      </c>
      <c r="I43" s="1050">
        <v>9.9199999999999997E-2</v>
      </c>
      <c r="J43" s="1051">
        <f t="shared" si="12"/>
        <v>0</v>
      </c>
      <c r="K43" s="1049"/>
      <c r="L43" s="1052">
        <v>0.5</v>
      </c>
      <c r="M43" s="1052">
        <f>L43</f>
        <v>0.5</v>
      </c>
      <c r="N43" s="1052">
        <f t="shared" si="0"/>
        <v>0.5</v>
      </c>
      <c r="O43" s="1051">
        <f>N43*C39</f>
        <v>102050000</v>
      </c>
      <c r="P43" s="1053">
        <f>SUM(G83:G87)</f>
        <v>24379000</v>
      </c>
      <c r="Q43" s="1054">
        <f>Q39*5</f>
        <v>16330000</v>
      </c>
      <c r="R43" s="1054">
        <f>R39*5</f>
        <v>19390000</v>
      </c>
      <c r="S43" s="1055">
        <f t="shared" si="14"/>
        <v>21420000</v>
      </c>
      <c r="T43" s="1049"/>
    </row>
    <row r="46" spans="2:20">
      <c r="I46" s="1075" t="s">
        <v>453</v>
      </c>
    </row>
    <row r="47" spans="2:20">
      <c r="B47" s="1061" t="s">
        <v>442</v>
      </c>
      <c r="C47" s="1062">
        <v>12</v>
      </c>
      <c r="D47" s="1062">
        <v>24</v>
      </c>
      <c r="E47" s="1062">
        <v>36</v>
      </c>
      <c r="F47" s="1062">
        <v>48</v>
      </c>
      <c r="G47" s="1063">
        <v>60</v>
      </c>
      <c r="I47" s="1075" t="s">
        <v>454</v>
      </c>
    </row>
    <row r="48" spans="2:20">
      <c r="B48" s="1337" t="s">
        <v>445</v>
      </c>
      <c r="C48" s="1064">
        <v>6972000</v>
      </c>
      <c r="D48" s="1064">
        <v>6518000</v>
      </c>
      <c r="E48" s="1064">
        <v>6518000</v>
      </c>
      <c r="F48" s="1064">
        <v>6518000</v>
      </c>
      <c r="G48" s="1064">
        <v>6518000</v>
      </c>
      <c r="I48" s="1076">
        <v>12660000</v>
      </c>
    </row>
    <row r="49" spans="2:9">
      <c r="B49" s="1338"/>
      <c r="C49" s="1065"/>
      <c r="D49" s="1065">
        <v>5801000</v>
      </c>
      <c r="E49" s="1065">
        <v>5338000</v>
      </c>
      <c r="F49" s="1065">
        <v>5338000</v>
      </c>
      <c r="G49" s="1065">
        <v>5338000</v>
      </c>
      <c r="I49" s="1077"/>
    </row>
    <row r="50" spans="2:9">
      <c r="B50" s="1338"/>
      <c r="C50" s="1065"/>
      <c r="D50" s="1065"/>
      <c r="E50" s="1065">
        <v>5859000</v>
      </c>
      <c r="F50" s="1065">
        <v>5454000</v>
      </c>
      <c r="G50" s="1065">
        <v>5454000</v>
      </c>
      <c r="I50" s="1077"/>
    </row>
    <row r="51" spans="2:9">
      <c r="B51" s="1338"/>
      <c r="C51" s="1065"/>
      <c r="D51" s="1065"/>
      <c r="E51" s="1065"/>
      <c r="F51" s="1065">
        <v>5138000</v>
      </c>
      <c r="G51" s="1065">
        <v>4763000</v>
      </c>
      <c r="I51" s="1077"/>
    </row>
    <row r="52" spans="2:9">
      <c r="B52" s="1339"/>
      <c r="C52" s="1066"/>
      <c r="D52" s="1066"/>
      <c r="E52" s="1066"/>
      <c r="F52" s="1066"/>
      <c r="G52" s="1066">
        <v>4763000</v>
      </c>
      <c r="I52" s="1078"/>
    </row>
    <row r="53" spans="2:9">
      <c r="B53" s="1340" t="s">
        <v>446</v>
      </c>
      <c r="C53" s="1067">
        <v>6760000</v>
      </c>
      <c r="D53" s="1067">
        <v>6320000</v>
      </c>
      <c r="E53" s="1067">
        <v>6320000</v>
      </c>
      <c r="F53" s="1067">
        <v>6320000</v>
      </c>
      <c r="G53" s="1067">
        <v>6320000</v>
      </c>
      <c r="I53" s="1076">
        <v>12498000</v>
      </c>
    </row>
    <row r="54" spans="2:9">
      <c r="B54" s="1341"/>
      <c r="C54" s="1068"/>
      <c r="D54" s="1068">
        <v>5629000</v>
      </c>
      <c r="E54" s="1068">
        <v>5179000</v>
      </c>
      <c r="F54" s="1068">
        <v>5179000</v>
      </c>
      <c r="G54" s="1068">
        <v>5179000</v>
      </c>
      <c r="I54" s="1077"/>
    </row>
    <row r="55" spans="2:9">
      <c r="B55" s="1341"/>
      <c r="C55" s="1068"/>
      <c r="D55" s="1068"/>
      <c r="E55" s="1068">
        <v>5684000</v>
      </c>
      <c r="F55" s="1068">
        <v>5292000</v>
      </c>
      <c r="G55" s="1068">
        <v>5292000</v>
      </c>
      <c r="I55" s="1077"/>
    </row>
    <row r="56" spans="2:9">
      <c r="B56" s="1341"/>
      <c r="C56" s="1068"/>
      <c r="D56" s="1068"/>
      <c r="E56" s="1068"/>
      <c r="F56" s="1068">
        <v>4988000</v>
      </c>
      <c r="G56" s="1068">
        <v>4624000</v>
      </c>
      <c r="I56" s="1077"/>
    </row>
    <row r="57" spans="2:9">
      <c r="B57" s="1342"/>
      <c r="C57" s="1069"/>
      <c r="D57" s="1069"/>
      <c r="E57" s="1069"/>
      <c r="F57" s="1069"/>
      <c r="G57" s="1069">
        <v>4626000</v>
      </c>
      <c r="I57" s="1078"/>
    </row>
    <row r="58" spans="2:9">
      <c r="B58" s="1337" t="s">
        <v>447</v>
      </c>
      <c r="C58" s="1070">
        <v>6580000</v>
      </c>
      <c r="D58" s="1070">
        <v>6092000</v>
      </c>
      <c r="E58" s="1070">
        <v>6092000</v>
      </c>
      <c r="F58" s="1070">
        <v>6092000</v>
      </c>
      <c r="G58" s="1070">
        <v>6092000</v>
      </c>
      <c r="I58" s="1076">
        <v>12298000</v>
      </c>
    </row>
    <row r="59" spans="2:9">
      <c r="B59" s="1338"/>
      <c r="C59" s="1065"/>
      <c r="D59" s="1065">
        <v>6180000</v>
      </c>
      <c r="E59" s="1065">
        <v>5746000</v>
      </c>
      <c r="F59" s="1065">
        <v>5746000</v>
      </c>
      <c r="G59" s="1065">
        <v>5746000</v>
      </c>
      <c r="I59" s="1077"/>
    </row>
    <row r="60" spans="2:9">
      <c r="B60" s="1338"/>
      <c r="C60" s="1065"/>
      <c r="D60" s="1065"/>
      <c r="E60" s="1065">
        <v>5484000</v>
      </c>
      <c r="F60" s="1065">
        <v>5105000</v>
      </c>
      <c r="G60" s="1065">
        <v>5105000</v>
      </c>
      <c r="I60" s="1077"/>
    </row>
    <row r="61" spans="2:9">
      <c r="B61" s="1338"/>
      <c r="C61" s="1065"/>
      <c r="D61" s="1065"/>
      <c r="E61" s="1065"/>
      <c r="F61" s="1065">
        <v>4815000</v>
      </c>
      <c r="G61" s="1065">
        <v>4464000</v>
      </c>
      <c r="I61" s="1077"/>
    </row>
    <row r="62" spans="2:9">
      <c r="B62" s="1339"/>
      <c r="C62" s="1066"/>
      <c r="D62" s="1066"/>
      <c r="E62" s="1066"/>
      <c r="F62" s="1066"/>
      <c r="G62" s="1066">
        <v>4548000</v>
      </c>
      <c r="I62" s="1078"/>
    </row>
    <row r="63" spans="2:9">
      <c r="B63" s="1340" t="s">
        <v>448</v>
      </c>
      <c r="C63" s="1067">
        <v>6526000</v>
      </c>
      <c r="D63" s="1067">
        <v>6042000</v>
      </c>
      <c r="E63" s="1067">
        <v>6042000</v>
      </c>
      <c r="F63" s="1067">
        <v>6042000</v>
      </c>
      <c r="G63" s="1067">
        <v>6042000</v>
      </c>
      <c r="I63" s="1076">
        <v>12280000</v>
      </c>
    </row>
    <row r="64" spans="2:9">
      <c r="B64" s="1341"/>
      <c r="C64" s="1068"/>
      <c r="D64" s="1068">
        <v>6129000</v>
      </c>
      <c r="E64" s="1068">
        <v>5699000</v>
      </c>
      <c r="F64" s="1068">
        <v>5699000</v>
      </c>
      <c r="G64" s="1068">
        <v>5699000</v>
      </c>
      <c r="I64" s="1077"/>
    </row>
    <row r="65" spans="2:9">
      <c r="B65" s="1341"/>
      <c r="C65" s="1068"/>
      <c r="D65" s="1068"/>
      <c r="E65" s="1068">
        <v>5440000</v>
      </c>
      <c r="F65" s="1068">
        <v>5064000</v>
      </c>
      <c r="G65" s="1068">
        <v>5064000</v>
      </c>
      <c r="I65" s="1077"/>
    </row>
    <row r="66" spans="2:9">
      <c r="B66" s="1341"/>
      <c r="C66" s="1068"/>
      <c r="D66" s="1068"/>
      <c r="E66" s="1068"/>
      <c r="F66" s="1068">
        <v>4777000</v>
      </c>
      <c r="G66" s="1068">
        <v>4428000</v>
      </c>
      <c r="I66" s="1077"/>
    </row>
    <row r="67" spans="2:9">
      <c r="B67" s="1342"/>
      <c r="C67" s="1069"/>
      <c r="D67" s="1069"/>
      <c r="E67" s="1069"/>
      <c r="F67" s="1069"/>
      <c r="G67" s="1069">
        <v>4512000</v>
      </c>
      <c r="I67" s="1078"/>
    </row>
    <row r="68" spans="2:9">
      <c r="B68" s="1346" t="s">
        <v>449</v>
      </c>
      <c r="C68" s="1070">
        <v>6270000</v>
      </c>
      <c r="D68" s="1070">
        <v>5805000</v>
      </c>
      <c r="E68" s="1070">
        <v>5805000</v>
      </c>
      <c r="F68" s="1070">
        <v>5805000</v>
      </c>
      <c r="G68" s="1070">
        <v>5805000</v>
      </c>
      <c r="I68" s="1076">
        <v>14592000</v>
      </c>
    </row>
    <row r="69" spans="2:9">
      <c r="B69" s="1338"/>
      <c r="C69" s="1065"/>
      <c r="D69" s="1065">
        <v>5891000</v>
      </c>
      <c r="E69" s="1065">
        <v>5477000</v>
      </c>
      <c r="F69" s="1065">
        <v>5477000</v>
      </c>
      <c r="G69" s="1065">
        <v>5477000</v>
      </c>
      <c r="I69" s="1077"/>
    </row>
    <row r="70" spans="2:9">
      <c r="B70" s="1338"/>
      <c r="C70" s="1065"/>
      <c r="D70" s="1065"/>
      <c r="E70" s="1065">
        <v>5231000</v>
      </c>
      <c r="F70" s="1065">
        <v>4869000</v>
      </c>
      <c r="G70" s="1065">
        <v>4869000</v>
      </c>
      <c r="I70" s="1077"/>
    </row>
    <row r="71" spans="2:9">
      <c r="B71" s="1338"/>
      <c r="C71" s="1065"/>
      <c r="D71" s="1065"/>
      <c r="E71" s="1065"/>
      <c r="F71" s="1065">
        <v>4598000</v>
      </c>
      <c r="G71" s="1065">
        <v>4262000</v>
      </c>
      <c r="I71" s="1077"/>
    </row>
    <row r="72" spans="2:9">
      <c r="B72" s="1350"/>
      <c r="C72" s="1066"/>
      <c r="D72" s="1066"/>
      <c r="E72" s="1066"/>
      <c r="F72" s="1066"/>
      <c r="G72" s="1066">
        <v>4344000</v>
      </c>
      <c r="I72" s="1078"/>
    </row>
    <row r="73" spans="2:9">
      <c r="B73" s="1340" t="s">
        <v>450</v>
      </c>
      <c r="C73" s="1067">
        <v>6368000</v>
      </c>
      <c r="D73" s="1067">
        <v>5896000</v>
      </c>
      <c r="E73" s="1067">
        <v>5896000</v>
      </c>
      <c r="F73" s="1067">
        <v>5896000</v>
      </c>
      <c r="G73" s="1067">
        <v>5896000</v>
      </c>
      <c r="I73" s="1076">
        <v>12200000</v>
      </c>
    </row>
    <row r="74" spans="2:9">
      <c r="B74" s="1341"/>
      <c r="C74" s="1068"/>
      <c r="D74" s="1068">
        <v>5982000</v>
      </c>
      <c r="E74" s="1068">
        <v>5562000</v>
      </c>
      <c r="F74" s="1068">
        <v>5562000</v>
      </c>
      <c r="G74" s="1068">
        <v>5562000</v>
      </c>
      <c r="I74" s="1077"/>
    </row>
    <row r="75" spans="2:9">
      <c r="B75" s="1341"/>
      <c r="C75" s="1068"/>
      <c r="D75" s="1068"/>
      <c r="E75" s="1068">
        <v>5311000</v>
      </c>
      <c r="F75" s="1068">
        <v>4944000</v>
      </c>
      <c r="G75" s="1068">
        <v>4944000</v>
      </c>
      <c r="I75" s="1077"/>
    </row>
    <row r="76" spans="2:9">
      <c r="B76" s="1341"/>
      <c r="C76" s="1068"/>
      <c r="D76" s="1068"/>
      <c r="E76" s="1068"/>
      <c r="F76" s="1068">
        <v>4667000</v>
      </c>
      <c r="G76" s="1068">
        <v>4326000</v>
      </c>
      <c r="I76" s="1077"/>
    </row>
    <row r="77" spans="2:9">
      <c r="B77" s="1342"/>
      <c r="C77" s="1069"/>
      <c r="D77" s="1069"/>
      <c r="E77" s="1069"/>
      <c r="F77" s="1069"/>
      <c r="G77" s="1069">
        <v>4409000</v>
      </c>
      <c r="I77" s="1078"/>
    </row>
    <row r="78" spans="2:9">
      <c r="B78" s="1346" t="s">
        <v>451</v>
      </c>
      <c r="C78" s="1070">
        <v>6098000</v>
      </c>
      <c r="D78" s="1070">
        <v>5645000</v>
      </c>
      <c r="E78" s="1070">
        <v>5645000</v>
      </c>
      <c r="F78" s="1070">
        <v>5645000</v>
      </c>
      <c r="G78" s="1070">
        <v>5645000</v>
      </c>
      <c r="I78" s="1076">
        <v>14480000</v>
      </c>
    </row>
    <row r="79" spans="2:9">
      <c r="B79" s="1338"/>
      <c r="C79" s="1065"/>
      <c r="D79" s="1065">
        <v>5730000</v>
      </c>
      <c r="E79" s="1065">
        <v>5328000</v>
      </c>
      <c r="F79" s="1065">
        <v>5328000</v>
      </c>
      <c r="G79" s="1065">
        <v>5328000</v>
      </c>
      <c r="I79" s="1077"/>
    </row>
    <row r="80" spans="2:9">
      <c r="B80" s="1338"/>
      <c r="C80" s="1065"/>
      <c r="D80" s="1065"/>
      <c r="E80" s="1065">
        <v>5091000</v>
      </c>
      <c r="F80" s="1065">
        <v>4739000</v>
      </c>
      <c r="G80" s="1065">
        <v>4739000</v>
      </c>
      <c r="I80" s="1077"/>
    </row>
    <row r="81" spans="2:9">
      <c r="B81" s="1338"/>
      <c r="C81" s="1065"/>
      <c r="D81" s="1065"/>
      <c r="E81" s="1065"/>
      <c r="F81" s="1065">
        <v>4558000</v>
      </c>
      <c r="G81" s="1065">
        <v>4150000</v>
      </c>
      <c r="I81" s="1077"/>
    </row>
    <row r="82" spans="2:9">
      <c r="B82" s="1350"/>
      <c r="C82" s="1066"/>
      <c r="D82" s="1066"/>
      <c r="E82" s="1066"/>
      <c r="F82" s="1066"/>
      <c r="G82" s="1066">
        <v>5190000</v>
      </c>
      <c r="I82" s="1078"/>
    </row>
    <row r="83" spans="2:9">
      <c r="B83" s="1340" t="s">
        <v>452</v>
      </c>
      <c r="C83" s="1067">
        <v>5691000</v>
      </c>
      <c r="D83" s="1067">
        <v>5269000</v>
      </c>
      <c r="E83" s="1067">
        <v>5269000</v>
      </c>
      <c r="F83" s="1067">
        <v>5269000</v>
      </c>
      <c r="G83" s="1067">
        <v>5269000</v>
      </c>
      <c r="I83" s="1076">
        <v>11674000</v>
      </c>
    </row>
    <row r="84" spans="2:9">
      <c r="B84" s="1341"/>
      <c r="C84" s="1068"/>
      <c r="D84" s="1068">
        <v>5351000</v>
      </c>
      <c r="E84" s="1068">
        <v>4975000</v>
      </c>
      <c r="F84" s="1068">
        <v>4975000</v>
      </c>
      <c r="G84" s="1068">
        <v>4975000</v>
      </c>
      <c r="I84" s="1079"/>
    </row>
    <row r="85" spans="2:9">
      <c r="B85" s="1341"/>
      <c r="C85" s="1068"/>
      <c r="D85" s="1068"/>
      <c r="E85" s="1068">
        <v>4842000</v>
      </c>
      <c r="F85" s="1068">
        <v>4430000</v>
      </c>
      <c r="G85" s="1068">
        <v>4430000</v>
      </c>
      <c r="I85" s="1079"/>
    </row>
    <row r="86" spans="2:9">
      <c r="B86" s="1341"/>
      <c r="C86" s="1068"/>
      <c r="D86" s="1068"/>
      <c r="E86" s="1068"/>
      <c r="F86" s="1068">
        <v>5235000</v>
      </c>
      <c r="G86" s="1068">
        <v>4853000</v>
      </c>
      <c r="I86" s="1079"/>
    </row>
    <row r="87" spans="2:9">
      <c r="B87" s="1342"/>
      <c r="C87" s="1069"/>
      <c r="D87" s="1069"/>
      <c r="E87" s="1069"/>
      <c r="F87" s="1069"/>
      <c r="G87" s="1069">
        <v>4852000</v>
      </c>
      <c r="I87" s="1080"/>
    </row>
  </sheetData>
  <mergeCells count="40">
    <mergeCell ref="B4:B8"/>
    <mergeCell ref="C4:C8"/>
    <mergeCell ref="D4:D8"/>
    <mergeCell ref="E4:E8"/>
    <mergeCell ref="B9:B13"/>
    <mergeCell ref="C9:C13"/>
    <mergeCell ref="D9:D13"/>
    <mergeCell ref="E9:E13"/>
    <mergeCell ref="B14:B18"/>
    <mergeCell ref="C14:C18"/>
    <mergeCell ref="D14:D18"/>
    <mergeCell ref="E14:E18"/>
    <mergeCell ref="B19:B23"/>
    <mergeCell ref="C19:C23"/>
    <mergeCell ref="D19:D23"/>
    <mergeCell ref="E19:E23"/>
    <mergeCell ref="B24:B28"/>
    <mergeCell ref="C24:C28"/>
    <mergeCell ref="D24:D28"/>
    <mergeCell ref="E24:E28"/>
    <mergeCell ref="B29:B33"/>
    <mergeCell ref="C29:C33"/>
    <mergeCell ref="D29:D33"/>
    <mergeCell ref="E29:E33"/>
    <mergeCell ref="B34:B38"/>
    <mergeCell ref="C34:C38"/>
    <mergeCell ref="D34:D38"/>
    <mergeCell ref="E34:E38"/>
    <mergeCell ref="B39:B43"/>
    <mergeCell ref="C39:C43"/>
    <mergeCell ref="D39:D43"/>
    <mergeCell ref="E39:E43"/>
    <mergeCell ref="B78:B82"/>
    <mergeCell ref="B83:B87"/>
    <mergeCell ref="B48:B52"/>
    <mergeCell ref="B53:B57"/>
    <mergeCell ref="B58:B62"/>
    <mergeCell ref="B63:B67"/>
    <mergeCell ref="B68:B72"/>
    <mergeCell ref="B73:B77"/>
  </mergeCells>
  <phoneticPr fontId="69"/>
  <pageMargins left="0.7" right="0.7" top="0.75" bottom="0.75" header="0.3" footer="0.3"/>
  <pageSetup paperSize="9" scale="4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F62"/>
  <sheetViews>
    <sheetView topLeftCell="A34" workbookViewId="0">
      <selection activeCell="D3" sqref="D3:D38"/>
    </sheetView>
  </sheetViews>
  <sheetFormatPr defaultRowHeight="15"/>
  <cols>
    <col min="3" max="3" width="10.42578125" bestFit="1" customWidth="1"/>
    <col min="4" max="6" width="11.7109375" bestFit="1" customWidth="1"/>
  </cols>
  <sheetData>
    <row r="1" spans="2:6" ht="16.5">
      <c r="B1" s="1082" t="s">
        <v>160</v>
      </c>
      <c r="C1" s="1083" t="s">
        <v>455</v>
      </c>
      <c r="D1" s="1083" t="s">
        <v>456</v>
      </c>
      <c r="E1" s="1084" t="s">
        <v>457</v>
      </c>
      <c r="F1" s="1085" t="s">
        <v>458</v>
      </c>
    </row>
    <row r="2" spans="2:6" ht="16.5">
      <c r="B2" s="1087">
        <v>0</v>
      </c>
      <c r="C2" s="1088"/>
      <c r="D2" s="1089">
        <f>'Input　seet'!D25</f>
        <v>281090909.09090912</v>
      </c>
      <c r="E2" s="1086"/>
      <c r="F2" s="1081"/>
    </row>
    <row r="3" spans="2:6" ht="16.5">
      <c r="B3" s="1087">
        <f>B2+1</f>
        <v>1</v>
      </c>
      <c r="C3" s="1090">
        <f>-($D$2*0.7)*0.25/12</f>
        <v>-4099242.4242424243</v>
      </c>
      <c r="D3" s="1089">
        <f>D2+C3</f>
        <v>276991666.66666669</v>
      </c>
      <c r="E3" s="1086"/>
      <c r="F3" s="1081"/>
    </row>
    <row r="4" spans="2:6" ht="16.5">
      <c r="B4" s="1087">
        <f t="shared" ref="B4:B62" si="0">B3+1</f>
        <v>2</v>
      </c>
      <c r="C4" s="1090">
        <f>IF(B4&gt;'Input　seet'!$D$6,0,IF(Sheet5!B4&gt;48,0,Sheet5!C3))</f>
        <v>-4099242.4242424243</v>
      </c>
      <c r="D4" s="1089">
        <f t="shared" ref="D4:D37" si="1">D3+C4</f>
        <v>272892424.24242425</v>
      </c>
      <c r="E4" s="1086"/>
      <c r="F4" s="1081"/>
    </row>
    <row r="5" spans="2:6" ht="16.5">
      <c r="B5" s="1087">
        <f t="shared" si="0"/>
        <v>3</v>
      </c>
      <c r="C5" s="1090">
        <f>IF(B5&gt;'Input　seet'!$D$6,0,IF(Sheet5!B5&gt;48,0,Sheet5!C4))</f>
        <v>-4099242.4242424243</v>
      </c>
      <c r="D5" s="1089">
        <f t="shared" si="1"/>
        <v>268793181.81818181</v>
      </c>
      <c r="E5" s="1086"/>
      <c r="F5" s="1081"/>
    </row>
    <row r="6" spans="2:6" ht="16.5">
      <c r="B6" s="1087">
        <f t="shared" si="0"/>
        <v>4</v>
      </c>
      <c r="C6" s="1090">
        <f>IF(B6&gt;'Input　seet'!$D$6,0,IF(Sheet5!B6&gt;48,0,Sheet5!C5))</f>
        <v>-4099242.4242424243</v>
      </c>
      <c r="D6" s="1089">
        <f t="shared" si="1"/>
        <v>264693939.39393938</v>
      </c>
      <c r="E6" s="1086"/>
      <c r="F6" s="1081"/>
    </row>
    <row r="7" spans="2:6" ht="16.5">
      <c r="B7" s="1087">
        <f t="shared" si="0"/>
        <v>5</v>
      </c>
      <c r="C7" s="1090">
        <f>IF(B7&gt;'Input　seet'!$D$6,0,IF(Sheet5!B7&gt;48,0,Sheet5!C6))</f>
        <v>-4099242.4242424243</v>
      </c>
      <c r="D7" s="1089">
        <f t="shared" si="1"/>
        <v>260594696.96969694</v>
      </c>
      <c r="E7" s="1086"/>
      <c r="F7" s="1081"/>
    </row>
    <row r="8" spans="2:6" ht="16.5">
      <c r="B8" s="1087">
        <f t="shared" si="0"/>
        <v>6</v>
      </c>
      <c r="C8" s="1090">
        <f>IF(B8&gt;'Input　seet'!$D$6,0,IF(Sheet5!B8&gt;48,0,Sheet5!C7))</f>
        <v>-4099242.4242424243</v>
      </c>
      <c r="D8" s="1089">
        <f t="shared" si="1"/>
        <v>256495454.5454545</v>
      </c>
      <c r="E8" s="1086"/>
      <c r="F8" s="1081"/>
    </row>
    <row r="9" spans="2:6" ht="16.5">
      <c r="B9" s="1087">
        <f t="shared" si="0"/>
        <v>7</v>
      </c>
      <c r="C9" s="1090">
        <f>IF(B9&gt;'Input　seet'!$D$6,0,IF(Sheet5!B9&gt;48,0,Sheet5!C8))</f>
        <v>-4099242.4242424243</v>
      </c>
      <c r="D9" s="1089">
        <f t="shared" si="1"/>
        <v>252396212.12121207</v>
      </c>
      <c r="E9" s="1086"/>
      <c r="F9" s="1081"/>
    </row>
    <row r="10" spans="2:6" ht="16.5">
      <c r="B10" s="1087">
        <f t="shared" si="0"/>
        <v>8</v>
      </c>
      <c r="C10" s="1090">
        <f>IF(B10&gt;'Input　seet'!$D$6,0,IF(Sheet5!B10&gt;48,0,Sheet5!C9))</f>
        <v>-4099242.4242424243</v>
      </c>
      <c r="D10" s="1089">
        <f t="shared" si="1"/>
        <v>248296969.69696963</v>
      </c>
      <c r="E10" s="1086"/>
      <c r="F10" s="1081"/>
    </row>
    <row r="11" spans="2:6" ht="16.5">
      <c r="B11" s="1087">
        <f t="shared" si="0"/>
        <v>9</v>
      </c>
      <c r="C11" s="1090">
        <f>IF(B11&gt;'Input　seet'!$D$6,0,IF(Sheet5!B11&gt;48,0,Sheet5!C10))</f>
        <v>-4099242.4242424243</v>
      </c>
      <c r="D11" s="1089">
        <f t="shared" si="1"/>
        <v>244197727.27272719</v>
      </c>
      <c r="E11" s="1086"/>
      <c r="F11" s="1081"/>
    </row>
    <row r="12" spans="2:6" ht="16.5">
      <c r="B12" s="1087">
        <f t="shared" si="0"/>
        <v>10</v>
      </c>
      <c r="C12" s="1090">
        <f>IF(B12&gt;'Input　seet'!$D$6,0,IF(Sheet5!B12&gt;48,0,Sheet5!C11))</f>
        <v>-4099242.4242424243</v>
      </c>
      <c r="D12" s="1089">
        <f t="shared" si="1"/>
        <v>240098484.84848475</v>
      </c>
      <c r="E12" s="1086"/>
      <c r="F12" s="1081"/>
    </row>
    <row r="13" spans="2:6" ht="16.5">
      <c r="B13" s="1087">
        <f t="shared" si="0"/>
        <v>11</v>
      </c>
      <c r="C13" s="1090">
        <f>IF(B13&gt;'Input　seet'!$D$6,0,IF(Sheet5!B13&gt;48,0,Sheet5!C12))</f>
        <v>-4099242.4242424243</v>
      </c>
      <c r="D13" s="1089">
        <f t="shared" si="1"/>
        <v>235999242.42424232</v>
      </c>
      <c r="E13" s="1086"/>
      <c r="F13" s="1081"/>
    </row>
    <row r="14" spans="2:6" ht="16.5">
      <c r="B14" s="1091">
        <f t="shared" si="0"/>
        <v>12</v>
      </c>
      <c r="C14" s="1090">
        <f>IF(B14&gt;'Input　seet'!$D$6,0,IF(Sheet5!B14&gt;48,0,Sheet5!C13))</f>
        <v>-4099242.4242424243</v>
      </c>
      <c r="D14" s="1092">
        <f t="shared" si="1"/>
        <v>231899999.99999988</v>
      </c>
      <c r="E14" s="1093"/>
      <c r="F14" s="1094"/>
    </row>
    <row r="15" spans="2:6" ht="16.5">
      <c r="B15" s="1087">
        <f t="shared" si="0"/>
        <v>13</v>
      </c>
      <c r="C15" s="1090">
        <f>IF(B15&gt;'Input　seet'!$D$6,0,IF(Sheet5!B15&gt;48,0,Sheet5!C14))</f>
        <v>-4099242.4242424243</v>
      </c>
      <c r="D15" s="1089">
        <f t="shared" si="1"/>
        <v>227800757.57575744</v>
      </c>
      <c r="E15" s="1086"/>
      <c r="F15" s="1081"/>
    </row>
    <row r="16" spans="2:6" ht="16.5">
      <c r="B16" s="1087">
        <f t="shared" si="0"/>
        <v>14</v>
      </c>
      <c r="C16" s="1090">
        <f>IF(B16&gt;'Input　seet'!$D$6,0,IF(Sheet5!B16&gt;48,0,Sheet5!C15))</f>
        <v>-4099242.4242424243</v>
      </c>
      <c r="D16" s="1089">
        <f t="shared" si="1"/>
        <v>223701515.15151501</v>
      </c>
      <c r="E16" s="1086"/>
      <c r="F16" s="1081"/>
    </row>
    <row r="17" spans="2:6" ht="16.5">
      <c r="B17" s="1087">
        <f t="shared" si="0"/>
        <v>15</v>
      </c>
      <c r="C17" s="1090">
        <f>IF(B17&gt;'Input　seet'!$D$6,0,IF(Sheet5!B17&gt;48,0,Sheet5!C16))</f>
        <v>-4099242.4242424243</v>
      </c>
      <c r="D17" s="1089">
        <f t="shared" si="1"/>
        <v>219602272.72727257</v>
      </c>
      <c r="E17" s="1086"/>
      <c r="F17" s="1081"/>
    </row>
    <row r="18" spans="2:6" ht="16.5">
      <c r="B18" s="1087">
        <f t="shared" si="0"/>
        <v>16</v>
      </c>
      <c r="C18" s="1090">
        <f>IF(B18&gt;'Input　seet'!$D$6,0,IF(Sheet5!B18&gt;48,0,Sheet5!C17))</f>
        <v>-4099242.4242424243</v>
      </c>
      <c r="D18" s="1089">
        <f t="shared" si="1"/>
        <v>215503030.30303013</v>
      </c>
      <c r="E18" s="1086"/>
      <c r="F18" s="1081"/>
    </row>
    <row r="19" spans="2:6" ht="16.5">
      <c r="B19" s="1087">
        <f t="shared" si="0"/>
        <v>17</v>
      </c>
      <c r="C19" s="1090">
        <f>IF(B19&gt;'Input　seet'!$D$6,0,IF(Sheet5!B19&gt;48,0,Sheet5!C18))</f>
        <v>-4099242.4242424243</v>
      </c>
      <c r="D19" s="1089">
        <f t="shared" si="1"/>
        <v>211403787.8787877</v>
      </c>
      <c r="E19" s="1086"/>
      <c r="F19" s="1081"/>
    </row>
    <row r="20" spans="2:6" ht="16.5">
      <c r="B20" s="1087">
        <f t="shared" si="0"/>
        <v>18</v>
      </c>
      <c r="C20" s="1090">
        <f>IF(B20&gt;'Input　seet'!$D$6,0,IF(Sheet5!B20&gt;48,0,Sheet5!C19))</f>
        <v>-4099242.4242424243</v>
      </c>
      <c r="D20" s="1089">
        <f t="shared" si="1"/>
        <v>207304545.45454526</v>
      </c>
      <c r="E20" s="1086"/>
      <c r="F20" s="1081"/>
    </row>
    <row r="21" spans="2:6" ht="16.5">
      <c r="B21" s="1087">
        <f t="shared" si="0"/>
        <v>19</v>
      </c>
      <c r="C21" s="1090">
        <f>IF(B21&gt;'Input　seet'!$D$6,0,IF(Sheet5!B21&gt;48,0,Sheet5!C20))</f>
        <v>-4099242.4242424243</v>
      </c>
      <c r="D21" s="1089">
        <f t="shared" si="1"/>
        <v>203205303.03030282</v>
      </c>
      <c r="E21" s="1086"/>
      <c r="F21" s="1081"/>
    </row>
    <row r="22" spans="2:6" ht="16.5">
      <c r="B22" s="1087">
        <f t="shared" si="0"/>
        <v>20</v>
      </c>
      <c r="C22" s="1090">
        <f>IF(B22&gt;'Input　seet'!$D$6,0,IF(Sheet5!B22&gt;48,0,Sheet5!C21))</f>
        <v>-4099242.4242424243</v>
      </c>
      <c r="D22" s="1089">
        <f t="shared" si="1"/>
        <v>199106060.60606039</v>
      </c>
      <c r="E22" s="1086"/>
      <c r="F22" s="1081"/>
    </row>
    <row r="23" spans="2:6" ht="16.5">
      <c r="B23" s="1087">
        <f t="shared" si="0"/>
        <v>21</v>
      </c>
      <c r="C23" s="1090">
        <f>IF(B23&gt;'Input　seet'!$D$6,0,IF(Sheet5!B23&gt;48,0,Sheet5!C22))</f>
        <v>-4099242.4242424243</v>
      </c>
      <c r="D23" s="1089">
        <f t="shared" si="1"/>
        <v>195006818.18181795</v>
      </c>
      <c r="E23" s="1086"/>
      <c r="F23" s="1081"/>
    </row>
    <row r="24" spans="2:6" ht="16.5">
      <c r="B24" s="1087">
        <f t="shared" si="0"/>
        <v>22</v>
      </c>
      <c r="C24" s="1090">
        <f>IF(B24&gt;'Input　seet'!$D$6,0,IF(Sheet5!B24&gt;48,0,Sheet5!C23))</f>
        <v>-4099242.4242424243</v>
      </c>
      <c r="D24" s="1089">
        <f t="shared" si="1"/>
        <v>190907575.75757551</v>
      </c>
      <c r="E24" s="1086"/>
      <c r="F24" s="1081"/>
    </row>
    <row r="25" spans="2:6" ht="16.5">
      <c r="B25" s="1087">
        <f t="shared" si="0"/>
        <v>23</v>
      </c>
      <c r="C25" s="1090">
        <f>IF(B25&gt;'Input　seet'!$D$6,0,IF(Sheet5!B25&gt;48,0,Sheet5!C24))</f>
        <v>-4099242.4242424243</v>
      </c>
      <c r="D25" s="1089">
        <f t="shared" si="1"/>
        <v>186808333.33333308</v>
      </c>
      <c r="E25" s="1086"/>
      <c r="F25" s="1081"/>
    </row>
    <row r="26" spans="2:6" ht="16.5">
      <c r="B26" s="1091">
        <f t="shared" si="0"/>
        <v>24</v>
      </c>
      <c r="C26" s="1090">
        <f>IF(B26&gt;'Input　seet'!$D$6,0,IF(Sheet5!B26&gt;48,0,Sheet5!C25))</f>
        <v>-4099242.4242424243</v>
      </c>
      <c r="D26" s="1092">
        <f t="shared" si="1"/>
        <v>182709090.90909064</v>
      </c>
      <c r="E26" s="1093"/>
      <c r="F26" s="1094"/>
    </row>
    <row r="27" spans="2:6" ht="16.5">
      <c r="B27" s="1087">
        <f t="shared" si="0"/>
        <v>25</v>
      </c>
      <c r="C27" s="1090">
        <f>IF(B27&gt;'Input　seet'!$D$6,0,IF(Sheet5!B27&gt;48,0,Sheet5!C26))</f>
        <v>0</v>
      </c>
      <c r="D27" s="1089">
        <f t="shared" si="1"/>
        <v>182709090.90909064</v>
      </c>
      <c r="E27" s="1086"/>
      <c r="F27" s="1081"/>
    </row>
    <row r="28" spans="2:6" ht="16.5">
      <c r="B28" s="1087">
        <f t="shared" si="0"/>
        <v>26</v>
      </c>
      <c r="C28" s="1090">
        <f>IF(B28&gt;'Input　seet'!$D$6,0,IF(Sheet5!B28&gt;48,0,Sheet5!C27))</f>
        <v>0</v>
      </c>
      <c r="D28" s="1089">
        <f t="shared" si="1"/>
        <v>182709090.90909064</v>
      </c>
      <c r="E28" s="1086"/>
      <c r="F28" s="1081"/>
    </row>
    <row r="29" spans="2:6" ht="16.5">
      <c r="B29" s="1087">
        <f t="shared" si="0"/>
        <v>27</v>
      </c>
      <c r="C29" s="1090">
        <f>IF(B29&gt;'Input　seet'!$D$6,0,IF(Sheet5!B29&gt;48,0,Sheet5!C28))</f>
        <v>0</v>
      </c>
      <c r="D29" s="1089">
        <f t="shared" si="1"/>
        <v>182709090.90909064</v>
      </c>
      <c r="E29" s="1086"/>
      <c r="F29" s="1081"/>
    </row>
    <row r="30" spans="2:6" ht="16.5">
      <c r="B30" s="1087">
        <f t="shared" si="0"/>
        <v>28</v>
      </c>
      <c r="C30" s="1090">
        <f>IF(B30&gt;'Input　seet'!$D$6,0,IF(Sheet5!B30&gt;48,0,Sheet5!C29))</f>
        <v>0</v>
      </c>
      <c r="D30" s="1089">
        <f t="shared" si="1"/>
        <v>182709090.90909064</v>
      </c>
      <c r="E30" s="1086"/>
      <c r="F30" s="1081"/>
    </row>
    <row r="31" spans="2:6" ht="16.5">
      <c r="B31" s="1087">
        <f t="shared" si="0"/>
        <v>29</v>
      </c>
      <c r="C31" s="1090">
        <f>IF(B31&gt;'Input　seet'!$D$6,0,IF(Sheet5!B31&gt;48,0,Sheet5!C30))</f>
        <v>0</v>
      </c>
      <c r="D31" s="1089">
        <f t="shared" si="1"/>
        <v>182709090.90909064</v>
      </c>
      <c r="E31" s="1086"/>
      <c r="F31" s="1081"/>
    </row>
    <row r="32" spans="2:6" ht="16.5">
      <c r="B32" s="1087">
        <f t="shared" si="0"/>
        <v>30</v>
      </c>
      <c r="C32" s="1090">
        <f>IF(B32&gt;'Input　seet'!$D$6,0,IF(Sheet5!B32&gt;48,0,Sheet5!C31))</f>
        <v>0</v>
      </c>
      <c r="D32" s="1089">
        <f t="shared" si="1"/>
        <v>182709090.90909064</v>
      </c>
      <c r="E32" s="1086"/>
      <c r="F32" s="1081"/>
    </row>
    <row r="33" spans="2:6" ht="16.5">
      <c r="B33" s="1087">
        <f t="shared" si="0"/>
        <v>31</v>
      </c>
      <c r="C33" s="1090">
        <f>IF(B33&gt;'Input　seet'!$D$6,0,IF(Sheet5!B33&gt;48,0,Sheet5!C32))</f>
        <v>0</v>
      </c>
      <c r="D33" s="1089">
        <f t="shared" si="1"/>
        <v>182709090.90909064</v>
      </c>
      <c r="E33" s="1086"/>
      <c r="F33" s="1081"/>
    </row>
    <row r="34" spans="2:6" ht="16.5">
      <c r="B34" s="1087">
        <f t="shared" si="0"/>
        <v>32</v>
      </c>
      <c r="C34" s="1090">
        <f>IF(B34&gt;'Input　seet'!$D$6,0,IF(Sheet5!B34&gt;48,0,Sheet5!C33))</f>
        <v>0</v>
      </c>
      <c r="D34" s="1089">
        <f t="shared" si="1"/>
        <v>182709090.90909064</v>
      </c>
      <c r="E34" s="1086"/>
      <c r="F34" s="1081"/>
    </row>
    <row r="35" spans="2:6" ht="16.5">
      <c r="B35" s="1087">
        <f t="shared" si="0"/>
        <v>33</v>
      </c>
      <c r="C35" s="1090">
        <f>IF(B35&gt;'Input　seet'!$D$6,0,IF(Sheet5!B35&gt;48,0,Sheet5!C34))</f>
        <v>0</v>
      </c>
      <c r="D35" s="1089">
        <f t="shared" si="1"/>
        <v>182709090.90909064</v>
      </c>
      <c r="E35" s="1086"/>
      <c r="F35" s="1081"/>
    </row>
    <row r="36" spans="2:6" ht="16.5">
      <c r="B36" s="1087">
        <f t="shared" si="0"/>
        <v>34</v>
      </c>
      <c r="C36" s="1090">
        <f>IF(B36&gt;'Input　seet'!$D$6,0,IF(Sheet5!B36&gt;48,0,Sheet5!C35))</f>
        <v>0</v>
      </c>
      <c r="D36" s="1089">
        <f t="shared" si="1"/>
        <v>182709090.90909064</v>
      </c>
      <c r="E36" s="1086"/>
      <c r="F36" s="1081"/>
    </row>
    <row r="37" spans="2:6" ht="16.5">
      <c r="B37" s="1087">
        <f t="shared" si="0"/>
        <v>35</v>
      </c>
      <c r="C37" s="1090">
        <f>IF(B37&gt;'Input　seet'!$D$6,0,IF(Sheet5!B37&gt;48,0,Sheet5!C36))</f>
        <v>0</v>
      </c>
      <c r="D37" s="1089">
        <f t="shared" si="1"/>
        <v>182709090.90909064</v>
      </c>
      <c r="E37" s="1086"/>
      <c r="F37" s="1081"/>
    </row>
    <row r="38" spans="2:6" ht="16.5">
      <c r="B38" s="1091">
        <f t="shared" si="0"/>
        <v>36</v>
      </c>
      <c r="C38" s="1090">
        <f>IF(B38&gt;'Input　seet'!$D$6,0,IF(Sheet5!B38&gt;48,0,Sheet5!C37))</f>
        <v>0</v>
      </c>
      <c r="D38" s="1092">
        <f>D37+C38</f>
        <v>182709090.90909064</v>
      </c>
      <c r="E38" s="1093"/>
      <c r="F38" s="1094"/>
    </row>
    <row r="39" spans="2:6" ht="16.5">
      <c r="B39" s="1087">
        <f t="shared" si="0"/>
        <v>37</v>
      </c>
      <c r="C39" s="1090">
        <f>IF(B39&gt;'Input　seet'!$D$6,0,IF(Sheet5!B39&gt;48,0,Sheet5!C38))</f>
        <v>0</v>
      </c>
      <c r="D39" s="1089">
        <f>D38+C39</f>
        <v>182709090.90909064</v>
      </c>
      <c r="E39" s="1086"/>
      <c r="F39" s="1095"/>
    </row>
    <row r="40" spans="2:6" ht="16.5">
      <c r="B40" s="1087">
        <f t="shared" si="0"/>
        <v>38</v>
      </c>
      <c r="C40" s="1090">
        <f>IF(B40&gt;'Input　seet'!$D$6,0,IF(Sheet5!B40&gt;48,0,Sheet5!C39))</f>
        <v>0</v>
      </c>
      <c r="D40" s="1089">
        <f t="shared" ref="D40:D62" si="2">D39+C40</f>
        <v>182709090.90909064</v>
      </c>
      <c r="E40" s="1086"/>
      <c r="F40" s="1095"/>
    </row>
    <row r="41" spans="2:6" ht="16.5">
      <c r="B41" s="1087">
        <f t="shared" si="0"/>
        <v>39</v>
      </c>
      <c r="C41" s="1090">
        <f>IF(B41&gt;'Input　seet'!$D$6,0,IF(Sheet5!B41&gt;48,0,Sheet5!C40))</f>
        <v>0</v>
      </c>
      <c r="D41" s="1089">
        <f t="shared" si="2"/>
        <v>182709090.90909064</v>
      </c>
      <c r="E41" s="1086"/>
      <c r="F41" s="1095"/>
    </row>
    <row r="42" spans="2:6" ht="16.5">
      <c r="B42" s="1087">
        <f t="shared" si="0"/>
        <v>40</v>
      </c>
      <c r="C42" s="1090">
        <f>IF(B42&gt;'Input　seet'!$D$6,0,IF(Sheet5!B42&gt;48,0,Sheet5!C41))</f>
        <v>0</v>
      </c>
      <c r="D42" s="1089">
        <f t="shared" si="2"/>
        <v>182709090.90909064</v>
      </c>
      <c r="E42" s="1086"/>
      <c r="F42" s="1095"/>
    </row>
    <row r="43" spans="2:6" ht="16.5">
      <c r="B43" s="1087">
        <f t="shared" si="0"/>
        <v>41</v>
      </c>
      <c r="C43" s="1090">
        <f>IF(B43&gt;'Input　seet'!$D$6,0,IF(Sheet5!B43&gt;48,0,Sheet5!C42))</f>
        <v>0</v>
      </c>
      <c r="D43" s="1089">
        <f t="shared" si="2"/>
        <v>182709090.90909064</v>
      </c>
      <c r="E43" s="1086"/>
      <c r="F43" s="1095"/>
    </row>
    <row r="44" spans="2:6" ht="16.5">
      <c r="B44" s="1087">
        <f t="shared" si="0"/>
        <v>42</v>
      </c>
      <c r="C44" s="1090">
        <f>IF(B44&gt;'Input　seet'!$D$6,0,IF(Sheet5!B44&gt;48,0,Sheet5!C43))</f>
        <v>0</v>
      </c>
      <c r="D44" s="1089">
        <f t="shared" si="2"/>
        <v>182709090.90909064</v>
      </c>
      <c r="E44" s="1086"/>
      <c r="F44" s="1095"/>
    </row>
    <row r="45" spans="2:6" ht="16.5">
      <c r="B45" s="1087">
        <f t="shared" si="0"/>
        <v>43</v>
      </c>
      <c r="C45" s="1090">
        <f>IF(B45&gt;'Input　seet'!$D$6,0,IF(Sheet5!B45&gt;48,0,Sheet5!C44))</f>
        <v>0</v>
      </c>
      <c r="D45" s="1089">
        <f t="shared" si="2"/>
        <v>182709090.90909064</v>
      </c>
      <c r="E45" s="1086"/>
      <c r="F45" s="1095"/>
    </row>
    <row r="46" spans="2:6" ht="16.5">
      <c r="B46" s="1087">
        <f t="shared" si="0"/>
        <v>44</v>
      </c>
      <c r="C46" s="1090">
        <f>IF(B46&gt;'Input　seet'!$D$6,0,IF(Sheet5!B46&gt;48,0,Sheet5!C45))</f>
        <v>0</v>
      </c>
      <c r="D46" s="1089">
        <f t="shared" si="2"/>
        <v>182709090.90909064</v>
      </c>
      <c r="E46" s="1086"/>
      <c r="F46" s="1095"/>
    </row>
    <row r="47" spans="2:6" ht="16.5">
      <c r="B47" s="1087">
        <f t="shared" si="0"/>
        <v>45</v>
      </c>
      <c r="C47" s="1090">
        <f>IF(B47&gt;'Input　seet'!$D$6,0,IF(Sheet5!B47&gt;48,0,Sheet5!C46))</f>
        <v>0</v>
      </c>
      <c r="D47" s="1089">
        <f t="shared" si="2"/>
        <v>182709090.90909064</v>
      </c>
      <c r="E47" s="1086"/>
      <c r="F47" s="1095"/>
    </row>
    <row r="48" spans="2:6" ht="16.5">
      <c r="B48" s="1087">
        <f t="shared" si="0"/>
        <v>46</v>
      </c>
      <c r="C48" s="1090">
        <f>IF(B48&gt;'Input　seet'!$D$6,0,IF(Sheet5!B48&gt;48,0,Sheet5!C47))</f>
        <v>0</v>
      </c>
      <c r="D48" s="1089">
        <f t="shared" si="2"/>
        <v>182709090.90909064</v>
      </c>
      <c r="E48" s="1086"/>
      <c r="F48" s="1095"/>
    </row>
    <row r="49" spans="2:6" ht="16.5">
      <c r="B49" s="1087">
        <f t="shared" si="0"/>
        <v>47</v>
      </c>
      <c r="C49" s="1090">
        <f>IF(B49&gt;'Input　seet'!$D$6,0,IF(Sheet5!B49&gt;48,0,Sheet5!C48))</f>
        <v>0</v>
      </c>
      <c r="D49" s="1089">
        <f t="shared" si="2"/>
        <v>182709090.90909064</v>
      </c>
      <c r="E49" s="1086"/>
      <c r="F49" s="1095"/>
    </row>
    <row r="50" spans="2:6" ht="16.5">
      <c r="B50" s="1091">
        <f t="shared" si="0"/>
        <v>48</v>
      </c>
      <c r="C50" s="1090">
        <f>IF(B50&gt;'Input　seet'!$D$6,0,IF(Sheet5!B50&gt;48,0,Sheet5!C49))</f>
        <v>0</v>
      </c>
      <c r="D50" s="1092">
        <f t="shared" si="2"/>
        <v>182709090.90909064</v>
      </c>
      <c r="E50" s="1093"/>
      <c r="F50" s="1094"/>
    </row>
    <row r="51" spans="2:6" ht="16.5">
      <c r="B51" s="1087">
        <f t="shared" si="0"/>
        <v>49</v>
      </c>
      <c r="C51" s="1090">
        <f>IF(B51&gt;'Input　seet'!$D$6,0,IF(Sheet5!B51&gt;48,0,Sheet5!C50))</f>
        <v>0</v>
      </c>
      <c r="D51" s="1089">
        <f t="shared" si="2"/>
        <v>182709090.90909064</v>
      </c>
      <c r="E51" s="1096"/>
      <c r="F51" s="1095"/>
    </row>
    <row r="52" spans="2:6" ht="16.5">
      <c r="B52" s="1087">
        <f t="shared" si="0"/>
        <v>50</v>
      </c>
      <c r="C52" s="1090">
        <f>IF(B52&gt;'Input　seet'!$D$6,0,IF(Sheet5!B52&gt;48,0,Sheet5!C51))</f>
        <v>0</v>
      </c>
      <c r="D52" s="1089">
        <f t="shared" si="2"/>
        <v>182709090.90909064</v>
      </c>
      <c r="E52" s="1096"/>
      <c r="F52" s="1095"/>
    </row>
    <row r="53" spans="2:6" ht="16.5">
      <c r="B53" s="1087">
        <f t="shared" si="0"/>
        <v>51</v>
      </c>
      <c r="C53" s="1090">
        <f>IF(B53&gt;'Input　seet'!$D$6,0,IF(Sheet5!B53&gt;48,0,Sheet5!C52))</f>
        <v>0</v>
      </c>
      <c r="D53" s="1089">
        <f t="shared" si="2"/>
        <v>182709090.90909064</v>
      </c>
      <c r="E53" s="1096"/>
      <c r="F53" s="1095"/>
    </row>
    <row r="54" spans="2:6" ht="16.5">
      <c r="B54" s="1087">
        <f t="shared" si="0"/>
        <v>52</v>
      </c>
      <c r="C54" s="1090">
        <f>IF(B54&gt;'Input　seet'!$D$6,0,IF(Sheet5!B54&gt;48,0,Sheet5!C53))</f>
        <v>0</v>
      </c>
      <c r="D54" s="1089">
        <f t="shared" si="2"/>
        <v>182709090.90909064</v>
      </c>
      <c r="E54" s="1096"/>
      <c r="F54" s="1095"/>
    </row>
    <row r="55" spans="2:6" ht="16.5">
      <c r="B55" s="1087">
        <f t="shared" si="0"/>
        <v>53</v>
      </c>
      <c r="C55" s="1090">
        <f>IF(B55&gt;'Input　seet'!$D$6,0,IF(Sheet5!B55&gt;48,0,Sheet5!C54))</f>
        <v>0</v>
      </c>
      <c r="D55" s="1089">
        <f t="shared" si="2"/>
        <v>182709090.90909064</v>
      </c>
      <c r="E55" s="1096"/>
      <c r="F55" s="1095"/>
    </row>
    <row r="56" spans="2:6" ht="16.5">
      <c r="B56" s="1087">
        <f t="shared" si="0"/>
        <v>54</v>
      </c>
      <c r="C56" s="1090">
        <f>IF(B56&gt;'Input　seet'!$D$6,0,IF(Sheet5!B56&gt;48,0,Sheet5!C55))</f>
        <v>0</v>
      </c>
      <c r="D56" s="1089">
        <f t="shared" si="2"/>
        <v>182709090.90909064</v>
      </c>
      <c r="E56" s="1096"/>
      <c r="F56" s="1095"/>
    </row>
    <row r="57" spans="2:6" ht="16.5">
      <c r="B57" s="1087">
        <f t="shared" si="0"/>
        <v>55</v>
      </c>
      <c r="C57" s="1090">
        <f>IF(B57&gt;'Input　seet'!$D$6,0,IF(Sheet5!B57&gt;48,0,Sheet5!C56))</f>
        <v>0</v>
      </c>
      <c r="D57" s="1089">
        <f t="shared" si="2"/>
        <v>182709090.90909064</v>
      </c>
      <c r="E57" s="1096"/>
      <c r="F57" s="1095"/>
    </row>
    <row r="58" spans="2:6" ht="16.5">
      <c r="B58" s="1087">
        <f t="shared" si="0"/>
        <v>56</v>
      </c>
      <c r="C58" s="1090">
        <f>IF(B58&gt;'Input　seet'!$D$6,0,IF(Sheet5!B58&gt;48,0,Sheet5!C57))</f>
        <v>0</v>
      </c>
      <c r="D58" s="1089">
        <f t="shared" si="2"/>
        <v>182709090.90909064</v>
      </c>
      <c r="E58" s="1096"/>
      <c r="F58" s="1095"/>
    </row>
    <row r="59" spans="2:6" ht="16.5">
      <c r="B59" s="1087">
        <f t="shared" si="0"/>
        <v>57</v>
      </c>
      <c r="C59" s="1090">
        <f>IF(B59&gt;'Input　seet'!$D$6,0,IF(Sheet5!B59&gt;48,0,Sheet5!C58))</f>
        <v>0</v>
      </c>
      <c r="D59" s="1089">
        <f t="shared" si="2"/>
        <v>182709090.90909064</v>
      </c>
      <c r="E59" s="1096"/>
      <c r="F59" s="1095"/>
    </row>
    <row r="60" spans="2:6" ht="16.5">
      <c r="B60" s="1087">
        <f t="shared" si="0"/>
        <v>58</v>
      </c>
      <c r="C60" s="1090">
        <f>IF(B60&gt;'Input　seet'!$D$6,0,IF(Sheet5!B60&gt;48,0,Sheet5!C59))</f>
        <v>0</v>
      </c>
      <c r="D60" s="1089">
        <f t="shared" si="2"/>
        <v>182709090.90909064</v>
      </c>
      <c r="E60" s="1096"/>
      <c r="F60" s="1095"/>
    </row>
    <row r="61" spans="2:6" ht="16.5">
      <c r="B61" s="1087">
        <f t="shared" si="0"/>
        <v>59</v>
      </c>
      <c r="C61" s="1090">
        <f>IF(B61&gt;'Input　seet'!$D$6,0,IF(Sheet5!B61&gt;48,0,Sheet5!C60))</f>
        <v>0</v>
      </c>
      <c r="D61" s="1089">
        <f t="shared" si="2"/>
        <v>182709090.90909064</v>
      </c>
      <c r="E61" s="1096"/>
      <c r="F61" s="1095"/>
    </row>
    <row r="62" spans="2:6" ht="16.5">
      <c r="B62" s="1091">
        <f t="shared" si="0"/>
        <v>60</v>
      </c>
      <c r="C62" s="1090">
        <f>IF(B62&gt;'Input　seet'!$D$6,0,IF(Sheet5!B62&gt;48,0,Sheet5!C61))</f>
        <v>0</v>
      </c>
      <c r="D62" s="1092">
        <f t="shared" si="2"/>
        <v>182709090.90909064</v>
      </c>
      <c r="E62" s="1093">
        <f>Calculation!D36</f>
        <v>134923636.36363634</v>
      </c>
      <c r="F62" s="1094">
        <f>E62-D62</f>
        <v>-47785454.545454293</v>
      </c>
    </row>
  </sheetData>
  <phoneticPr fontId="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5"/>
  <sheetViews>
    <sheetView showGridLines="0" topLeftCell="A7" zoomScale="70" zoomScaleNormal="70" workbookViewId="0">
      <selection activeCell="H28" sqref="H28:I28"/>
    </sheetView>
  </sheetViews>
  <sheetFormatPr defaultColWidth="9" defaultRowHeight="12"/>
  <cols>
    <col min="1" max="1" width="4.7109375" style="789" customWidth="1"/>
    <col min="2" max="2" width="21.28515625" style="790" bestFit="1" customWidth="1"/>
    <col min="3" max="3" width="13" style="790" bestFit="1" customWidth="1"/>
    <col min="4" max="4" width="30.28515625" style="791" customWidth="1"/>
    <col min="5" max="8" width="30.28515625" style="792" customWidth="1"/>
    <col min="9" max="9" width="13.7109375" style="792" customWidth="1"/>
    <col min="10" max="10" width="16.140625" style="789" customWidth="1"/>
    <col min="11" max="11" width="12.140625" style="789" bestFit="1" customWidth="1"/>
    <col min="12" max="16384" width="9" style="789"/>
  </cols>
  <sheetData>
    <row r="2" spans="1:11" ht="15.75">
      <c r="A2" s="1113" t="s">
        <v>32</v>
      </c>
      <c r="B2" s="788"/>
    </row>
    <row r="3" spans="1:11" ht="10.5" customHeight="1">
      <c r="A3" s="788"/>
      <c r="B3" s="788"/>
    </row>
    <row r="4" spans="1:11" ht="15.75">
      <c r="A4" s="1127" t="s">
        <v>33</v>
      </c>
      <c r="B4" s="1127"/>
      <c r="C4" s="835" t="str">
        <f>'Input　seet'!C3:D3</f>
        <v>MITS. FUSO TRUCK E2 FN527MS</v>
      </c>
      <c r="D4" s="836"/>
    </row>
    <row r="5" spans="1:11">
      <c r="A5" s="790"/>
      <c r="B5" s="837"/>
    </row>
    <row r="6" spans="1:11" s="796" customFormat="1" ht="15.75" customHeight="1">
      <c r="A6" s="790"/>
      <c r="D6" s="838" t="s">
        <v>34</v>
      </c>
      <c r="E6" s="839" t="s">
        <v>35</v>
      </c>
      <c r="F6" s="839" t="s">
        <v>36</v>
      </c>
      <c r="G6" s="839" t="s">
        <v>37</v>
      </c>
      <c r="H6" s="839" t="s">
        <v>38</v>
      </c>
      <c r="I6" s="797"/>
    </row>
    <row r="7" spans="1:11" s="796" customFormat="1" ht="25.5" customHeight="1">
      <c r="A7" s="1114"/>
      <c r="B7" s="795"/>
      <c r="D7" s="840" t="s">
        <v>39</v>
      </c>
      <c r="E7" s="841" t="s">
        <v>40</v>
      </c>
      <c r="F7" s="841" t="s">
        <v>41</v>
      </c>
      <c r="G7" s="842" t="s">
        <v>42</v>
      </c>
      <c r="H7" s="841" t="s">
        <v>43</v>
      </c>
      <c r="I7" s="797"/>
    </row>
    <row r="8" spans="1:11" s="796" customFormat="1" ht="15.75" customHeight="1">
      <c r="A8" s="1114"/>
      <c r="B8" s="799" t="s">
        <v>2</v>
      </c>
      <c r="C8" s="800"/>
      <c r="D8" s="801"/>
      <c r="E8" s="802"/>
      <c r="F8" s="802"/>
      <c r="G8" s="803"/>
      <c r="H8" s="802"/>
      <c r="I8" s="797"/>
    </row>
    <row r="9" spans="1:11" s="796" customFormat="1" ht="6" customHeight="1">
      <c r="A9" s="1114"/>
      <c r="B9" s="809"/>
      <c r="C9" s="810"/>
      <c r="D9" s="811"/>
      <c r="E9" s="812"/>
      <c r="F9" s="812"/>
      <c r="G9" s="813"/>
      <c r="H9" s="812"/>
      <c r="I9" s="797"/>
    </row>
    <row r="10" spans="1:11" ht="15.75" customHeight="1">
      <c r="A10" s="1115">
        <v>1</v>
      </c>
      <c r="B10" s="819" t="s">
        <v>16</v>
      </c>
      <c r="C10" s="819"/>
      <c r="D10" s="940">
        <f>'Input　seet'!D24</f>
        <v>309200000</v>
      </c>
      <c r="E10" s="820"/>
      <c r="F10" s="820"/>
      <c r="G10" s="820"/>
      <c r="H10" s="820"/>
    </row>
    <row r="11" spans="1:11" ht="15.75" customHeight="1">
      <c r="A11" s="1115">
        <f>A10+1</f>
        <v>2</v>
      </c>
      <c r="B11" s="821" t="s">
        <v>17</v>
      </c>
      <c r="C11" s="821"/>
      <c r="D11" s="822">
        <f>'Input　seet'!D25</f>
        <v>281090909.09090912</v>
      </c>
      <c r="E11" s="823"/>
      <c r="F11" s="823"/>
      <c r="G11" s="823"/>
      <c r="H11" s="823"/>
    </row>
    <row r="12" spans="1:11" ht="15.75" customHeight="1">
      <c r="A12" s="1115">
        <f t="shared" ref="A12:A14" si="0">A11+1</f>
        <v>3</v>
      </c>
      <c r="B12" s="821" t="s">
        <v>3</v>
      </c>
      <c r="C12" s="821"/>
      <c r="D12" s="942">
        <f>'Input　seet'!D6</f>
        <v>24</v>
      </c>
      <c r="E12" s="823"/>
      <c r="F12" s="823"/>
      <c r="G12" s="823"/>
      <c r="H12" s="823"/>
    </row>
    <row r="13" spans="1:11" ht="15.75" customHeight="1">
      <c r="A13" s="1115">
        <f t="shared" si="0"/>
        <v>4</v>
      </c>
      <c r="B13" s="821" t="s">
        <v>4</v>
      </c>
      <c r="C13" s="821"/>
      <c r="D13" s="941">
        <f>'Input　seet'!D7</f>
        <v>0.17499999999999999</v>
      </c>
      <c r="E13" s="823"/>
      <c r="F13" s="823"/>
      <c r="G13" s="823"/>
      <c r="H13" s="823"/>
      <c r="J13" s="850"/>
      <c r="K13" s="853"/>
    </row>
    <row r="14" spans="1:11" ht="15.75" customHeight="1">
      <c r="A14" s="1115">
        <f t="shared" si="0"/>
        <v>5</v>
      </c>
      <c r="B14" s="821" t="s">
        <v>5</v>
      </c>
      <c r="C14" s="821"/>
      <c r="D14" s="943">
        <f>'Input　seet'!D8</f>
        <v>9.2999999999999999E-2</v>
      </c>
      <c r="E14" s="823"/>
      <c r="F14" s="823"/>
      <c r="G14" s="823"/>
      <c r="H14" s="823"/>
    </row>
    <row r="15" spans="1:11" ht="15.75" customHeight="1">
      <c r="A15" s="1115">
        <f>A14+1</f>
        <v>6</v>
      </c>
      <c r="B15" s="821" t="s">
        <v>44</v>
      </c>
      <c r="C15" s="821"/>
      <c r="D15" s="845">
        <f>D13-D14</f>
        <v>8.199999999999999E-2</v>
      </c>
      <c r="E15" s="823"/>
      <c r="F15" s="823"/>
      <c r="G15" s="823"/>
      <c r="H15" s="823"/>
    </row>
    <row r="16" spans="1:11" ht="6" customHeight="1"/>
    <row r="17" spans="1:11" ht="15.75" customHeight="1">
      <c r="A17" s="1115"/>
      <c r="B17" s="804" t="s">
        <v>45</v>
      </c>
      <c r="C17" s="805"/>
      <c r="D17" s="806"/>
      <c r="E17" s="807"/>
      <c r="F17" s="807"/>
      <c r="G17" s="807"/>
      <c r="H17" s="807"/>
      <c r="K17" s="852"/>
    </row>
    <row r="18" spans="1:11" ht="6" customHeight="1">
      <c r="A18" s="1115"/>
      <c r="B18" s="814"/>
      <c r="C18" s="815"/>
      <c r="D18" s="816"/>
      <c r="E18" s="817"/>
      <c r="F18" s="817"/>
      <c r="G18" s="817"/>
      <c r="H18" s="817"/>
    </row>
    <row r="19" spans="1:11" ht="15.75" customHeight="1">
      <c r="A19" s="1115">
        <f>A15+1</f>
        <v>7</v>
      </c>
      <c r="B19" s="819" t="s">
        <v>46</v>
      </c>
      <c r="C19" s="819"/>
      <c r="D19" s="824">
        <f>'Input　seet'!D12+'Input　seet'!D15</f>
        <v>309200000</v>
      </c>
      <c r="E19" s="820"/>
      <c r="F19" s="820"/>
      <c r="G19" s="820"/>
      <c r="H19" s="820"/>
      <c r="K19" s="852"/>
    </row>
    <row r="20" spans="1:11" ht="15.75" customHeight="1">
      <c r="A20" s="1115">
        <f>A19+1</f>
        <v>8</v>
      </c>
      <c r="B20" s="821" t="s">
        <v>13</v>
      </c>
      <c r="C20" s="821"/>
      <c r="D20" s="849">
        <f>'Input　seet'!D21</f>
        <v>0.48</v>
      </c>
      <c r="E20" s="823"/>
      <c r="F20" s="823"/>
      <c r="G20" s="823"/>
      <c r="H20" s="823"/>
    </row>
    <row r="21" spans="1:11" ht="15.75" customHeight="1">
      <c r="A21" s="1115">
        <f t="shared" ref="A21" si="1">A20+1</f>
        <v>9</v>
      </c>
      <c r="B21" s="821" t="s">
        <v>47</v>
      </c>
      <c r="C21" s="821"/>
      <c r="D21" s="825">
        <f>'Input　seet'!D22</f>
        <v>148416000</v>
      </c>
      <c r="E21" s="823"/>
      <c r="F21" s="823"/>
      <c r="G21" s="823"/>
      <c r="H21" s="823"/>
      <c r="J21" s="1119"/>
      <c r="K21" s="850"/>
    </row>
    <row r="22" spans="1:11" ht="6" customHeight="1">
      <c r="A22" s="1115"/>
    </row>
    <row r="23" spans="1:11" ht="15.75" customHeight="1">
      <c r="A23" s="1115"/>
      <c r="B23" s="804" t="s">
        <v>48</v>
      </c>
      <c r="C23" s="805"/>
      <c r="D23" s="806"/>
      <c r="E23" s="807"/>
      <c r="F23" s="807"/>
      <c r="G23" s="807"/>
      <c r="H23" s="807"/>
    </row>
    <row r="24" spans="1:11" ht="6" customHeight="1">
      <c r="A24" s="1115"/>
      <c r="B24" s="814"/>
      <c r="C24" s="815"/>
      <c r="D24" s="816"/>
      <c r="E24" s="817"/>
      <c r="F24" s="817"/>
      <c r="G24" s="817"/>
      <c r="H24" s="817"/>
    </row>
    <row r="25" spans="1:11" ht="15.75" customHeight="1">
      <c r="A25" s="1115">
        <v>10</v>
      </c>
      <c r="B25" s="819" t="s">
        <v>49</v>
      </c>
      <c r="C25" s="819"/>
      <c r="D25" s="826">
        <f>'①Tidak termasuk VAT TAX'!J6</f>
        <v>11326497.897637034</v>
      </c>
      <c r="E25" s="820"/>
      <c r="F25" s="820"/>
      <c r="G25" s="820"/>
      <c r="H25" s="820"/>
    </row>
    <row r="26" spans="1:11" ht="15.75" customHeight="1">
      <c r="A26" s="1115">
        <v>11</v>
      </c>
      <c r="B26" s="821" t="s">
        <v>50</v>
      </c>
      <c r="C26" s="821"/>
      <c r="D26" s="822">
        <f>D25*D12</f>
        <v>271835949.54328883</v>
      </c>
      <c r="E26" s="823"/>
      <c r="F26" s="823"/>
      <c r="G26" s="823"/>
      <c r="H26" s="823"/>
    </row>
    <row r="27" spans="1:11" ht="15.75" customHeight="1">
      <c r="A27" s="1115">
        <f>A26+1</f>
        <v>12</v>
      </c>
      <c r="B27" s="821" t="s">
        <v>51</v>
      </c>
      <c r="C27" s="821"/>
      <c r="D27" s="822"/>
      <c r="E27" s="846">
        <f>'③Termasuk VAT'!AI26</f>
        <v>109697.894146723</v>
      </c>
      <c r="F27" s="846">
        <f>D25+E27</f>
        <v>11436195.791783758</v>
      </c>
      <c r="G27" s="846">
        <f>-'⑤Termasuk TAX'!AI26</f>
        <v>-1763.4872583877566</v>
      </c>
      <c r="H27" s="847">
        <f>F27+G27</f>
        <v>11434432.30452537</v>
      </c>
      <c r="J27" s="1118"/>
      <c r="K27" s="792"/>
    </row>
    <row r="28" spans="1:11" ht="15.75" customHeight="1">
      <c r="A28" s="1115">
        <v>13</v>
      </c>
      <c r="B28" s="821" t="s">
        <v>52</v>
      </c>
      <c r="C28" s="821"/>
      <c r="D28" s="822"/>
      <c r="E28" s="846">
        <f>E27*D12</f>
        <v>2632749.4595213523</v>
      </c>
      <c r="F28" s="846">
        <f>F27*D12</f>
        <v>274468699.00281018</v>
      </c>
      <c r="G28" s="846">
        <f>G27*D12</f>
        <v>-42323.694201306156</v>
      </c>
      <c r="H28" s="847">
        <f>H27*D12</f>
        <v>274426375.30860889</v>
      </c>
    </row>
    <row r="29" spans="1:11" ht="15.75" customHeight="1">
      <c r="A29" s="1115">
        <v>14</v>
      </c>
      <c r="B29" s="821" t="s">
        <v>53</v>
      </c>
      <c r="C29" s="821"/>
      <c r="D29" s="822"/>
      <c r="E29" s="846"/>
      <c r="F29" s="846">
        <f>F27*110%</f>
        <v>12579815.370962134</v>
      </c>
      <c r="G29" s="846"/>
      <c r="H29" s="847">
        <f>H27*110%</f>
        <v>12577875.534977907</v>
      </c>
      <c r="J29" s="850"/>
    </row>
    <row r="30" spans="1:11" ht="15.75" customHeight="1">
      <c r="A30" s="1115">
        <v>15</v>
      </c>
      <c r="B30" s="821" t="s">
        <v>52</v>
      </c>
      <c r="C30" s="821"/>
      <c r="D30" s="822"/>
      <c r="E30" s="846"/>
      <c r="F30" s="846">
        <f>F29*$D$12</f>
        <v>301915568.90309119</v>
      </c>
      <c r="G30" s="846"/>
      <c r="H30" s="847">
        <f>H29*$D$12</f>
        <v>301869012.83946979</v>
      </c>
    </row>
    <row r="31" spans="1:11" ht="6" customHeight="1">
      <c r="A31" s="1115"/>
      <c r="B31" s="789"/>
      <c r="F31" s="798"/>
      <c r="G31" s="789"/>
    </row>
    <row r="32" spans="1:11" ht="15.75" customHeight="1">
      <c r="A32" s="1115"/>
      <c r="B32" s="799" t="s">
        <v>54</v>
      </c>
      <c r="C32" s="805"/>
      <c r="D32" s="806"/>
      <c r="E32" s="807"/>
      <c r="F32" s="807"/>
      <c r="G32" s="807"/>
      <c r="H32" s="807"/>
    </row>
    <row r="33" spans="1:8" ht="6" customHeight="1">
      <c r="A33" s="1115"/>
      <c r="B33" s="809"/>
      <c r="C33" s="815"/>
      <c r="D33" s="816"/>
      <c r="E33" s="817"/>
      <c r="F33" s="817"/>
      <c r="G33" s="817"/>
      <c r="H33" s="817"/>
    </row>
    <row r="34" spans="1:8" ht="15.75" customHeight="1">
      <c r="A34" s="1115">
        <v>16</v>
      </c>
      <c r="B34" s="827" t="s">
        <v>55</v>
      </c>
      <c r="C34" s="819"/>
      <c r="D34" s="828">
        <f>D25*D12</f>
        <v>271835949.54328883</v>
      </c>
      <c r="E34" s="828"/>
      <c r="F34" s="826">
        <f>F28</f>
        <v>274468699.00281018</v>
      </c>
      <c r="G34" s="826"/>
      <c r="H34" s="826">
        <f>H28</f>
        <v>274426375.30860889</v>
      </c>
    </row>
    <row r="35" spans="1:8" ht="15.75" customHeight="1">
      <c r="A35" s="1115">
        <v>17</v>
      </c>
      <c r="B35" s="829" t="s">
        <v>56</v>
      </c>
      <c r="C35" s="821"/>
      <c r="D35" s="822"/>
      <c r="E35" s="825"/>
      <c r="F35" s="825"/>
      <c r="G35" s="825"/>
      <c r="H35" s="825"/>
    </row>
    <row r="36" spans="1:8" ht="15.75" customHeight="1">
      <c r="A36" s="789">
        <v>18</v>
      </c>
      <c r="B36" s="829" t="s">
        <v>57</v>
      </c>
      <c r="C36" s="843"/>
      <c r="D36" s="825">
        <f>'①Tidak termasuk VAT TAX'!M14/1.1</f>
        <v>134923636.36363634</v>
      </c>
      <c r="E36" s="823"/>
      <c r="F36" s="823"/>
      <c r="G36" s="823"/>
      <c r="H36" s="823"/>
    </row>
    <row r="37" spans="1:8" ht="15.75" customHeight="1">
      <c r="A37" s="789">
        <v>19</v>
      </c>
      <c r="B37" s="829" t="s">
        <v>58</v>
      </c>
      <c r="C37" s="945">
        <f>'Input　seet'!D29</f>
        <v>0.25</v>
      </c>
      <c r="D37" s="822">
        <f>'①Tidak termasuk VAT TAX'!AA11</f>
        <v>8480082.5106164385</v>
      </c>
      <c r="E37" s="823"/>
      <c r="F37" s="823"/>
      <c r="G37" s="823"/>
      <c r="H37" s="823"/>
    </row>
    <row r="38" spans="1:8" ht="15.75" customHeight="1">
      <c r="A38" s="1115">
        <v>20</v>
      </c>
      <c r="B38" s="833"/>
      <c r="C38" s="844"/>
      <c r="D38" s="832">
        <f>'Input　seet'!D43</f>
        <v>20000000</v>
      </c>
      <c r="E38" s="823"/>
      <c r="F38" s="823"/>
      <c r="G38" s="823"/>
      <c r="H38" s="823"/>
    </row>
    <row r="39" spans="1:8" ht="15.75" customHeight="1">
      <c r="A39" s="1115">
        <v>21</v>
      </c>
      <c r="B39" s="830" t="s">
        <v>59</v>
      </c>
      <c r="C39" s="821"/>
      <c r="D39" s="822">
        <f>SUM(D34:D38)</f>
        <v>435239668.41754162</v>
      </c>
      <c r="E39" s="825"/>
      <c r="F39" s="825">
        <f>F34+SUM(D35:D37)</f>
        <v>417872417.87706298</v>
      </c>
      <c r="G39" s="825"/>
      <c r="H39" s="825">
        <f>H34+SUM(D35:D38)</f>
        <v>437830094.18286169</v>
      </c>
    </row>
    <row r="40" spans="1:8" ht="6" customHeight="1">
      <c r="A40" s="1116"/>
      <c r="B40" s="794"/>
    </row>
    <row r="41" spans="1:8" ht="15.75" customHeight="1">
      <c r="A41" s="1115"/>
      <c r="B41" s="799" t="s">
        <v>60</v>
      </c>
      <c r="C41" s="805"/>
      <c r="D41" s="806"/>
      <c r="E41" s="807"/>
      <c r="F41" s="807"/>
      <c r="G41" s="807"/>
      <c r="H41" s="807"/>
    </row>
    <row r="42" spans="1:8" ht="6" customHeight="1">
      <c r="A42" s="1115"/>
      <c r="B42" s="809"/>
      <c r="C42" s="815"/>
      <c r="D42" s="816"/>
      <c r="E42" s="817"/>
      <c r="F42" s="817"/>
      <c r="G42" s="817"/>
      <c r="H42" s="817"/>
    </row>
    <row r="43" spans="1:8" ht="15.75" customHeight="1">
      <c r="A43" s="1115">
        <v>22</v>
      </c>
      <c r="B43" s="827" t="s">
        <v>19</v>
      </c>
      <c r="C43" s="819"/>
      <c r="D43" s="828">
        <f>-'①Tidak termasuk VAT TAX'!AA8</f>
        <v>-33920330.042465754</v>
      </c>
      <c r="E43" s="828"/>
      <c r="F43" s="828"/>
      <c r="G43" s="828"/>
      <c r="H43" s="828"/>
    </row>
    <row r="44" spans="1:8" ht="15.75" customHeight="1">
      <c r="A44" s="1115">
        <v>23</v>
      </c>
      <c r="B44" s="829" t="s">
        <v>61</v>
      </c>
      <c r="C44" s="843"/>
      <c r="D44" s="825">
        <f>'①Tidak termasuk VAT TAX'!E91+'①Tidak termasuk VAT TAX'!G91+'①Tidak termasuk VAT TAX'!I91</f>
        <v>-281090909.09090912</v>
      </c>
      <c r="E44" s="825"/>
      <c r="F44" s="825"/>
      <c r="G44" s="825"/>
      <c r="H44" s="825"/>
    </row>
    <row r="45" spans="1:8" ht="15.75" customHeight="1">
      <c r="A45" s="1115">
        <v>24</v>
      </c>
      <c r="B45" s="829" t="s">
        <v>62</v>
      </c>
      <c r="C45" s="944">
        <f>'Input　seet'!D9</f>
        <v>30</v>
      </c>
      <c r="D45" s="825">
        <f>'①Tidak termasuk VAT TAX'!R91</f>
        <v>-2348645.8243691004</v>
      </c>
      <c r="E45" s="825"/>
      <c r="F45" s="825"/>
      <c r="G45" s="825"/>
      <c r="H45" s="825"/>
    </row>
    <row r="46" spans="1:8" ht="15.75" customHeight="1">
      <c r="A46" s="1115">
        <v>25</v>
      </c>
      <c r="B46" s="829" t="s">
        <v>25</v>
      </c>
      <c r="C46" s="819"/>
      <c r="D46" s="825">
        <f>'①Tidak termasuk VAT TAX'!M91</f>
        <v>-20000000</v>
      </c>
      <c r="E46" s="825"/>
      <c r="F46" s="825"/>
      <c r="G46" s="825"/>
      <c r="H46" s="825"/>
    </row>
    <row r="47" spans="1:8" ht="15.75" customHeight="1">
      <c r="A47" s="1115">
        <v>26</v>
      </c>
      <c r="B47" s="829" t="s">
        <v>63</v>
      </c>
      <c r="C47" s="819"/>
      <c r="D47" s="825">
        <f>'①Tidak termasuk VAT TAX'!S91</f>
        <v>0</v>
      </c>
      <c r="E47" s="825"/>
      <c r="F47" s="825"/>
      <c r="G47" s="825"/>
      <c r="H47" s="825"/>
    </row>
    <row r="48" spans="1:8" ht="15.75" customHeight="1">
      <c r="A48" s="1115">
        <v>27</v>
      </c>
      <c r="B48" s="829" t="s">
        <v>27</v>
      </c>
      <c r="C48" s="819"/>
      <c r="D48" s="825">
        <f>'①Tidak termasuk VAT TAX'!K91</f>
        <v>0</v>
      </c>
      <c r="E48" s="825"/>
      <c r="F48" s="825"/>
      <c r="G48" s="825"/>
      <c r="H48" s="825"/>
    </row>
    <row r="49" spans="1:8" ht="15.75" customHeight="1">
      <c r="A49" s="1115">
        <v>28</v>
      </c>
      <c r="B49" s="829" t="s">
        <v>64</v>
      </c>
      <c r="C49" s="821"/>
      <c r="D49" s="825">
        <f>'①Tidak termasuk VAT TAX'!P91</f>
        <v>-12000000</v>
      </c>
      <c r="E49" s="825"/>
      <c r="F49" s="825"/>
      <c r="G49" s="825"/>
      <c r="H49" s="825"/>
    </row>
    <row r="50" spans="1:8" ht="15.75" customHeight="1">
      <c r="A50" s="1115">
        <v>29</v>
      </c>
      <c r="B50" s="829" t="s">
        <v>65</v>
      </c>
      <c r="C50" s="821"/>
      <c r="D50" s="825">
        <f>-'①Tidak termasuk VAT TAX'!Q167</f>
        <v>-36024016.469373725</v>
      </c>
      <c r="E50" s="825">
        <f>-'③Termasuk VAT'!T168</f>
        <v>-2632749.4595213542</v>
      </c>
      <c r="F50" s="825">
        <f>D50+E50</f>
        <v>-38656765.928895079</v>
      </c>
      <c r="G50" s="825">
        <f>-'⑤Termasuk TAX'!T168</f>
        <v>42323.69420130684</v>
      </c>
      <c r="H50" s="825">
        <f>SUM(F50:G50)</f>
        <v>-38614442.234693773</v>
      </c>
    </row>
    <row r="51" spans="1:8" ht="15.75" customHeight="1">
      <c r="A51" s="1115">
        <v>30</v>
      </c>
      <c r="B51" s="829" t="s">
        <v>66</v>
      </c>
      <c r="C51" s="821"/>
      <c r="D51" s="825">
        <f>-'①Tidak termasuk VAT TAX'!AA10</f>
        <v>0</v>
      </c>
      <c r="E51" s="825"/>
      <c r="F51" s="825"/>
      <c r="G51" s="825"/>
      <c r="H51" s="825"/>
    </row>
    <row r="52" spans="1:8" ht="15.75" customHeight="1">
      <c r="A52" s="1115">
        <v>31</v>
      </c>
      <c r="B52" s="833"/>
      <c r="C52" s="834"/>
      <c r="D52" s="823"/>
      <c r="E52" s="823"/>
      <c r="F52" s="823"/>
      <c r="G52" s="823"/>
      <c r="H52" s="823"/>
    </row>
    <row r="53" spans="1:8" ht="15.75" customHeight="1">
      <c r="A53" s="1115">
        <v>32</v>
      </c>
      <c r="B53" s="830" t="s">
        <v>59</v>
      </c>
      <c r="C53" s="821"/>
      <c r="D53" s="822">
        <f>SUM(D43:D52)</f>
        <v>-385383901.42711765</v>
      </c>
      <c r="E53" s="825"/>
      <c r="F53" s="825">
        <f>D53+E50</f>
        <v>-388016650.886639</v>
      </c>
      <c r="G53" s="825"/>
      <c r="H53" s="825">
        <f>F53+G50</f>
        <v>-387974327.19243771</v>
      </c>
    </row>
    <row r="54" spans="1:8" ht="6" customHeight="1">
      <c r="A54" s="1115"/>
      <c r="B54" s="793"/>
    </row>
    <row r="55" spans="1:8" ht="15.75" customHeight="1">
      <c r="A55" s="1115"/>
      <c r="B55" s="808" t="s">
        <v>67</v>
      </c>
      <c r="C55" s="805"/>
      <c r="D55" s="806"/>
      <c r="E55" s="807"/>
      <c r="F55" s="807"/>
      <c r="G55" s="807"/>
      <c r="H55" s="807"/>
    </row>
    <row r="56" spans="1:8" ht="6" customHeight="1">
      <c r="A56" s="1115"/>
      <c r="B56" s="818"/>
      <c r="C56" s="815"/>
      <c r="D56" s="816"/>
      <c r="E56" s="817"/>
      <c r="F56" s="817"/>
      <c r="G56" s="817"/>
      <c r="H56" s="817"/>
    </row>
    <row r="57" spans="1:8" ht="15.75" customHeight="1">
      <c r="A57" s="1115">
        <v>33</v>
      </c>
      <c r="B57" s="831" t="s">
        <v>68</v>
      </c>
      <c r="C57" s="819"/>
      <c r="D57" s="824">
        <f>D39+D53</f>
        <v>49855766.990423977</v>
      </c>
      <c r="E57" s="824"/>
      <c r="F57" s="824">
        <f>F39+F53</f>
        <v>29855766.990423977</v>
      </c>
      <c r="G57" s="828"/>
      <c r="H57" s="828">
        <f>H39+H53</f>
        <v>49855766.990423977</v>
      </c>
    </row>
    <row r="58" spans="1:8" ht="15.75" customHeight="1">
      <c r="A58" s="1115">
        <v>34</v>
      </c>
      <c r="B58" s="821" t="s">
        <v>69</v>
      </c>
      <c r="C58" s="821"/>
      <c r="D58" s="822"/>
      <c r="E58" s="825"/>
      <c r="F58" s="825">
        <f>F57/$D$12*12</f>
        <v>14927883.495211989</v>
      </c>
      <c r="G58" s="825"/>
      <c r="H58" s="825">
        <f>H57/$D$12*12</f>
        <v>24927883.495211989</v>
      </c>
    </row>
    <row r="59" spans="1:8" ht="15.75" customHeight="1">
      <c r="A59" s="1115">
        <v>35</v>
      </c>
      <c r="B59" s="821" t="s">
        <v>70</v>
      </c>
      <c r="C59" s="821"/>
      <c r="D59" s="822"/>
      <c r="E59" s="825"/>
      <c r="F59" s="825">
        <f>(($D$19-$D$21)/2)+$D$21</f>
        <v>228808000</v>
      </c>
      <c r="G59" s="825"/>
      <c r="H59" s="825">
        <f>(($D$19-$D$21)/2)+$D$21</f>
        <v>228808000</v>
      </c>
    </row>
    <row r="60" spans="1:8" ht="15.75" customHeight="1">
      <c r="A60" s="1115">
        <v>36</v>
      </c>
      <c r="B60" s="821" t="s">
        <v>71</v>
      </c>
      <c r="C60" s="821"/>
      <c r="D60" s="822"/>
      <c r="E60" s="825"/>
      <c r="F60" s="848">
        <f>F58/F59</f>
        <v>6.5241964857924495E-2</v>
      </c>
      <c r="G60" s="851"/>
      <c r="H60" s="848">
        <f>H58/H59</f>
        <v>0.10894673042556199</v>
      </c>
    </row>
    <row r="61" spans="1:8" ht="6" customHeight="1">
      <c r="A61" s="1115"/>
      <c r="B61" s="789"/>
      <c r="F61" s="789"/>
      <c r="G61" s="789"/>
      <c r="H61" s="789"/>
    </row>
    <row r="62" spans="1:8" ht="15.75" customHeight="1">
      <c r="A62" s="1115"/>
      <c r="B62" s="789"/>
      <c r="F62" s="789"/>
      <c r="G62" s="789"/>
      <c r="H62" s="789"/>
    </row>
    <row r="63" spans="1:8" ht="19.5" hidden="1" customHeight="1">
      <c r="A63" s="1115"/>
      <c r="B63" s="808" t="s">
        <v>72</v>
      </c>
      <c r="C63" s="805"/>
      <c r="D63" s="806"/>
      <c r="E63" s="807"/>
      <c r="F63" s="807"/>
      <c r="G63" s="807"/>
      <c r="H63" s="807"/>
    </row>
    <row r="64" spans="1:8" hidden="1">
      <c r="A64" s="1115"/>
      <c r="B64" s="818"/>
      <c r="C64" s="815"/>
      <c r="D64" s="816"/>
      <c r="E64" s="817"/>
      <c r="F64" s="817"/>
      <c r="G64" s="1097" t="s">
        <v>73</v>
      </c>
      <c r="H64" s="1098" t="s">
        <v>74</v>
      </c>
    </row>
    <row r="65" spans="1:8" ht="14.25" hidden="1" customHeight="1">
      <c r="A65" s="789">
        <v>37</v>
      </c>
      <c r="B65" s="1099" t="s">
        <v>75</v>
      </c>
      <c r="C65" s="1100"/>
      <c r="D65" s="1101"/>
      <c r="E65" s="1101"/>
      <c r="F65" s="1101"/>
      <c r="G65" s="1108">
        <f>H65/(D12/12)</f>
        <v>26835902.060100686</v>
      </c>
      <c r="H65" s="1108">
        <f>H39+H53+C73+C74+C76</f>
        <v>53671804.120201372</v>
      </c>
    </row>
    <row r="66" spans="1:8" ht="14.25" hidden="1" customHeight="1">
      <c r="A66" s="789">
        <v>38</v>
      </c>
      <c r="B66" s="821" t="s">
        <v>76</v>
      </c>
      <c r="C66" s="1102">
        <v>-4.2000000000000003E-2</v>
      </c>
      <c r="D66" s="822"/>
      <c r="E66" s="1109"/>
      <c r="F66" s="1109"/>
      <c r="G66" s="1109">
        <f>C66*G69</f>
        <v>-9653715.9090909045</v>
      </c>
      <c r="H66" s="1109">
        <f>(D12/12)*G66</f>
        <v>-19307431.818181809</v>
      </c>
    </row>
    <row r="67" spans="1:8" ht="14.25" hidden="1" customHeight="1">
      <c r="A67" s="789">
        <v>39</v>
      </c>
      <c r="B67" s="821" t="s">
        <v>77</v>
      </c>
      <c r="C67" s="1102">
        <v>-8.9999999999999993E-3</v>
      </c>
      <c r="D67" s="822"/>
      <c r="E67" s="1109"/>
      <c r="F67" s="1109"/>
      <c r="G67" s="1109">
        <f>C67*G69</f>
        <v>-2068653.4090909078</v>
      </c>
      <c r="H67" s="1109">
        <f>(D12/12)*G67</f>
        <v>-4137306.8181818156</v>
      </c>
    </row>
    <row r="68" spans="1:8" ht="14.25" hidden="1" customHeight="1">
      <c r="A68" s="789">
        <v>40</v>
      </c>
      <c r="B68" s="1103" t="s">
        <v>78</v>
      </c>
      <c r="C68" s="1104"/>
      <c r="D68" s="822"/>
      <c r="E68" s="1109"/>
      <c r="F68" s="1109"/>
      <c r="G68" s="1110">
        <f>SUM(G65:G67)</f>
        <v>15113532.741918875</v>
      </c>
      <c r="H68" s="1110">
        <f>SUM(H65:H67)</f>
        <v>30227065.48383775</v>
      </c>
    </row>
    <row r="69" spans="1:8" ht="14.25" hidden="1" customHeight="1">
      <c r="A69" s="789">
        <v>41</v>
      </c>
      <c r="B69" s="821" t="s">
        <v>79</v>
      </c>
      <c r="C69" s="821"/>
      <c r="D69" s="822"/>
      <c r="E69" s="1109"/>
      <c r="F69" s="1109"/>
      <c r="G69" s="1109">
        <f>IF(D12=12,AVERAGE(Sheet5!D3:D14),IF(D12=24,AVERAGE(Sheet5!D3:D26),IF(D12=36,AVERAGE(Sheet5!D3:D38),IF(D12=48,AVERAGE(Sheet5!D3:D50),IF(D12=60,AVERAGE(Sheet5!D3:D62),"ERROR")))))</f>
        <v>229850378.78787866</v>
      </c>
      <c r="H69" s="1109">
        <f>IF(D12=12,AVERAGE(Sheet5!D3:D14),IF(D12=24,AVERAGE(Sheet5!D3:D26),IF(D12=36,AVERAGE(Sheet5!D3:D38),IF(D12=48,AVERAGE(Sheet5!D3:D50),IF(D12=60,AVERAGE(Sheet5!D3:D62),"ERROR")))))</f>
        <v>229850378.78787866</v>
      </c>
    </row>
    <row r="70" spans="1:8" ht="14.25" hidden="1" customHeight="1">
      <c r="A70" s="789">
        <v>42</v>
      </c>
      <c r="B70" s="1103" t="s">
        <v>71</v>
      </c>
      <c r="C70" s="821"/>
      <c r="D70" s="822"/>
      <c r="E70" s="1109"/>
      <c r="F70" s="1111"/>
      <c r="G70" s="1112">
        <f>G68/G69</f>
        <v>6.5753786535486441E-2</v>
      </c>
      <c r="H70" s="1112">
        <f>H68/H69</f>
        <v>0.13150757307097288</v>
      </c>
    </row>
    <row r="71" spans="1:8" hidden="1"/>
    <row r="72" spans="1:8" hidden="1"/>
    <row r="73" spans="1:8" hidden="1">
      <c r="B73" s="789" t="s">
        <v>80</v>
      </c>
      <c r="C73" s="790">
        <f>'Input　seet'!D45</f>
        <v>0</v>
      </c>
      <c r="H73" s="1117"/>
    </row>
    <row r="74" spans="1:8" hidden="1">
      <c r="B74" s="789" t="s">
        <v>81</v>
      </c>
      <c r="C74" s="1105">
        <f>-15%*(D37+D43)</f>
        <v>3816037.1297773975</v>
      </c>
    </row>
    <row r="76" spans="1:8">
      <c r="C76" s="1106"/>
    </row>
    <row r="85" ht="11.25" customHeight="1"/>
  </sheetData>
  <mergeCells count="1">
    <mergeCell ref="A4:B4"/>
  </mergeCells>
  <phoneticPr fontId="69"/>
  <pageMargins left="0.23622047244094491" right="0.23622047244094491" top="0.19685039370078741" bottom="0.15748031496062992" header="0.31496062992125984" footer="0.31496062992125984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J116"/>
  <sheetViews>
    <sheetView topLeftCell="Q97" zoomScale="106" zoomScaleNormal="106" workbookViewId="0">
      <selection activeCell="W9" sqref="W9"/>
    </sheetView>
  </sheetViews>
  <sheetFormatPr defaultColWidth="9.140625" defaultRowHeight="10.5"/>
  <cols>
    <col min="1" max="1" width="4.28515625" style="58" customWidth="1"/>
    <col min="2" max="2" width="10.140625" style="58" customWidth="1"/>
    <col min="3" max="3" width="8.85546875" style="58" customWidth="1"/>
    <col min="4" max="4" width="11.140625" style="58" customWidth="1"/>
    <col min="5" max="5" width="15" style="58" bestFit="1" customWidth="1"/>
    <col min="6" max="6" width="13.5703125" style="58" customWidth="1"/>
    <col min="7" max="7" width="11.42578125" style="58" bestFit="1" customWidth="1"/>
    <col min="8" max="8" width="11.28515625" style="58" customWidth="1"/>
    <col min="9" max="9" width="15.28515625" style="58" bestFit="1" customWidth="1"/>
    <col min="10" max="12" width="11.85546875" style="58" customWidth="1"/>
    <col min="13" max="13" width="19.140625" style="58" customWidth="1"/>
    <col min="14" max="14" width="15" style="58" customWidth="1"/>
    <col min="15" max="15" width="15.28515625" style="58" customWidth="1"/>
    <col min="16" max="18" width="18.85546875" style="58" customWidth="1"/>
    <col min="19" max="19" width="12.7109375" style="58" customWidth="1"/>
    <col min="20" max="20" width="13.7109375" style="58" customWidth="1"/>
    <col min="21" max="21" width="16.140625" style="58" customWidth="1"/>
    <col min="22" max="22" width="17" style="58" customWidth="1"/>
    <col min="23" max="23" width="15" style="58" customWidth="1"/>
    <col min="24" max="24" width="14.28515625" style="58" customWidth="1"/>
    <col min="25" max="25" width="14.85546875" style="58" customWidth="1"/>
    <col min="26" max="26" width="17.140625" style="58" customWidth="1"/>
    <col min="27" max="27" width="13.5703125" style="58" customWidth="1"/>
    <col min="28" max="29" width="14.85546875" style="58" customWidth="1"/>
    <col min="30" max="30" width="18.85546875" style="58" customWidth="1"/>
    <col min="31" max="31" width="19.42578125" style="58" customWidth="1"/>
    <col min="32" max="32" width="16.140625" style="58" customWidth="1"/>
    <col min="33" max="33" width="14.5703125" style="58" customWidth="1"/>
    <col min="34" max="34" width="20.28515625" style="58" customWidth="1"/>
    <col min="35" max="35" width="13.85546875" style="58" customWidth="1"/>
    <col min="36" max="36" width="19.140625" style="58" customWidth="1"/>
    <col min="37" max="37" width="19.7109375" style="58" customWidth="1"/>
    <col min="38" max="38" width="16.5703125" style="58" customWidth="1"/>
    <col min="39" max="39" width="19.140625" style="58" customWidth="1"/>
    <col min="40" max="42" width="16.5703125" style="58" customWidth="1"/>
    <col min="43" max="43" width="15.7109375" style="58" customWidth="1"/>
    <col min="44" max="44" width="19.42578125" style="58" customWidth="1"/>
    <col min="45" max="45" width="14.85546875" style="59" bestFit="1" customWidth="1"/>
    <col min="46" max="46" width="13.7109375" style="59" bestFit="1" customWidth="1"/>
    <col min="47" max="47" width="13" style="60" customWidth="1"/>
    <col min="48" max="48" width="18.42578125" style="59" customWidth="1"/>
    <col min="49" max="51" width="13.140625" style="59" customWidth="1"/>
    <col min="52" max="52" width="16.42578125" style="59" customWidth="1"/>
    <col min="53" max="53" width="13.140625" style="59" customWidth="1"/>
    <col min="54" max="54" width="15.28515625" style="59" customWidth="1"/>
    <col min="55" max="55" width="14" style="59" bestFit="1" customWidth="1"/>
    <col min="56" max="56" width="17.140625" style="247" customWidth="1"/>
    <col min="57" max="62" width="16.5703125" style="58" customWidth="1"/>
    <col min="63" max="64" width="16.5703125" style="248" customWidth="1"/>
    <col min="65" max="78" width="16.5703125" style="58" customWidth="1"/>
    <col min="79" max="79" width="20.140625" style="58" customWidth="1"/>
    <col min="80" max="80" width="13.28515625" style="58" customWidth="1"/>
    <col min="81" max="81" width="14.85546875" style="58" customWidth="1"/>
    <col min="82" max="82" width="13.85546875" style="58" customWidth="1"/>
    <col min="83" max="83" width="13.5703125" style="58" customWidth="1"/>
    <col min="84" max="84" width="13" style="58" customWidth="1"/>
    <col min="85" max="85" width="13.5703125" style="58" customWidth="1"/>
    <col min="86" max="86" width="7.7109375" style="58" bestFit="1" customWidth="1"/>
    <col min="87" max="256" width="9.140625" style="58"/>
    <col min="257" max="257" width="4.28515625" style="58" customWidth="1"/>
    <col min="258" max="258" width="10.140625" style="58" customWidth="1"/>
    <col min="259" max="259" width="8.85546875" style="58" customWidth="1"/>
    <col min="260" max="260" width="11.140625" style="58" customWidth="1"/>
    <col min="261" max="261" width="15" style="58" bestFit="1" customWidth="1"/>
    <col min="262" max="262" width="13.5703125" style="58" customWidth="1"/>
    <col min="263" max="263" width="11.42578125" style="58" bestFit="1" customWidth="1"/>
    <col min="264" max="264" width="11.28515625" style="58" customWidth="1"/>
    <col min="265" max="265" width="15.28515625" style="58" bestFit="1" customWidth="1"/>
    <col min="266" max="268" width="11.85546875" style="58" customWidth="1"/>
    <col min="269" max="269" width="19.140625" style="58" customWidth="1"/>
    <col min="270" max="270" width="15" style="58" customWidth="1"/>
    <col min="271" max="271" width="15.28515625" style="58" customWidth="1"/>
    <col min="272" max="274" width="18.85546875" style="58" customWidth="1"/>
    <col min="275" max="275" width="12.7109375" style="58" customWidth="1"/>
    <col min="276" max="276" width="13.7109375" style="58" customWidth="1"/>
    <col min="277" max="277" width="16.140625" style="58" customWidth="1"/>
    <col min="278" max="278" width="17" style="58" customWidth="1"/>
    <col min="279" max="279" width="15" style="58" customWidth="1"/>
    <col min="280" max="280" width="14.28515625" style="58" customWidth="1"/>
    <col min="281" max="281" width="14.85546875" style="58" customWidth="1"/>
    <col min="282" max="282" width="17.140625" style="58" customWidth="1"/>
    <col min="283" max="283" width="13.5703125" style="58" customWidth="1"/>
    <col min="284" max="285" width="14.85546875" style="58" customWidth="1"/>
    <col min="286" max="286" width="18.85546875" style="58" customWidth="1"/>
    <col min="287" max="287" width="19.42578125" style="58" customWidth="1"/>
    <col min="288" max="288" width="16.140625" style="58" customWidth="1"/>
    <col min="289" max="289" width="14.5703125" style="58" customWidth="1"/>
    <col min="290" max="290" width="20.28515625" style="58" customWidth="1"/>
    <col min="291" max="291" width="13.85546875" style="58" customWidth="1"/>
    <col min="292" max="292" width="19.140625" style="58" customWidth="1"/>
    <col min="293" max="293" width="19.7109375" style="58" customWidth="1"/>
    <col min="294" max="294" width="16.5703125" style="58" customWidth="1"/>
    <col min="295" max="295" width="19.140625" style="58" customWidth="1"/>
    <col min="296" max="298" width="16.5703125" style="58" customWidth="1"/>
    <col min="299" max="299" width="15.7109375" style="58" customWidth="1"/>
    <col min="300" max="300" width="19.42578125" style="58" customWidth="1"/>
    <col min="301" max="301" width="14.85546875" style="58" bestFit="1" customWidth="1"/>
    <col min="302" max="302" width="13.7109375" style="58" bestFit="1" customWidth="1"/>
    <col min="303" max="303" width="13" style="58" customWidth="1"/>
    <col min="304" max="304" width="18.42578125" style="58" customWidth="1"/>
    <col min="305" max="307" width="13.140625" style="58" customWidth="1"/>
    <col min="308" max="308" width="16.42578125" style="58" customWidth="1"/>
    <col min="309" max="309" width="13.140625" style="58" customWidth="1"/>
    <col min="310" max="310" width="15.28515625" style="58" customWidth="1"/>
    <col min="311" max="311" width="14" style="58" bestFit="1" customWidth="1"/>
    <col min="312" max="312" width="17.140625" style="58" customWidth="1"/>
    <col min="313" max="334" width="16.5703125" style="58" customWidth="1"/>
    <col min="335" max="335" width="20.140625" style="58" customWidth="1"/>
    <col min="336" max="336" width="13.28515625" style="58" customWidth="1"/>
    <col min="337" max="337" width="14.85546875" style="58" customWidth="1"/>
    <col min="338" max="338" width="13.85546875" style="58" customWidth="1"/>
    <col min="339" max="339" width="13.5703125" style="58" customWidth="1"/>
    <col min="340" max="340" width="13" style="58" customWidth="1"/>
    <col min="341" max="341" width="13.5703125" style="58" customWidth="1"/>
    <col min="342" max="342" width="7.7109375" style="58" bestFit="1" customWidth="1"/>
    <col min="343" max="512" width="9.140625" style="58"/>
    <col min="513" max="513" width="4.28515625" style="58" customWidth="1"/>
    <col min="514" max="514" width="10.140625" style="58" customWidth="1"/>
    <col min="515" max="515" width="8.85546875" style="58" customWidth="1"/>
    <col min="516" max="516" width="11.140625" style="58" customWidth="1"/>
    <col min="517" max="517" width="15" style="58" bestFit="1" customWidth="1"/>
    <col min="518" max="518" width="13.5703125" style="58" customWidth="1"/>
    <col min="519" max="519" width="11.42578125" style="58" bestFit="1" customWidth="1"/>
    <col min="520" max="520" width="11.28515625" style="58" customWidth="1"/>
    <col min="521" max="521" width="15.28515625" style="58" bestFit="1" customWidth="1"/>
    <col min="522" max="524" width="11.85546875" style="58" customWidth="1"/>
    <col min="525" max="525" width="19.140625" style="58" customWidth="1"/>
    <col min="526" max="526" width="15" style="58" customWidth="1"/>
    <col min="527" max="527" width="15.28515625" style="58" customWidth="1"/>
    <col min="528" max="530" width="18.85546875" style="58" customWidth="1"/>
    <col min="531" max="531" width="12.7109375" style="58" customWidth="1"/>
    <col min="532" max="532" width="13.7109375" style="58" customWidth="1"/>
    <col min="533" max="533" width="16.140625" style="58" customWidth="1"/>
    <col min="534" max="534" width="17" style="58" customWidth="1"/>
    <col min="535" max="535" width="15" style="58" customWidth="1"/>
    <col min="536" max="536" width="14.28515625" style="58" customWidth="1"/>
    <col min="537" max="537" width="14.85546875" style="58" customWidth="1"/>
    <col min="538" max="538" width="17.140625" style="58" customWidth="1"/>
    <col min="539" max="539" width="13.5703125" style="58" customWidth="1"/>
    <col min="540" max="541" width="14.85546875" style="58" customWidth="1"/>
    <col min="542" max="542" width="18.85546875" style="58" customWidth="1"/>
    <col min="543" max="543" width="19.42578125" style="58" customWidth="1"/>
    <col min="544" max="544" width="16.140625" style="58" customWidth="1"/>
    <col min="545" max="545" width="14.5703125" style="58" customWidth="1"/>
    <col min="546" max="546" width="20.28515625" style="58" customWidth="1"/>
    <col min="547" max="547" width="13.85546875" style="58" customWidth="1"/>
    <col min="548" max="548" width="19.140625" style="58" customWidth="1"/>
    <col min="549" max="549" width="19.7109375" style="58" customWidth="1"/>
    <col min="550" max="550" width="16.5703125" style="58" customWidth="1"/>
    <col min="551" max="551" width="19.140625" style="58" customWidth="1"/>
    <col min="552" max="554" width="16.5703125" style="58" customWidth="1"/>
    <col min="555" max="555" width="15.7109375" style="58" customWidth="1"/>
    <col min="556" max="556" width="19.42578125" style="58" customWidth="1"/>
    <col min="557" max="557" width="14.85546875" style="58" bestFit="1" customWidth="1"/>
    <col min="558" max="558" width="13.7109375" style="58" bestFit="1" customWidth="1"/>
    <col min="559" max="559" width="13" style="58" customWidth="1"/>
    <col min="560" max="560" width="18.42578125" style="58" customWidth="1"/>
    <col min="561" max="563" width="13.140625" style="58" customWidth="1"/>
    <col min="564" max="564" width="16.42578125" style="58" customWidth="1"/>
    <col min="565" max="565" width="13.140625" style="58" customWidth="1"/>
    <col min="566" max="566" width="15.28515625" style="58" customWidth="1"/>
    <col min="567" max="567" width="14" style="58" bestFit="1" customWidth="1"/>
    <col min="568" max="568" width="17.140625" style="58" customWidth="1"/>
    <col min="569" max="590" width="16.5703125" style="58" customWidth="1"/>
    <col min="591" max="591" width="20.140625" style="58" customWidth="1"/>
    <col min="592" max="592" width="13.28515625" style="58" customWidth="1"/>
    <col min="593" max="593" width="14.85546875" style="58" customWidth="1"/>
    <col min="594" max="594" width="13.85546875" style="58" customWidth="1"/>
    <col min="595" max="595" width="13.5703125" style="58" customWidth="1"/>
    <col min="596" max="596" width="13" style="58" customWidth="1"/>
    <col min="597" max="597" width="13.5703125" style="58" customWidth="1"/>
    <col min="598" max="598" width="7.7109375" style="58" bestFit="1" customWidth="1"/>
    <col min="599" max="768" width="9.140625" style="58"/>
    <col min="769" max="769" width="4.28515625" style="58" customWidth="1"/>
    <col min="770" max="770" width="10.140625" style="58" customWidth="1"/>
    <col min="771" max="771" width="8.85546875" style="58" customWidth="1"/>
    <col min="772" max="772" width="11.140625" style="58" customWidth="1"/>
    <col min="773" max="773" width="15" style="58" bestFit="1" customWidth="1"/>
    <col min="774" max="774" width="13.5703125" style="58" customWidth="1"/>
    <col min="775" max="775" width="11.42578125" style="58" bestFit="1" customWidth="1"/>
    <col min="776" max="776" width="11.28515625" style="58" customWidth="1"/>
    <col min="777" max="777" width="15.28515625" style="58" bestFit="1" customWidth="1"/>
    <col min="778" max="780" width="11.85546875" style="58" customWidth="1"/>
    <col min="781" max="781" width="19.140625" style="58" customWidth="1"/>
    <col min="782" max="782" width="15" style="58" customWidth="1"/>
    <col min="783" max="783" width="15.28515625" style="58" customWidth="1"/>
    <col min="784" max="786" width="18.85546875" style="58" customWidth="1"/>
    <col min="787" max="787" width="12.7109375" style="58" customWidth="1"/>
    <col min="788" max="788" width="13.7109375" style="58" customWidth="1"/>
    <col min="789" max="789" width="16.140625" style="58" customWidth="1"/>
    <col min="790" max="790" width="17" style="58" customWidth="1"/>
    <col min="791" max="791" width="15" style="58" customWidth="1"/>
    <col min="792" max="792" width="14.28515625" style="58" customWidth="1"/>
    <col min="793" max="793" width="14.85546875" style="58" customWidth="1"/>
    <col min="794" max="794" width="17.140625" style="58" customWidth="1"/>
    <col min="795" max="795" width="13.5703125" style="58" customWidth="1"/>
    <col min="796" max="797" width="14.85546875" style="58" customWidth="1"/>
    <col min="798" max="798" width="18.85546875" style="58" customWidth="1"/>
    <col min="799" max="799" width="19.42578125" style="58" customWidth="1"/>
    <col min="800" max="800" width="16.140625" style="58" customWidth="1"/>
    <col min="801" max="801" width="14.5703125" style="58" customWidth="1"/>
    <col min="802" max="802" width="20.28515625" style="58" customWidth="1"/>
    <col min="803" max="803" width="13.85546875" style="58" customWidth="1"/>
    <col min="804" max="804" width="19.140625" style="58" customWidth="1"/>
    <col min="805" max="805" width="19.7109375" style="58" customWidth="1"/>
    <col min="806" max="806" width="16.5703125" style="58" customWidth="1"/>
    <col min="807" max="807" width="19.140625" style="58" customWidth="1"/>
    <col min="808" max="810" width="16.5703125" style="58" customWidth="1"/>
    <col min="811" max="811" width="15.7109375" style="58" customWidth="1"/>
    <col min="812" max="812" width="19.42578125" style="58" customWidth="1"/>
    <col min="813" max="813" width="14.85546875" style="58" bestFit="1" customWidth="1"/>
    <col min="814" max="814" width="13.7109375" style="58" bestFit="1" customWidth="1"/>
    <col min="815" max="815" width="13" style="58" customWidth="1"/>
    <col min="816" max="816" width="18.42578125" style="58" customWidth="1"/>
    <col min="817" max="819" width="13.140625" style="58" customWidth="1"/>
    <col min="820" max="820" width="16.42578125" style="58" customWidth="1"/>
    <col min="821" max="821" width="13.140625" style="58" customWidth="1"/>
    <col min="822" max="822" width="15.28515625" style="58" customWidth="1"/>
    <col min="823" max="823" width="14" style="58" bestFit="1" customWidth="1"/>
    <col min="824" max="824" width="17.140625" style="58" customWidth="1"/>
    <col min="825" max="846" width="16.5703125" style="58" customWidth="1"/>
    <col min="847" max="847" width="20.140625" style="58" customWidth="1"/>
    <col min="848" max="848" width="13.28515625" style="58" customWidth="1"/>
    <col min="849" max="849" width="14.85546875" style="58" customWidth="1"/>
    <col min="850" max="850" width="13.85546875" style="58" customWidth="1"/>
    <col min="851" max="851" width="13.5703125" style="58" customWidth="1"/>
    <col min="852" max="852" width="13" style="58" customWidth="1"/>
    <col min="853" max="853" width="13.5703125" style="58" customWidth="1"/>
    <col min="854" max="854" width="7.7109375" style="58" bestFit="1" customWidth="1"/>
    <col min="855" max="1024" width="9.140625" style="58"/>
    <col min="1025" max="1025" width="4.28515625" style="58" customWidth="1"/>
    <col min="1026" max="1026" width="10.140625" style="58" customWidth="1"/>
    <col min="1027" max="1027" width="8.85546875" style="58" customWidth="1"/>
    <col min="1028" max="1028" width="11.140625" style="58" customWidth="1"/>
    <col min="1029" max="1029" width="15" style="58" bestFit="1" customWidth="1"/>
    <col min="1030" max="1030" width="13.5703125" style="58" customWidth="1"/>
    <col min="1031" max="1031" width="11.42578125" style="58" bestFit="1" customWidth="1"/>
    <col min="1032" max="1032" width="11.28515625" style="58" customWidth="1"/>
    <col min="1033" max="1033" width="15.28515625" style="58" bestFit="1" customWidth="1"/>
    <col min="1034" max="1036" width="11.85546875" style="58" customWidth="1"/>
    <col min="1037" max="1037" width="19.140625" style="58" customWidth="1"/>
    <col min="1038" max="1038" width="15" style="58" customWidth="1"/>
    <col min="1039" max="1039" width="15.28515625" style="58" customWidth="1"/>
    <col min="1040" max="1042" width="18.85546875" style="58" customWidth="1"/>
    <col min="1043" max="1043" width="12.7109375" style="58" customWidth="1"/>
    <col min="1044" max="1044" width="13.7109375" style="58" customWidth="1"/>
    <col min="1045" max="1045" width="16.140625" style="58" customWidth="1"/>
    <col min="1046" max="1046" width="17" style="58" customWidth="1"/>
    <col min="1047" max="1047" width="15" style="58" customWidth="1"/>
    <col min="1048" max="1048" width="14.28515625" style="58" customWidth="1"/>
    <col min="1049" max="1049" width="14.85546875" style="58" customWidth="1"/>
    <col min="1050" max="1050" width="17.140625" style="58" customWidth="1"/>
    <col min="1051" max="1051" width="13.5703125" style="58" customWidth="1"/>
    <col min="1052" max="1053" width="14.85546875" style="58" customWidth="1"/>
    <col min="1054" max="1054" width="18.85546875" style="58" customWidth="1"/>
    <col min="1055" max="1055" width="19.42578125" style="58" customWidth="1"/>
    <col min="1056" max="1056" width="16.140625" style="58" customWidth="1"/>
    <col min="1057" max="1057" width="14.5703125" style="58" customWidth="1"/>
    <col min="1058" max="1058" width="20.28515625" style="58" customWidth="1"/>
    <col min="1059" max="1059" width="13.85546875" style="58" customWidth="1"/>
    <col min="1060" max="1060" width="19.140625" style="58" customWidth="1"/>
    <col min="1061" max="1061" width="19.7109375" style="58" customWidth="1"/>
    <col min="1062" max="1062" width="16.5703125" style="58" customWidth="1"/>
    <col min="1063" max="1063" width="19.140625" style="58" customWidth="1"/>
    <col min="1064" max="1066" width="16.5703125" style="58" customWidth="1"/>
    <col min="1067" max="1067" width="15.7109375" style="58" customWidth="1"/>
    <col min="1068" max="1068" width="19.42578125" style="58" customWidth="1"/>
    <col min="1069" max="1069" width="14.85546875" style="58" bestFit="1" customWidth="1"/>
    <col min="1070" max="1070" width="13.7109375" style="58" bestFit="1" customWidth="1"/>
    <col min="1071" max="1071" width="13" style="58" customWidth="1"/>
    <col min="1072" max="1072" width="18.42578125" style="58" customWidth="1"/>
    <col min="1073" max="1075" width="13.140625" style="58" customWidth="1"/>
    <col min="1076" max="1076" width="16.42578125" style="58" customWidth="1"/>
    <col min="1077" max="1077" width="13.140625" style="58" customWidth="1"/>
    <col min="1078" max="1078" width="15.28515625" style="58" customWidth="1"/>
    <col min="1079" max="1079" width="14" style="58" bestFit="1" customWidth="1"/>
    <col min="1080" max="1080" width="17.140625" style="58" customWidth="1"/>
    <col min="1081" max="1102" width="16.5703125" style="58" customWidth="1"/>
    <col min="1103" max="1103" width="20.140625" style="58" customWidth="1"/>
    <col min="1104" max="1104" width="13.28515625" style="58" customWidth="1"/>
    <col min="1105" max="1105" width="14.85546875" style="58" customWidth="1"/>
    <col min="1106" max="1106" width="13.85546875" style="58" customWidth="1"/>
    <col min="1107" max="1107" width="13.5703125" style="58" customWidth="1"/>
    <col min="1108" max="1108" width="13" style="58" customWidth="1"/>
    <col min="1109" max="1109" width="13.5703125" style="58" customWidth="1"/>
    <col min="1110" max="1110" width="7.7109375" style="58" bestFit="1" customWidth="1"/>
    <col min="1111" max="1280" width="9.140625" style="58"/>
    <col min="1281" max="1281" width="4.28515625" style="58" customWidth="1"/>
    <col min="1282" max="1282" width="10.140625" style="58" customWidth="1"/>
    <col min="1283" max="1283" width="8.85546875" style="58" customWidth="1"/>
    <col min="1284" max="1284" width="11.140625" style="58" customWidth="1"/>
    <col min="1285" max="1285" width="15" style="58" bestFit="1" customWidth="1"/>
    <col min="1286" max="1286" width="13.5703125" style="58" customWidth="1"/>
    <col min="1287" max="1287" width="11.42578125" style="58" bestFit="1" customWidth="1"/>
    <col min="1288" max="1288" width="11.28515625" style="58" customWidth="1"/>
    <col min="1289" max="1289" width="15.28515625" style="58" bestFit="1" customWidth="1"/>
    <col min="1290" max="1292" width="11.85546875" style="58" customWidth="1"/>
    <col min="1293" max="1293" width="19.140625" style="58" customWidth="1"/>
    <col min="1294" max="1294" width="15" style="58" customWidth="1"/>
    <col min="1295" max="1295" width="15.28515625" style="58" customWidth="1"/>
    <col min="1296" max="1298" width="18.85546875" style="58" customWidth="1"/>
    <col min="1299" max="1299" width="12.7109375" style="58" customWidth="1"/>
    <col min="1300" max="1300" width="13.7109375" style="58" customWidth="1"/>
    <col min="1301" max="1301" width="16.140625" style="58" customWidth="1"/>
    <col min="1302" max="1302" width="17" style="58" customWidth="1"/>
    <col min="1303" max="1303" width="15" style="58" customWidth="1"/>
    <col min="1304" max="1304" width="14.28515625" style="58" customWidth="1"/>
    <col min="1305" max="1305" width="14.85546875" style="58" customWidth="1"/>
    <col min="1306" max="1306" width="17.140625" style="58" customWidth="1"/>
    <col min="1307" max="1307" width="13.5703125" style="58" customWidth="1"/>
    <col min="1308" max="1309" width="14.85546875" style="58" customWidth="1"/>
    <col min="1310" max="1310" width="18.85546875" style="58" customWidth="1"/>
    <col min="1311" max="1311" width="19.42578125" style="58" customWidth="1"/>
    <col min="1312" max="1312" width="16.140625" style="58" customWidth="1"/>
    <col min="1313" max="1313" width="14.5703125" style="58" customWidth="1"/>
    <col min="1314" max="1314" width="20.28515625" style="58" customWidth="1"/>
    <col min="1315" max="1315" width="13.85546875" style="58" customWidth="1"/>
    <col min="1316" max="1316" width="19.140625" style="58" customWidth="1"/>
    <col min="1317" max="1317" width="19.7109375" style="58" customWidth="1"/>
    <col min="1318" max="1318" width="16.5703125" style="58" customWidth="1"/>
    <col min="1319" max="1319" width="19.140625" style="58" customWidth="1"/>
    <col min="1320" max="1322" width="16.5703125" style="58" customWidth="1"/>
    <col min="1323" max="1323" width="15.7109375" style="58" customWidth="1"/>
    <col min="1324" max="1324" width="19.42578125" style="58" customWidth="1"/>
    <col min="1325" max="1325" width="14.85546875" style="58" bestFit="1" customWidth="1"/>
    <col min="1326" max="1326" width="13.7109375" style="58" bestFit="1" customWidth="1"/>
    <col min="1327" max="1327" width="13" style="58" customWidth="1"/>
    <col min="1328" max="1328" width="18.42578125" style="58" customWidth="1"/>
    <col min="1329" max="1331" width="13.140625" style="58" customWidth="1"/>
    <col min="1332" max="1332" width="16.42578125" style="58" customWidth="1"/>
    <col min="1333" max="1333" width="13.140625" style="58" customWidth="1"/>
    <col min="1334" max="1334" width="15.28515625" style="58" customWidth="1"/>
    <col min="1335" max="1335" width="14" style="58" bestFit="1" customWidth="1"/>
    <col min="1336" max="1336" width="17.140625" style="58" customWidth="1"/>
    <col min="1337" max="1358" width="16.5703125" style="58" customWidth="1"/>
    <col min="1359" max="1359" width="20.140625" style="58" customWidth="1"/>
    <col min="1360" max="1360" width="13.28515625" style="58" customWidth="1"/>
    <col min="1361" max="1361" width="14.85546875" style="58" customWidth="1"/>
    <col min="1362" max="1362" width="13.85546875" style="58" customWidth="1"/>
    <col min="1363" max="1363" width="13.5703125" style="58" customWidth="1"/>
    <col min="1364" max="1364" width="13" style="58" customWidth="1"/>
    <col min="1365" max="1365" width="13.5703125" style="58" customWidth="1"/>
    <col min="1366" max="1366" width="7.7109375" style="58" bestFit="1" customWidth="1"/>
    <col min="1367" max="1536" width="9.140625" style="58"/>
    <col min="1537" max="1537" width="4.28515625" style="58" customWidth="1"/>
    <col min="1538" max="1538" width="10.140625" style="58" customWidth="1"/>
    <col min="1539" max="1539" width="8.85546875" style="58" customWidth="1"/>
    <col min="1540" max="1540" width="11.140625" style="58" customWidth="1"/>
    <col min="1541" max="1541" width="15" style="58" bestFit="1" customWidth="1"/>
    <col min="1542" max="1542" width="13.5703125" style="58" customWidth="1"/>
    <col min="1543" max="1543" width="11.42578125" style="58" bestFit="1" customWidth="1"/>
    <col min="1544" max="1544" width="11.28515625" style="58" customWidth="1"/>
    <col min="1545" max="1545" width="15.28515625" style="58" bestFit="1" customWidth="1"/>
    <col min="1546" max="1548" width="11.85546875" style="58" customWidth="1"/>
    <col min="1549" max="1549" width="19.140625" style="58" customWidth="1"/>
    <col min="1550" max="1550" width="15" style="58" customWidth="1"/>
    <col min="1551" max="1551" width="15.28515625" style="58" customWidth="1"/>
    <col min="1552" max="1554" width="18.85546875" style="58" customWidth="1"/>
    <col min="1555" max="1555" width="12.7109375" style="58" customWidth="1"/>
    <col min="1556" max="1556" width="13.7109375" style="58" customWidth="1"/>
    <col min="1557" max="1557" width="16.140625" style="58" customWidth="1"/>
    <col min="1558" max="1558" width="17" style="58" customWidth="1"/>
    <col min="1559" max="1559" width="15" style="58" customWidth="1"/>
    <col min="1560" max="1560" width="14.28515625" style="58" customWidth="1"/>
    <col min="1561" max="1561" width="14.85546875" style="58" customWidth="1"/>
    <col min="1562" max="1562" width="17.140625" style="58" customWidth="1"/>
    <col min="1563" max="1563" width="13.5703125" style="58" customWidth="1"/>
    <col min="1564" max="1565" width="14.85546875" style="58" customWidth="1"/>
    <col min="1566" max="1566" width="18.85546875" style="58" customWidth="1"/>
    <col min="1567" max="1567" width="19.42578125" style="58" customWidth="1"/>
    <col min="1568" max="1568" width="16.140625" style="58" customWidth="1"/>
    <col min="1569" max="1569" width="14.5703125" style="58" customWidth="1"/>
    <col min="1570" max="1570" width="20.28515625" style="58" customWidth="1"/>
    <col min="1571" max="1571" width="13.85546875" style="58" customWidth="1"/>
    <col min="1572" max="1572" width="19.140625" style="58" customWidth="1"/>
    <col min="1573" max="1573" width="19.7109375" style="58" customWidth="1"/>
    <col min="1574" max="1574" width="16.5703125" style="58" customWidth="1"/>
    <col min="1575" max="1575" width="19.140625" style="58" customWidth="1"/>
    <col min="1576" max="1578" width="16.5703125" style="58" customWidth="1"/>
    <col min="1579" max="1579" width="15.7109375" style="58" customWidth="1"/>
    <col min="1580" max="1580" width="19.42578125" style="58" customWidth="1"/>
    <col min="1581" max="1581" width="14.85546875" style="58" bestFit="1" customWidth="1"/>
    <col min="1582" max="1582" width="13.7109375" style="58" bestFit="1" customWidth="1"/>
    <col min="1583" max="1583" width="13" style="58" customWidth="1"/>
    <col min="1584" max="1584" width="18.42578125" style="58" customWidth="1"/>
    <col min="1585" max="1587" width="13.140625" style="58" customWidth="1"/>
    <col min="1588" max="1588" width="16.42578125" style="58" customWidth="1"/>
    <col min="1589" max="1589" width="13.140625" style="58" customWidth="1"/>
    <col min="1590" max="1590" width="15.28515625" style="58" customWidth="1"/>
    <col min="1591" max="1591" width="14" style="58" bestFit="1" customWidth="1"/>
    <col min="1592" max="1592" width="17.140625" style="58" customWidth="1"/>
    <col min="1593" max="1614" width="16.5703125" style="58" customWidth="1"/>
    <col min="1615" max="1615" width="20.140625" style="58" customWidth="1"/>
    <col min="1616" max="1616" width="13.28515625" style="58" customWidth="1"/>
    <col min="1617" max="1617" width="14.85546875" style="58" customWidth="1"/>
    <col min="1618" max="1618" width="13.85546875" style="58" customWidth="1"/>
    <col min="1619" max="1619" width="13.5703125" style="58" customWidth="1"/>
    <col min="1620" max="1620" width="13" style="58" customWidth="1"/>
    <col min="1621" max="1621" width="13.5703125" style="58" customWidth="1"/>
    <col min="1622" max="1622" width="7.7109375" style="58" bestFit="1" customWidth="1"/>
    <col min="1623" max="1792" width="9.140625" style="58"/>
    <col min="1793" max="1793" width="4.28515625" style="58" customWidth="1"/>
    <col min="1794" max="1794" width="10.140625" style="58" customWidth="1"/>
    <col min="1795" max="1795" width="8.85546875" style="58" customWidth="1"/>
    <col min="1796" max="1796" width="11.140625" style="58" customWidth="1"/>
    <col min="1797" max="1797" width="15" style="58" bestFit="1" customWidth="1"/>
    <col min="1798" max="1798" width="13.5703125" style="58" customWidth="1"/>
    <col min="1799" max="1799" width="11.42578125" style="58" bestFit="1" customWidth="1"/>
    <col min="1800" max="1800" width="11.28515625" style="58" customWidth="1"/>
    <col min="1801" max="1801" width="15.28515625" style="58" bestFit="1" customWidth="1"/>
    <col min="1802" max="1804" width="11.85546875" style="58" customWidth="1"/>
    <col min="1805" max="1805" width="19.140625" style="58" customWidth="1"/>
    <col min="1806" max="1806" width="15" style="58" customWidth="1"/>
    <col min="1807" max="1807" width="15.28515625" style="58" customWidth="1"/>
    <col min="1808" max="1810" width="18.85546875" style="58" customWidth="1"/>
    <col min="1811" max="1811" width="12.7109375" style="58" customWidth="1"/>
    <col min="1812" max="1812" width="13.7109375" style="58" customWidth="1"/>
    <col min="1813" max="1813" width="16.140625" style="58" customWidth="1"/>
    <col min="1814" max="1814" width="17" style="58" customWidth="1"/>
    <col min="1815" max="1815" width="15" style="58" customWidth="1"/>
    <col min="1816" max="1816" width="14.28515625" style="58" customWidth="1"/>
    <col min="1817" max="1817" width="14.85546875" style="58" customWidth="1"/>
    <col min="1818" max="1818" width="17.140625" style="58" customWidth="1"/>
    <col min="1819" max="1819" width="13.5703125" style="58" customWidth="1"/>
    <col min="1820" max="1821" width="14.85546875" style="58" customWidth="1"/>
    <col min="1822" max="1822" width="18.85546875" style="58" customWidth="1"/>
    <col min="1823" max="1823" width="19.42578125" style="58" customWidth="1"/>
    <col min="1824" max="1824" width="16.140625" style="58" customWidth="1"/>
    <col min="1825" max="1825" width="14.5703125" style="58" customWidth="1"/>
    <col min="1826" max="1826" width="20.28515625" style="58" customWidth="1"/>
    <col min="1827" max="1827" width="13.85546875" style="58" customWidth="1"/>
    <col min="1828" max="1828" width="19.140625" style="58" customWidth="1"/>
    <col min="1829" max="1829" width="19.7109375" style="58" customWidth="1"/>
    <col min="1830" max="1830" width="16.5703125" style="58" customWidth="1"/>
    <col min="1831" max="1831" width="19.140625" style="58" customWidth="1"/>
    <col min="1832" max="1834" width="16.5703125" style="58" customWidth="1"/>
    <col min="1835" max="1835" width="15.7109375" style="58" customWidth="1"/>
    <col min="1836" max="1836" width="19.42578125" style="58" customWidth="1"/>
    <col min="1837" max="1837" width="14.85546875" style="58" bestFit="1" customWidth="1"/>
    <col min="1838" max="1838" width="13.7109375" style="58" bestFit="1" customWidth="1"/>
    <col min="1839" max="1839" width="13" style="58" customWidth="1"/>
    <col min="1840" max="1840" width="18.42578125" style="58" customWidth="1"/>
    <col min="1841" max="1843" width="13.140625" style="58" customWidth="1"/>
    <col min="1844" max="1844" width="16.42578125" style="58" customWidth="1"/>
    <col min="1845" max="1845" width="13.140625" style="58" customWidth="1"/>
    <col min="1846" max="1846" width="15.28515625" style="58" customWidth="1"/>
    <col min="1847" max="1847" width="14" style="58" bestFit="1" customWidth="1"/>
    <col min="1848" max="1848" width="17.140625" style="58" customWidth="1"/>
    <col min="1849" max="1870" width="16.5703125" style="58" customWidth="1"/>
    <col min="1871" max="1871" width="20.140625" style="58" customWidth="1"/>
    <col min="1872" max="1872" width="13.28515625" style="58" customWidth="1"/>
    <col min="1873" max="1873" width="14.85546875" style="58" customWidth="1"/>
    <col min="1874" max="1874" width="13.85546875" style="58" customWidth="1"/>
    <col min="1875" max="1875" width="13.5703125" style="58" customWidth="1"/>
    <col min="1876" max="1876" width="13" style="58" customWidth="1"/>
    <col min="1877" max="1877" width="13.5703125" style="58" customWidth="1"/>
    <col min="1878" max="1878" width="7.7109375" style="58" bestFit="1" customWidth="1"/>
    <col min="1879" max="2048" width="9.140625" style="58"/>
    <col min="2049" max="2049" width="4.28515625" style="58" customWidth="1"/>
    <col min="2050" max="2050" width="10.140625" style="58" customWidth="1"/>
    <col min="2051" max="2051" width="8.85546875" style="58" customWidth="1"/>
    <col min="2052" max="2052" width="11.140625" style="58" customWidth="1"/>
    <col min="2053" max="2053" width="15" style="58" bestFit="1" customWidth="1"/>
    <col min="2054" max="2054" width="13.5703125" style="58" customWidth="1"/>
    <col min="2055" max="2055" width="11.42578125" style="58" bestFit="1" customWidth="1"/>
    <col min="2056" max="2056" width="11.28515625" style="58" customWidth="1"/>
    <col min="2057" max="2057" width="15.28515625" style="58" bestFit="1" customWidth="1"/>
    <col min="2058" max="2060" width="11.85546875" style="58" customWidth="1"/>
    <col min="2061" max="2061" width="19.140625" style="58" customWidth="1"/>
    <col min="2062" max="2062" width="15" style="58" customWidth="1"/>
    <col min="2063" max="2063" width="15.28515625" style="58" customWidth="1"/>
    <col min="2064" max="2066" width="18.85546875" style="58" customWidth="1"/>
    <col min="2067" max="2067" width="12.7109375" style="58" customWidth="1"/>
    <col min="2068" max="2068" width="13.7109375" style="58" customWidth="1"/>
    <col min="2069" max="2069" width="16.140625" style="58" customWidth="1"/>
    <col min="2070" max="2070" width="17" style="58" customWidth="1"/>
    <col min="2071" max="2071" width="15" style="58" customWidth="1"/>
    <col min="2072" max="2072" width="14.28515625" style="58" customWidth="1"/>
    <col min="2073" max="2073" width="14.85546875" style="58" customWidth="1"/>
    <col min="2074" max="2074" width="17.140625" style="58" customWidth="1"/>
    <col min="2075" max="2075" width="13.5703125" style="58" customWidth="1"/>
    <col min="2076" max="2077" width="14.85546875" style="58" customWidth="1"/>
    <col min="2078" max="2078" width="18.85546875" style="58" customWidth="1"/>
    <col min="2079" max="2079" width="19.42578125" style="58" customWidth="1"/>
    <col min="2080" max="2080" width="16.140625" style="58" customWidth="1"/>
    <col min="2081" max="2081" width="14.5703125" style="58" customWidth="1"/>
    <col min="2082" max="2082" width="20.28515625" style="58" customWidth="1"/>
    <col min="2083" max="2083" width="13.85546875" style="58" customWidth="1"/>
    <col min="2084" max="2084" width="19.140625" style="58" customWidth="1"/>
    <col min="2085" max="2085" width="19.7109375" style="58" customWidth="1"/>
    <col min="2086" max="2086" width="16.5703125" style="58" customWidth="1"/>
    <col min="2087" max="2087" width="19.140625" style="58" customWidth="1"/>
    <col min="2088" max="2090" width="16.5703125" style="58" customWidth="1"/>
    <col min="2091" max="2091" width="15.7109375" style="58" customWidth="1"/>
    <col min="2092" max="2092" width="19.42578125" style="58" customWidth="1"/>
    <col min="2093" max="2093" width="14.85546875" style="58" bestFit="1" customWidth="1"/>
    <col min="2094" max="2094" width="13.7109375" style="58" bestFit="1" customWidth="1"/>
    <col min="2095" max="2095" width="13" style="58" customWidth="1"/>
    <col min="2096" max="2096" width="18.42578125" style="58" customWidth="1"/>
    <col min="2097" max="2099" width="13.140625" style="58" customWidth="1"/>
    <col min="2100" max="2100" width="16.42578125" style="58" customWidth="1"/>
    <col min="2101" max="2101" width="13.140625" style="58" customWidth="1"/>
    <col min="2102" max="2102" width="15.28515625" style="58" customWidth="1"/>
    <col min="2103" max="2103" width="14" style="58" bestFit="1" customWidth="1"/>
    <col min="2104" max="2104" width="17.140625" style="58" customWidth="1"/>
    <col min="2105" max="2126" width="16.5703125" style="58" customWidth="1"/>
    <col min="2127" max="2127" width="20.140625" style="58" customWidth="1"/>
    <col min="2128" max="2128" width="13.28515625" style="58" customWidth="1"/>
    <col min="2129" max="2129" width="14.85546875" style="58" customWidth="1"/>
    <col min="2130" max="2130" width="13.85546875" style="58" customWidth="1"/>
    <col min="2131" max="2131" width="13.5703125" style="58" customWidth="1"/>
    <col min="2132" max="2132" width="13" style="58" customWidth="1"/>
    <col min="2133" max="2133" width="13.5703125" style="58" customWidth="1"/>
    <col min="2134" max="2134" width="7.7109375" style="58" bestFit="1" customWidth="1"/>
    <col min="2135" max="2304" width="9.140625" style="58"/>
    <col min="2305" max="2305" width="4.28515625" style="58" customWidth="1"/>
    <col min="2306" max="2306" width="10.140625" style="58" customWidth="1"/>
    <col min="2307" max="2307" width="8.85546875" style="58" customWidth="1"/>
    <col min="2308" max="2308" width="11.140625" style="58" customWidth="1"/>
    <col min="2309" max="2309" width="15" style="58" bestFit="1" customWidth="1"/>
    <col min="2310" max="2310" width="13.5703125" style="58" customWidth="1"/>
    <col min="2311" max="2311" width="11.42578125" style="58" bestFit="1" customWidth="1"/>
    <col min="2312" max="2312" width="11.28515625" style="58" customWidth="1"/>
    <col min="2313" max="2313" width="15.28515625" style="58" bestFit="1" customWidth="1"/>
    <col min="2314" max="2316" width="11.85546875" style="58" customWidth="1"/>
    <col min="2317" max="2317" width="19.140625" style="58" customWidth="1"/>
    <col min="2318" max="2318" width="15" style="58" customWidth="1"/>
    <col min="2319" max="2319" width="15.28515625" style="58" customWidth="1"/>
    <col min="2320" max="2322" width="18.85546875" style="58" customWidth="1"/>
    <col min="2323" max="2323" width="12.7109375" style="58" customWidth="1"/>
    <col min="2324" max="2324" width="13.7109375" style="58" customWidth="1"/>
    <col min="2325" max="2325" width="16.140625" style="58" customWidth="1"/>
    <col min="2326" max="2326" width="17" style="58" customWidth="1"/>
    <col min="2327" max="2327" width="15" style="58" customWidth="1"/>
    <col min="2328" max="2328" width="14.28515625" style="58" customWidth="1"/>
    <col min="2329" max="2329" width="14.85546875" style="58" customWidth="1"/>
    <col min="2330" max="2330" width="17.140625" style="58" customWidth="1"/>
    <col min="2331" max="2331" width="13.5703125" style="58" customWidth="1"/>
    <col min="2332" max="2333" width="14.85546875" style="58" customWidth="1"/>
    <col min="2334" max="2334" width="18.85546875" style="58" customWidth="1"/>
    <col min="2335" max="2335" width="19.42578125" style="58" customWidth="1"/>
    <col min="2336" max="2336" width="16.140625" style="58" customWidth="1"/>
    <col min="2337" max="2337" width="14.5703125" style="58" customWidth="1"/>
    <col min="2338" max="2338" width="20.28515625" style="58" customWidth="1"/>
    <col min="2339" max="2339" width="13.85546875" style="58" customWidth="1"/>
    <col min="2340" max="2340" width="19.140625" style="58" customWidth="1"/>
    <col min="2341" max="2341" width="19.7109375" style="58" customWidth="1"/>
    <col min="2342" max="2342" width="16.5703125" style="58" customWidth="1"/>
    <col min="2343" max="2343" width="19.140625" style="58" customWidth="1"/>
    <col min="2344" max="2346" width="16.5703125" style="58" customWidth="1"/>
    <col min="2347" max="2347" width="15.7109375" style="58" customWidth="1"/>
    <col min="2348" max="2348" width="19.42578125" style="58" customWidth="1"/>
    <col min="2349" max="2349" width="14.85546875" style="58" bestFit="1" customWidth="1"/>
    <col min="2350" max="2350" width="13.7109375" style="58" bestFit="1" customWidth="1"/>
    <col min="2351" max="2351" width="13" style="58" customWidth="1"/>
    <col min="2352" max="2352" width="18.42578125" style="58" customWidth="1"/>
    <col min="2353" max="2355" width="13.140625" style="58" customWidth="1"/>
    <col min="2356" max="2356" width="16.42578125" style="58" customWidth="1"/>
    <col min="2357" max="2357" width="13.140625" style="58" customWidth="1"/>
    <col min="2358" max="2358" width="15.28515625" style="58" customWidth="1"/>
    <col min="2359" max="2359" width="14" style="58" bestFit="1" customWidth="1"/>
    <col min="2360" max="2360" width="17.140625" style="58" customWidth="1"/>
    <col min="2361" max="2382" width="16.5703125" style="58" customWidth="1"/>
    <col min="2383" max="2383" width="20.140625" style="58" customWidth="1"/>
    <col min="2384" max="2384" width="13.28515625" style="58" customWidth="1"/>
    <col min="2385" max="2385" width="14.85546875" style="58" customWidth="1"/>
    <col min="2386" max="2386" width="13.85546875" style="58" customWidth="1"/>
    <col min="2387" max="2387" width="13.5703125" style="58" customWidth="1"/>
    <col min="2388" max="2388" width="13" style="58" customWidth="1"/>
    <col min="2389" max="2389" width="13.5703125" style="58" customWidth="1"/>
    <col min="2390" max="2390" width="7.7109375" style="58" bestFit="1" customWidth="1"/>
    <col min="2391" max="2560" width="9.140625" style="58"/>
    <col min="2561" max="2561" width="4.28515625" style="58" customWidth="1"/>
    <col min="2562" max="2562" width="10.140625" style="58" customWidth="1"/>
    <col min="2563" max="2563" width="8.85546875" style="58" customWidth="1"/>
    <col min="2564" max="2564" width="11.140625" style="58" customWidth="1"/>
    <col min="2565" max="2565" width="15" style="58" bestFit="1" customWidth="1"/>
    <col min="2566" max="2566" width="13.5703125" style="58" customWidth="1"/>
    <col min="2567" max="2567" width="11.42578125" style="58" bestFit="1" customWidth="1"/>
    <col min="2568" max="2568" width="11.28515625" style="58" customWidth="1"/>
    <col min="2569" max="2569" width="15.28515625" style="58" bestFit="1" customWidth="1"/>
    <col min="2570" max="2572" width="11.85546875" style="58" customWidth="1"/>
    <col min="2573" max="2573" width="19.140625" style="58" customWidth="1"/>
    <col min="2574" max="2574" width="15" style="58" customWidth="1"/>
    <col min="2575" max="2575" width="15.28515625" style="58" customWidth="1"/>
    <col min="2576" max="2578" width="18.85546875" style="58" customWidth="1"/>
    <col min="2579" max="2579" width="12.7109375" style="58" customWidth="1"/>
    <col min="2580" max="2580" width="13.7109375" style="58" customWidth="1"/>
    <col min="2581" max="2581" width="16.140625" style="58" customWidth="1"/>
    <col min="2582" max="2582" width="17" style="58" customWidth="1"/>
    <col min="2583" max="2583" width="15" style="58" customWidth="1"/>
    <col min="2584" max="2584" width="14.28515625" style="58" customWidth="1"/>
    <col min="2585" max="2585" width="14.85546875" style="58" customWidth="1"/>
    <col min="2586" max="2586" width="17.140625" style="58" customWidth="1"/>
    <col min="2587" max="2587" width="13.5703125" style="58" customWidth="1"/>
    <col min="2588" max="2589" width="14.85546875" style="58" customWidth="1"/>
    <col min="2590" max="2590" width="18.85546875" style="58" customWidth="1"/>
    <col min="2591" max="2591" width="19.42578125" style="58" customWidth="1"/>
    <col min="2592" max="2592" width="16.140625" style="58" customWidth="1"/>
    <col min="2593" max="2593" width="14.5703125" style="58" customWidth="1"/>
    <col min="2594" max="2594" width="20.28515625" style="58" customWidth="1"/>
    <col min="2595" max="2595" width="13.85546875" style="58" customWidth="1"/>
    <col min="2596" max="2596" width="19.140625" style="58" customWidth="1"/>
    <col min="2597" max="2597" width="19.7109375" style="58" customWidth="1"/>
    <col min="2598" max="2598" width="16.5703125" style="58" customWidth="1"/>
    <col min="2599" max="2599" width="19.140625" style="58" customWidth="1"/>
    <col min="2600" max="2602" width="16.5703125" style="58" customWidth="1"/>
    <col min="2603" max="2603" width="15.7109375" style="58" customWidth="1"/>
    <col min="2604" max="2604" width="19.42578125" style="58" customWidth="1"/>
    <col min="2605" max="2605" width="14.85546875" style="58" bestFit="1" customWidth="1"/>
    <col min="2606" max="2606" width="13.7109375" style="58" bestFit="1" customWidth="1"/>
    <col min="2607" max="2607" width="13" style="58" customWidth="1"/>
    <col min="2608" max="2608" width="18.42578125" style="58" customWidth="1"/>
    <col min="2609" max="2611" width="13.140625" style="58" customWidth="1"/>
    <col min="2612" max="2612" width="16.42578125" style="58" customWidth="1"/>
    <col min="2613" max="2613" width="13.140625" style="58" customWidth="1"/>
    <col min="2614" max="2614" width="15.28515625" style="58" customWidth="1"/>
    <col min="2615" max="2615" width="14" style="58" bestFit="1" customWidth="1"/>
    <col min="2616" max="2616" width="17.140625" style="58" customWidth="1"/>
    <col min="2617" max="2638" width="16.5703125" style="58" customWidth="1"/>
    <col min="2639" max="2639" width="20.140625" style="58" customWidth="1"/>
    <col min="2640" max="2640" width="13.28515625" style="58" customWidth="1"/>
    <col min="2641" max="2641" width="14.85546875" style="58" customWidth="1"/>
    <col min="2642" max="2642" width="13.85546875" style="58" customWidth="1"/>
    <col min="2643" max="2643" width="13.5703125" style="58" customWidth="1"/>
    <col min="2644" max="2644" width="13" style="58" customWidth="1"/>
    <col min="2645" max="2645" width="13.5703125" style="58" customWidth="1"/>
    <col min="2646" max="2646" width="7.7109375" style="58" bestFit="1" customWidth="1"/>
    <col min="2647" max="2816" width="9.140625" style="58"/>
    <col min="2817" max="2817" width="4.28515625" style="58" customWidth="1"/>
    <col min="2818" max="2818" width="10.140625" style="58" customWidth="1"/>
    <col min="2819" max="2819" width="8.85546875" style="58" customWidth="1"/>
    <col min="2820" max="2820" width="11.140625" style="58" customWidth="1"/>
    <col min="2821" max="2821" width="15" style="58" bestFit="1" customWidth="1"/>
    <col min="2822" max="2822" width="13.5703125" style="58" customWidth="1"/>
    <col min="2823" max="2823" width="11.42578125" style="58" bestFit="1" customWidth="1"/>
    <col min="2824" max="2824" width="11.28515625" style="58" customWidth="1"/>
    <col min="2825" max="2825" width="15.28515625" style="58" bestFit="1" customWidth="1"/>
    <col min="2826" max="2828" width="11.85546875" style="58" customWidth="1"/>
    <col min="2829" max="2829" width="19.140625" style="58" customWidth="1"/>
    <col min="2830" max="2830" width="15" style="58" customWidth="1"/>
    <col min="2831" max="2831" width="15.28515625" style="58" customWidth="1"/>
    <col min="2832" max="2834" width="18.85546875" style="58" customWidth="1"/>
    <col min="2835" max="2835" width="12.7109375" style="58" customWidth="1"/>
    <col min="2836" max="2836" width="13.7109375" style="58" customWidth="1"/>
    <col min="2837" max="2837" width="16.140625" style="58" customWidth="1"/>
    <col min="2838" max="2838" width="17" style="58" customWidth="1"/>
    <col min="2839" max="2839" width="15" style="58" customWidth="1"/>
    <col min="2840" max="2840" width="14.28515625" style="58" customWidth="1"/>
    <col min="2841" max="2841" width="14.85546875" style="58" customWidth="1"/>
    <col min="2842" max="2842" width="17.140625" style="58" customWidth="1"/>
    <col min="2843" max="2843" width="13.5703125" style="58" customWidth="1"/>
    <col min="2844" max="2845" width="14.85546875" style="58" customWidth="1"/>
    <col min="2846" max="2846" width="18.85546875" style="58" customWidth="1"/>
    <col min="2847" max="2847" width="19.42578125" style="58" customWidth="1"/>
    <col min="2848" max="2848" width="16.140625" style="58" customWidth="1"/>
    <col min="2849" max="2849" width="14.5703125" style="58" customWidth="1"/>
    <col min="2850" max="2850" width="20.28515625" style="58" customWidth="1"/>
    <col min="2851" max="2851" width="13.85546875" style="58" customWidth="1"/>
    <col min="2852" max="2852" width="19.140625" style="58" customWidth="1"/>
    <col min="2853" max="2853" width="19.7109375" style="58" customWidth="1"/>
    <col min="2854" max="2854" width="16.5703125" style="58" customWidth="1"/>
    <col min="2855" max="2855" width="19.140625" style="58" customWidth="1"/>
    <col min="2856" max="2858" width="16.5703125" style="58" customWidth="1"/>
    <col min="2859" max="2859" width="15.7109375" style="58" customWidth="1"/>
    <col min="2860" max="2860" width="19.42578125" style="58" customWidth="1"/>
    <col min="2861" max="2861" width="14.85546875" style="58" bestFit="1" customWidth="1"/>
    <col min="2862" max="2862" width="13.7109375" style="58" bestFit="1" customWidth="1"/>
    <col min="2863" max="2863" width="13" style="58" customWidth="1"/>
    <col min="2864" max="2864" width="18.42578125" style="58" customWidth="1"/>
    <col min="2865" max="2867" width="13.140625" style="58" customWidth="1"/>
    <col min="2868" max="2868" width="16.42578125" style="58" customWidth="1"/>
    <col min="2869" max="2869" width="13.140625" style="58" customWidth="1"/>
    <col min="2870" max="2870" width="15.28515625" style="58" customWidth="1"/>
    <col min="2871" max="2871" width="14" style="58" bestFit="1" customWidth="1"/>
    <col min="2872" max="2872" width="17.140625" style="58" customWidth="1"/>
    <col min="2873" max="2894" width="16.5703125" style="58" customWidth="1"/>
    <col min="2895" max="2895" width="20.140625" style="58" customWidth="1"/>
    <col min="2896" max="2896" width="13.28515625" style="58" customWidth="1"/>
    <col min="2897" max="2897" width="14.85546875" style="58" customWidth="1"/>
    <col min="2898" max="2898" width="13.85546875" style="58" customWidth="1"/>
    <col min="2899" max="2899" width="13.5703125" style="58" customWidth="1"/>
    <col min="2900" max="2900" width="13" style="58" customWidth="1"/>
    <col min="2901" max="2901" width="13.5703125" style="58" customWidth="1"/>
    <col min="2902" max="2902" width="7.7109375" style="58" bestFit="1" customWidth="1"/>
    <col min="2903" max="3072" width="9.140625" style="58"/>
    <col min="3073" max="3073" width="4.28515625" style="58" customWidth="1"/>
    <col min="3074" max="3074" width="10.140625" style="58" customWidth="1"/>
    <col min="3075" max="3075" width="8.85546875" style="58" customWidth="1"/>
    <col min="3076" max="3076" width="11.140625" style="58" customWidth="1"/>
    <col min="3077" max="3077" width="15" style="58" bestFit="1" customWidth="1"/>
    <col min="3078" max="3078" width="13.5703125" style="58" customWidth="1"/>
    <col min="3079" max="3079" width="11.42578125" style="58" bestFit="1" customWidth="1"/>
    <col min="3080" max="3080" width="11.28515625" style="58" customWidth="1"/>
    <col min="3081" max="3081" width="15.28515625" style="58" bestFit="1" customWidth="1"/>
    <col min="3082" max="3084" width="11.85546875" style="58" customWidth="1"/>
    <col min="3085" max="3085" width="19.140625" style="58" customWidth="1"/>
    <col min="3086" max="3086" width="15" style="58" customWidth="1"/>
    <col min="3087" max="3087" width="15.28515625" style="58" customWidth="1"/>
    <col min="3088" max="3090" width="18.85546875" style="58" customWidth="1"/>
    <col min="3091" max="3091" width="12.7109375" style="58" customWidth="1"/>
    <col min="3092" max="3092" width="13.7109375" style="58" customWidth="1"/>
    <col min="3093" max="3093" width="16.140625" style="58" customWidth="1"/>
    <col min="3094" max="3094" width="17" style="58" customWidth="1"/>
    <col min="3095" max="3095" width="15" style="58" customWidth="1"/>
    <col min="3096" max="3096" width="14.28515625" style="58" customWidth="1"/>
    <col min="3097" max="3097" width="14.85546875" style="58" customWidth="1"/>
    <col min="3098" max="3098" width="17.140625" style="58" customWidth="1"/>
    <col min="3099" max="3099" width="13.5703125" style="58" customWidth="1"/>
    <col min="3100" max="3101" width="14.85546875" style="58" customWidth="1"/>
    <col min="3102" max="3102" width="18.85546875" style="58" customWidth="1"/>
    <col min="3103" max="3103" width="19.42578125" style="58" customWidth="1"/>
    <col min="3104" max="3104" width="16.140625" style="58" customWidth="1"/>
    <col min="3105" max="3105" width="14.5703125" style="58" customWidth="1"/>
    <col min="3106" max="3106" width="20.28515625" style="58" customWidth="1"/>
    <col min="3107" max="3107" width="13.85546875" style="58" customWidth="1"/>
    <col min="3108" max="3108" width="19.140625" style="58" customWidth="1"/>
    <col min="3109" max="3109" width="19.7109375" style="58" customWidth="1"/>
    <col min="3110" max="3110" width="16.5703125" style="58" customWidth="1"/>
    <col min="3111" max="3111" width="19.140625" style="58" customWidth="1"/>
    <col min="3112" max="3114" width="16.5703125" style="58" customWidth="1"/>
    <col min="3115" max="3115" width="15.7109375" style="58" customWidth="1"/>
    <col min="3116" max="3116" width="19.42578125" style="58" customWidth="1"/>
    <col min="3117" max="3117" width="14.85546875" style="58" bestFit="1" customWidth="1"/>
    <col min="3118" max="3118" width="13.7109375" style="58" bestFit="1" customWidth="1"/>
    <col min="3119" max="3119" width="13" style="58" customWidth="1"/>
    <col min="3120" max="3120" width="18.42578125" style="58" customWidth="1"/>
    <col min="3121" max="3123" width="13.140625" style="58" customWidth="1"/>
    <col min="3124" max="3124" width="16.42578125" style="58" customWidth="1"/>
    <col min="3125" max="3125" width="13.140625" style="58" customWidth="1"/>
    <col min="3126" max="3126" width="15.28515625" style="58" customWidth="1"/>
    <col min="3127" max="3127" width="14" style="58" bestFit="1" customWidth="1"/>
    <col min="3128" max="3128" width="17.140625" style="58" customWidth="1"/>
    <col min="3129" max="3150" width="16.5703125" style="58" customWidth="1"/>
    <col min="3151" max="3151" width="20.140625" style="58" customWidth="1"/>
    <col min="3152" max="3152" width="13.28515625" style="58" customWidth="1"/>
    <col min="3153" max="3153" width="14.85546875" style="58" customWidth="1"/>
    <col min="3154" max="3154" width="13.85546875" style="58" customWidth="1"/>
    <col min="3155" max="3155" width="13.5703125" style="58" customWidth="1"/>
    <col min="3156" max="3156" width="13" style="58" customWidth="1"/>
    <col min="3157" max="3157" width="13.5703125" style="58" customWidth="1"/>
    <col min="3158" max="3158" width="7.7109375" style="58" bestFit="1" customWidth="1"/>
    <col min="3159" max="3328" width="9.140625" style="58"/>
    <col min="3329" max="3329" width="4.28515625" style="58" customWidth="1"/>
    <col min="3330" max="3330" width="10.140625" style="58" customWidth="1"/>
    <col min="3331" max="3331" width="8.85546875" style="58" customWidth="1"/>
    <col min="3332" max="3332" width="11.140625" style="58" customWidth="1"/>
    <col min="3333" max="3333" width="15" style="58" bestFit="1" customWidth="1"/>
    <col min="3334" max="3334" width="13.5703125" style="58" customWidth="1"/>
    <col min="3335" max="3335" width="11.42578125" style="58" bestFit="1" customWidth="1"/>
    <col min="3336" max="3336" width="11.28515625" style="58" customWidth="1"/>
    <col min="3337" max="3337" width="15.28515625" style="58" bestFit="1" customWidth="1"/>
    <col min="3338" max="3340" width="11.85546875" style="58" customWidth="1"/>
    <col min="3341" max="3341" width="19.140625" style="58" customWidth="1"/>
    <col min="3342" max="3342" width="15" style="58" customWidth="1"/>
    <col min="3343" max="3343" width="15.28515625" style="58" customWidth="1"/>
    <col min="3344" max="3346" width="18.85546875" style="58" customWidth="1"/>
    <col min="3347" max="3347" width="12.7109375" style="58" customWidth="1"/>
    <col min="3348" max="3348" width="13.7109375" style="58" customWidth="1"/>
    <col min="3349" max="3349" width="16.140625" style="58" customWidth="1"/>
    <col min="3350" max="3350" width="17" style="58" customWidth="1"/>
    <col min="3351" max="3351" width="15" style="58" customWidth="1"/>
    <col min="3352" max="3352" width="14.28515625" style="58" customWidth="1"/>
    <col min="3353" max="3353" width="14.85546875" style="58" customWidth="1"/>
    <col min="3354" max="3354" width="17.140625" style="58" customWidth="1"/>
    <col min="3355" max="3355" width="13.5703125" style="58" customWidth="1"/>
    <col min="3356" max="3357" width="14.85546875" style="58" customWidth="1"/>
    <col min="3358" max="3358" width="18.85546875" style="58" customWidth="1"/>
    <col min="3359" max="3359" width="19.42578125" style="58" customWidth="1"/>
    <col min="3360" max="3360" width="16.140625" style="58" customWidth="1"/>
    <col min="3361" max="3361" width="14.5703125" style="58" customWidth="1"/>
    <col min="3362" max="3362" width="20.28515625" style="58" customWidth="1"/>
    <col min="3363" max="3363" width="13.85546875" style="58" customWidth="1"/>
    <col min="3364" max="3364" width="19.140625" style="58" customWidth="1"/>
    <col min="3365" max="3365" width="19.7109375" style="58" customWidth="1"/>
    <col min="3366" max="3366" width="16.5703125" style="58" customWidth="1"/>
    <col min="3367" max="3367" width="19.140625" style="58" customWidth="1"/>
    <col min="3368" max="3370" width="16.5703125" style="58" customWidth="1"/>
    <col min="3371" max="3371" width="15.7109375" style="58" customWidth="1"/>
    <col min="3372" max="3372" width="19.42578125" style="58" customWidth="1"/>
    <col min="3373" max="3373" width="14.85546875" style="58" bestFit="1" customWidth="1"/>
    <col min="3374" max="3374" width="13.7109375" style="58" bestFit="1" customWidth="1"/>
    <col min="3375" max="3375" width="13" style="58" customWidth="1"/>
    <col min="3376" max="3376" width="18.42578125" style="58" customWidth="1"/>
    <col min="3377" max="3379" width="13.140625" style="58" customWidth="1"/>
    <col min="3380" max="3380" width="16.42578125" style="58" customWidth="1"/>
    <col min="3381" max="3381" width="13.140625" style="58" customWidth="1"/>
    <col min="3382" max="3382" width="15.28515625" style="58" customWidth="1"/>
    <col min="3383" max="3383" width="14" style="58" bestFit="1" customWidth="1"/>
    <col min="3384" max="3384" width="17.140625" style="58" customWidth="1"/>
    <col min="3385" max="3406" width="16.5703125" style="58" customWidth="1"/>
    <col min="3407" max="3407" width="20.140625" style="58" customWidth="1"/>
    <col min="3408" max="3408" width="13.28515625" style="58" customWidth="1"/>
    <col min="3409" max="3409" width="14.85546875" style="58" customWidth="1"/>
    <col min="3410" max="3410" width="13.85546875" style="58" customWidth="1"/>
    <col min="3411" max="3411" width="13.5703125" style="58" customWidth="1"/>
    <col min="3412" max="3412" width="13" style="58" customWidth="1"/>
    <col min="3413" max="3413" width="13.5703125" style="58" customWidth="1"/>
    <col min="3414" max="3414" width="7.7109375" style="58" bestFit="1" customWidth="1"/>
    <col min="3415" max="3584" width="9.140625" style="58"/>
    <col min="3585" max="3585" width="4.28515625" style="58" customWidth="1"/>
    <col min="3586" max="3586" width="10.140625" style="58" customWidth="1"/>
    <col min="3587" max="3587" width="8.85546875" style="58" customWidth="1"/>
    <col min="3588" max="3588" width="11.140625" style="58" customWidth="1"/>
    <col min="3589" max="3589" width="15" style="58" bestFit="1" customWidth="1"/>
    <col min="3590" max="3590" width="13.5703125" style="58" customWidth="1"/>
    <col min="3591" max="3591" width="11.42578125" style="58" bestFit="1" customWidth="1"/>
    <col min="3592" max="3592" width="11.28515625" style="58" customWidth="1"/>
    <col min="3593" max="3593" width="15.28515625" style="58" bestFit="1" customWidth="1"/>
    <col min="3594" max="3596" width="11.85546875" style="58" customWidth="1"/>
    <col min="3597" max="3597" width="19.140625" style="58" customWidth="1"/>
    <col min="3598" max="3598" width="15" style="58" customWidth="1"/>
    <col min="3599" max="3599" width="15.28515625" style="58" customWidth="1"/>
    <col min="3600" max="3602" width="18.85546875" style="58" customWidth="1"/>
    <col min="3603" max="3603" width="12.7109375" style="58" customWidth="1"/>
    <col min="3604" max="3604" width="13.7109375" style="58" customWidth="1"/>
    <col min="3605" max="3605" width="16.140625" style="58" customWidth="1"/>
    <col min="3606" max="3606" width="17" style="58" customWidth="1"/>
    <col min="3607" max="3607" width="15" style="58" customWidth="1"/>
    <col min="3608" max="3608" width="14.28515625" style="58" customWidth="1"/>
    <col min="3609" max="3609" width="14.85546875" style="58" customWidth="1"/>
    <col min="3610" max="3610" width="17.140625" style="58" customWidth="1"/>
    <col min="3611" max="3611" width="13.5703125" style="58" customWidth="1"/>
    <col min="3612" max="3613" width="14.85546875" style="58" customWidth="1"/>
    <col min="3614" max="3614" width="18.85546875" style="58" customWidth="1"/>
    <col min="3615" max="3615" width="19.42578125" style="58" customWidth="1"/>
    <col min="3616" max="3616" width="16.140625" style="58" customWidth="1"/>
    <col min="3617" max="3617" width="14.5703125" style="58" customWidth="1"/>
    <col min="3618" max="3618" width="20.28515625" style="58" customWidth="1"/>
    <col min="3619" max="3619" width="13.85546875" style="58" customWidth="1"/>
    <col min="3620" max="3620" width="19.140625" style="58" customWidth="1"/>
    <col min="3621" max="3621" width="19.7109375" style="58" customWidth="1"/>
    <col min="3622" max="3622" width="16.5703125" style="58" customWidth="1"/>
    <col min="3623" max="3623" width="19.140625" style="58" customWidth="1"/>
    <col min="3624" max="3626" width="16.5703125" style="58" customWidth="1"/>
    <col min="3627" max="3627" width="15.7109375" style="58" customWidth="1"/>
    <col min="3628" max="3628" width="19.42578125" style="58" customWidth="1"/>
    <col min="3629" max="3629" width="14.85546875" style="58" bestFit="1" customWidth="1"/>
    <col min="3630" max="3630" width="13.7109375" style="58" bestFit="1" customWidth="1"/>
    <col min="3631" max="3631" width="13" style="58" customWidth="1"/>
    <col min="3632" max="3632" width="18.42578125" style="58" customWidth="1"/>
    <col min="3633" max="3635" width="13.140625" style="58" customWidth="1"/>
    <col min="3636" max="3636" width="16.42578125" style="58" customWidth="1"/>
    <col min="3637" max="3637" width="13.140625" style="58" customWidth="1"/>
    <col min="3638" max="3638" width="15.28515625" style="58" customWidth="1"/>
    <col min="3639" max="3639" width="14" style="58" bestFit="1" customWidth="1"/>
    <col min="3640" max="3640" width="17.140625" style="58" customWidth="1"/>
    <col min="3641" max="3662" width="16.5703125" style="58" customWidth="1"/>
    <col min="3663" max="3663" width="20.140625" style="58" customWidth="1"/>
    <col min="3664" max="3664" width="13.28515625" style="58" customWidth="1"/>
    <col min="3665" max="3665" width="14.85546875" style="58" customWidth="1"/>
    <col min="3666" max="3666" width="13.85546875" style="58" customWidth="1"/>
    <col min="3667" max="3667" width="13.5703125" style="58" customWidth="1"/>
    <col min="3668" max="3668" width="13" style="58" customWidth="1"/>
    <col min="3669" max="3669" width="13.5703125" style="58" customWidth="1"/>
    <col min="3670" max="3670" width="7.7109375" style="58" bestFit="1" customWidth="1"/>
    <col min="3671" max="3840" width="9.140625" style="58"/>
    <col min="3841" max="3841" width="4.28515625" style="58" customWidth="1"/>
    <col min="3842" max="3842" width="10.140625" style="58" customWidth="1"/>
    <col min="3843" max="3843" width="8.85546875" style="58" customWidth="1"/>
    <col min="3844" max="3844" width="11.140625" style="58" customWidth="1"/>
    <col min="3845" max="3845" width="15" style="58" bestFit="1" customWidth="1"/>
    <col min="3846" max="3846" width="13.5703125" style="58" customWidth="1"/>
    <col min="3847" max="3847" width="11.42578125" style="58" bestFit="1" customWidth="1"/>
    <col min="3848" max="3848" width="11.28515625" style="58" customWidth="1"/>
    <col min="3849" max="3849" width="15.28515625" style="58" bestFit="1" customWidth="1"/>
    <col min="3850" max="3852" width="11.85546875" style="58" customWidth="1"/>
    <col min="3853" max="3853" width="19.140625" style="58" customWidth="1"/>
    <col min="3854" max="3854" width="15" style="58" customWidth="1"/>
    <col min="3855" max="3855" width="15.28515625" style="58" customWidth="1"/>
    <col min="3856" max="3858" width="18.85546875" style="58" customWidth="1"/>
    <col min="3859" max="3859" width="12.7109375" style="58" customWidth="1"/>
    <col min="3860" max="3860" width="13.7109375" style="58" customWidth="1"/>
    <col min="3861" max="3861" width="16.140625" style="58" customWidth="1"/>
    <col min="3862" max="3862" width="17" style="58" customWidth="1"/>
    <col min="3863" max="3863" width="15" style="58" customWidth="1"/>
    <col min="3864" max="3864" width="14.28515625" style="58" customWidth="1"/>
    <col min="3865" max="3865" width="14.85546875" style="58" customWidth="1"/>
    <col min="3866" max="3866" width="17.140625" style="58" customWidth="1"/>
    <col min="3867" max="3867" width="13.5703125" style="58" customWidth="1"/>
    <col min="3868" max="3869" width="14.85546875" style="58" customWidth="1"/>
    <col min="3870" max="3870" width="18.85546875" style="58" customWidth="1"/>
    <col min="3871" max="3871" width="19.42578125" style="58" customWidth="1"/>
    <col min="3872" max="3872" width="16.140625" style="58" customWidth="1"/>
    <col min="3873" max="3873" width="14.5703125" style="58" customWidth="1"/>
    <col min="3874" max="3874" width="20.28515625" style="58" customWidth="1"/>
    <col min="3875" max="3875" width="13.85546875" style="58" customWidth="1"/>
    <col min="3876" max="3876" width="19.140625" style="58" customWidth="1"/>
    <col min="3877" max="3877" width="19.7109375" style="58" customWidth="1"/>
    <col min="3878" max="3878" width="16.5703125" style="58" customWidth="1"/>
    <col min="3879" max="3879" width="19.140625" style="58" customWidth="1"/>
    <col min="3880" max="3882" width="16.5703125" style="58" customWidth="1"/>
    <col min="3883" max="3883" width="15.7109375" style="58" customWidth="1"/>
    <col min="3884" max="3884" width="19.42578125" style="58" customWidth="1"/>
    <col min="3885" max="3885" width="14.85546875" style="58" bestFit="1" customWidth="1"/>
    <col min="3886" max="3886" width="13.7109375" style="58" bestFit="1" customWidth="1"/>
    <col min="3887" max="3887" width="13" style="58" customWidth="1"/>
    <col min="3888" max="3888" width="18.42578125" style="58" customWidth="1"/>
    <col min="3889" max="3891" width="13.140625" style="58" customWidth="1"/>
    <col min="3892" max="3892" width="16.42578125" style="58" customWidth="1"/>
    <col min="3893" max="3893" width="13.140625" style="58" customWidth="1"/>
    <col min="3894" max="3894" width="15.28515625" style="58" customWidth="1"/>
    <col min="3895" max="3895" width="14" style="58" bestFit="1" customWidth="1"/>
    <col min="3896" max="3896" width="17.140625" style="58" customWidth="1"/>
    <col min="3897" max="3918" width="16.5703125" style="58" customWidth="1"/>
    <col min="3919" max="3919" width="20.140625" style="58" customWidth="1"/>
    <col min="3920" max="3920" width="13.28515625" style="58" customWidth="1"/>
    <col min="3921" max="3921" width="14.85546875" style="58" customWidth="1"/>
    <col min="3922" max="3922" width="13.85546875" style="58" customWidth="1"/>
    <col min="3923" max="3923" width="13.5703125" style="58" customWidth="1"/>
    <col min="3924" max="3924" width="13" style="58" customWidth="1"/>
    <col min="3925" max="3925" width="13.5703125" style="58" customWidth="1"/>
    <col min="3926" max="3926" width="7.7109375" style="58" bestFit="1" customWidth="1"/>
    <col min="3927" max="4096" width="9.140625" style="58"/>
    <col min="4097" max="4097" width="4.28515625" style="58" customWidth="1"/>
    <col min="4098" max="4098" width="10.140625" style="58" customWidth="1"/>
    <col min="4099" max="4099" width="8.85546875" style="58" customWidth="1"/>
    <col min="4100" max="4100" width="11.140625" style="58" customWidth="1"/>
    <col min="4101" max="4101" width="15" style="58" bestFit="1" customWidth="1"/>
    <col min="4102" max="4102" width="13.5703125" style="58" customWidth="1"/>
    <col min="4103" max="4103" width="11.42578125" style="58" bestFit="1" customWidth="1"/>
    <col min="4104" max="4104" width="11.28515625" style="58" customWidth="1"/>
    <col min="4105" max="4105" width="15.28515625" style="58" bestFit="1" customWidth="1"/>
    <col min="4106" max="4108" width="11.85546875" style="58" customWidth="1"/>
    <col min="4109" max="4109" width="19.140625" style="58" customWidth="1"/>
    <col min="4110" max="4110" width="15" style="58" customWidth="1"/>
    <col min="4111" max="4111" width="15.28515625" style="58" customWidth="1"/>
    <col min="4112" max="4114" width="18.85546875" style="58" customWidth="1"/>
    <col min="4115" max="4115" width="12.7109375" style="58" customWidth="1"/>
    <col min="4116" max="4116" width="13.7109375" style="58" customWidth="1"/>
    <col min="4117" max="4117" width="16.140625" style="58" customWidth="1"/>
    <col min="4118" max="4118" width="17" style="58" customWidth="1"/>
    <col min="4119" max="4119" width="15" style="58" customWidth="1"/>
    <col min="4120" max="4120" width="14.28515625" style="58" customWidth="1"/>
    <col min="4121" max="4121" width="14.85546875" style="58" customWidth="1"/>
    <col min="4122" max="4122" width="17.140625" style="58" customWidth="1"/>
    <col min="4123" max="4123" width="13.5703125" style="58" customWidth="1"/>
    <col min="4124" max="4125" width="14.85546875" style="58" customWidth="1"/>
    <col min="4126" max="4126" width="18.85546875" style="58" customWidth="1"/>
    <col min="4127" max="4127" width="19.42578125" style="58" customWidth="1"/>
    <col min="4128" max="4128" width="16.140625" style="58" customWidth="1"/>
    <col min="4129" max="4129" width="14.5703125" style="58" customWidth="1"/>
    <col min="4130" max="4130" width="20.28515625" style="58" customWidth="1"/>
    <col min="4131" max="4131" width="13.85546875" style="58" customWidth="1"/>
    <col min="4132" max="4132" width="19.140625" style="58" customWidth="1"/>
    <col min="4133" max="4133" width="19.7109375" style="58" customWidth="1"/>
    <col min="4134" max="4134" width="16.5703125" style="58" customWidth="1"/>
    <col min="4135" max="4135" width="19.140625" style="58" customWidth="1"/>
    <col min="4136" max="4138" width="16.5703125" style="58" customWidth="1"/>
    <col min="4139" max="4139" width="15.7109375" style="58" customWidth="1"/>
    <col min="4140" max="4140" width="19.42578125" style="58" customWidth="1"/>
    <col min="4141" max="4141" width="14.85546875" style="58" bestFit="1" customWidth="1"/>
    <col min="4142" max="4142" width="13.7109375" style="58" bestFit="1" customWidth="1"/>
    <col min="4143" max="4143" width="13" style="58" customWidth="1"/>
    <col min="4144" max="4144" width="18.42578125" style="58" customWidth="1"/>
    <col min="4145" max="4147" width="13.140625" style="58" customWidth="1"/>
    <col min="4148" max="4148" width="16.42578125" style="58" customWidth="1"/>
    <col min="4149" max="4149" width="13.140625" style="58" customWidth="1"/>
    <col min="4150" max="4150" width="15.28515625" style="58" customWidth="1"/>
    <col min="4151" max="4151" width="14" style="58" bestFit="1" customWidth="1"/>
    <col min="4152" max="4152" width="17.140625" style="58" customWidth="1"/>
    <col min="4153" max="4174" width="16.5703125" style="58" customWidth="1"/>
    <col min="4175" max="4175" width="20.140625" style="58" customWidth="1"/>
    <col min="4176" max="4176" width="13.28515625" style="58" customWidth="1"/>
    <col min="4177" max="4177" width="14.85546875" style="58" customWidth="1"/>
    <col min="4178" max="4178" width="13.85546875" style="58" customWidth="1"/>
    <col min="4179" max="4179" width="13.5703125" style="58" customWidth="1"/>
    <col min="4180" max="4180" width="13" style="58" customWidth="1"/>
    <col min="4181" max="4181" width="13.5703125" style="58" customWidth="1"/>
    <col min="4182" max="4182" width="7.7109375" style="58" bestFit="1" customWidth="1"/>
    <col min="4183" max="4352" width="9.140625" style="58"/>
    <col min="4353" max="4353" width="4.28515625" style="58" customWidth="1"/>
    <col min="4354" max="4354" width="10.140625" style="58" customWidth="1"/>
    <col min="4355" max="4355" width="8.85546875" style="58" customWidth="1"/>
    <col min="4356" max="4356" width="11.140625" style="58" customWidth="1"/>
    <col min="4357" max="4357" width="15" style="58" bestFit="1" customWidth="1"/>
    <col min="4358" max="4358" width="13.5703125" style="58" customWidth="1"/>
    <col min="4359" max="4359" width="11.42578125" style="58" bestFit="1" customWidth="1"/>
    <col min="4360" max="4360" width="11.28515625" style="58" customWidth="1"/>
    <col min="4361" max="4361" width="15.28515625" style="58" bestFit="1" customWidth="1"/>
    <col min="4362" max="4364" width="11.85546875" style="58" customWidth="1"/>
    <col min="4365" max="4365" width="19.140625" style="58" customWidth="1"/>
    <col min="4366" max="4366" width="15" style="58" customWidth="1"/>
    <col min="4367" max="4367" width="15.28515625" style="58" customWidth="1"/>
    <col min="4368" max="4370" width="18.85546875" style="58" customWidth="1"/>
    <col min="4371" max="4371" width="12.7109375" style="58" customWidth="1"/>
    <col min="4372" max="4372" width="13.7109375" style="58" customWidth="1"/>
    <col min="4373" max="4373" width="16.140625" style="58" customWidth="1"/>
    <col min="4374" max="4374" width="17" style="58" customWidth="1"/>
    <col min="4375" max="4375" width="15" style="58" customWidth="1"/>
    <col min="4376" max="4376" width="14.28515625" style="58" customWidth="1"/>
    <col min="4377" max="4377" width="14.85546875" style="58" customWidth="1"/>
    <col min="4378" max="4378" width="17.140625" style="58" customWidth="1"/>
    <col min="4379" max="4379" width="13.5703125" style="58" customWidth="1"/>
    <col min="4380" max="4381" width="14.85546875" style="58" customWidth="1"/>
    <col min="4382" max="4382" width="18.85546875" style="58" customWidth="1"/>
    <col min="4383" max="4383" width="19.42578125" style="58" customWidth="1"/>
    <col min="4384" max="4384" width="16.140625" style="58" customWidth="1"/>
    <col min="4385" max="4385" width="14.5703125" style="58" customWidth="1"/>
    <col min="4386" max="4386" width="20.28515625" style="58" customWidth="1"/>
    <col min="4387" max="4387" width="13.85546875" style="58" customWidth="1"/>
    <col min="4388" max="4388" width="19.140625" style="58" customWidth="1"/>
    <col min="4389" max="4389" width="19.7109375" style="58" customWidth="1"/>
    <col min="4390" max="4390" width="16.5703125" style="58" customWidth="1"/>
    <col min="4391" max="4391" width="19.140625" style="58" customWidth="1"/>
    <col min="4392" max="4394" width="16.5703125" style="58" customWidth="1"/>
    <col min="4395" max="4395" width="15.7109375" style="58" customWidth="1"/>
    <col min="4396" max="4396" width="19.42578125" style="58" customWidth="1"/>
    <col min="4397" max="4397" width="14.85546875" style="58" bestFit="1" customWidth="1"/>
    <col min="4398" max="4398" width="13.7109375" style="58" bestFit="1" customWidth="1"/>
    <col min="4399" max="4399" width="13" style="58" customWidth="1"/>
    <col min="4400" max="4400" width="18.42578125" style="58" customWidth="1"/>
    <col min="4401" max="4403" width="13.140625" style="58" customWidth="1"/>
    <col min="4404" max="4404" width="16.42578125" style="58" customWidth="1"/>
    <col min="4405" max="4405" width="13.140625" style="58" customWidth="1"/>
    <col min="4406" max="4406" width="15.28515625" style="58" customWidth="1"/>
    <col min="4407" max="4407" width="14" style="58" bestFit="1" customWidth="1"/>
    <col min="4408" max="4408" width="17.140625" style="58" customWidth="1"/>
    <col min="4409" max="4430" width="16.5703125" style="58" customWidth="1"/>
    <col min="4431" max="4431" width="20.140625" style="58" customWidth="1"/>
    <col min="4432" max="4432" width="13.28515625" style="58" customWidth="1"/>
    <col min="4433" max="4433" width="14.85546875" style="58" customWidth="1"/>
    <col min="4434" max="4434" width="13.85546875" style="58" customWidth="1"/>
    <col min="4435" max="4435" width="13.5703125" style="58" customWidth="1"/>
    <col min="4436" max="4436" width="13" style="58" customWidth="1"/>
    <col min="4437" max="4437" width="13.5703125" style="58" customWidth="1"/>
    <col min="4438" max="4438" width="7.7109375" style="58" bestFit="1" customWidth="1"/>
    <col min="4439" max="4608" width="9.140625" style="58"/>
    <col min="4609" max="4609" width="4.28515625" style="58" customWidth="1"/>
    <col min="4610" max="4610" width="10.140625" style="58" customWidth="1"/>
    <col min="4611" max="4611" width="8.85546875" style="58" customWidth="1"/>
    <col min="4612" max="4612" width="11.140625" style="58" customWidth="1"/>
    <col min="4613" max="4613" width="15" style="58" bestFit="1" customWidth="1"/>
    <col min="4614" max="4614" width="13.5703125" style="58" customWidth="1"/>
    <col min="4615" max="4615" width="11.42578125" style="58" bestFit="1" customWidth="1"/>
    <col min="4616" max="4616" width="11.28515625" style="58" customWidth="1"/>
    <col min="4617" max="4617" width="15.28515625" style="58" bestFit="1" customWidth="1"/>
    <col min="4618" max="4620" width="11.85546875" style="58" customWidth="1"/>
    <col min="4621" max="4621" width="19.140625" style="58" customWidth="1"/>
    <col min="4622" max="4622" width="15" style="58" customWidth="1"/>
    <col min="4623" max="4623" width="15.28515625" style="58" customWidth="1"/>
    <col min="4624" max="4626" width="18.85546875" style="58" customWidth="1"/>
    <col min="4627" max="4627" width="12.7109375" style="58" customWidth="1"/>
    <col min="4628" max="4628" width="13.7109375" style="58" customWidth="1"/>
    <col min="4629" max="4629" width="16.140625" style="58" customWidth="1"/>
    <col min="4630" max="4630" width="17" style="58" customWidth="1"/>
    <col min="4631" max="4631" width="15" style="58" customWidth="1"/>
    <col min="4632" max="4632" width="14.28515625" style="58" customWidth="1"/>
    <col min="4633" max="4633" width="14.85546875" style="58" customWidth="1"/>
    <col min="4634" max="4634" width="17.140625" style="58" customWidth="1"/>
    <col min="4635" max="4635" width="13.5703125" style="58" customWidth="1"/>
    <col min="4636" max="4637" width="14.85546875" style="58" customWidth="1"/>
    <col min="4638" max="4638" width="18.85546875" style="58" customWidth="1"/>
    <col min="4639" max="4639" width="19.42578125" style="58" customWidth="1"/>
    <col min="4640" max="4640" width="16.140625" style="58" customWidth="1"/>
    <col min="4641" max="4641" width="14.5703125" style="58" customWidth="1"/>
    <col min="4642" max="4642" width="20.28515625" style="58" customWidth="1"/>
    <col min="4643" max="4643" width="13.85546875" style="58" customWidth="1"/>
    <col min="4644" max="4644" width="19.140625" style="58" customWidth="1"/>
    <col min="4645" max="4645" width="19.7109375" style="58" customWidth="1"/>
    <col min="4646" max="4646" width="16.5703125" style="58" customWidth="1"/>
    <col min="4647" max="4647" width="19.140625" style="58" customWidth="1"/>
    <col min="4648" max="4650" width="16.5703125" style="58" customWidth="1"/>
    <col min="4651" max="4651" width="15.7109375" style="58" customWidth="1"/>
    <col min="4652" max="4652" width="19.42578125" style="58" customWidth="1"/>
    <col min="4653" max="4653" width="14.85546875" style="58" bestFit="1" customWidth="1"/>
    <col min="4654" max="4654" width="13.7109375" style="58" bestFit="1" customWidth="1"/>
    <col min="4655" max="4655" width="13" style="58" customWidth="1"/>
    <col min="4656" max="4656" width="18.42578125" style="58" customWidth="1"/>
    <col min="4657" max="4659" width="13.140625" style="58" customWidth="1"/>
    <col min="4660" max="4660" width="16.42578125" style="58" customWidth="1"/>
    <col min="4661" max="4661" width="13.140625" style="58" customWidth="1"/>
    <col min="4662" max="4662" width="15.28515625" style="58" customWidth="1"/>
    <col min="4663" max="4663" width="14" style="58" bestFit="1" customWidth="1"/>
    <col min="4664" max="4664" width="17.140625" style="58" customWidth="1"/>
    <col min="4665" max="4686" width="16.5703125" style="58" customWidth="1"/>
    <col min="4687" max="4687" width="20.140625" style="58" customWidth="1"/>
    <col min="4688" max="4688" width="13.28515625" style="58" customWidth="1"/>
    <col min="4689" max="4689" width="14.85546875" style="58" customWidth="1"/>
    <col min="4690" max="4690" width="13.85546875" style="58" customWidth="1"/>
    <col min="4691" max="4691" width="13.5703125" style="58" customWidth="1"/>
    <col min="4692" max="4692" width="13" style="58" customWidth="1"/>
    <col min="4693" max="4693" width="13.5703125" style="58" customWidth="1"/>
    <col min="4694" max="4694" width="7.7109375" style="58" bestFit="1" customWidth="1"/>
    <col min="4695" max="4864" width="9.140625" style="58"/>
    <col min="4865" max="4865" width="4.28515625" style="58" customWidth="1"/>
    <col min="4866" max="4866" width="10.140625" style="58" customWidth="1"/>
    <col min="4867" max="4867" width="8.85546875" style="58" customWidth="1"/>
    <col min="4868" max="4868" width="11.140625" style="58" customWidth="1"/>
    <col min="4869" max="4869" width="15" style="58" bestFit="1" customWidth="1"/>
    <col min="4870" max="4870" width="13.5703125" style="58" customWidth="1"/>
    <col min="4871" max="4871" width="11.42578125" style="58" bestFit="1" customWidth="1"/>
    <col min="4872" max="4872" width="11.28515625" style="58" customWidth="1"/>
    <col min="4873" max="4873" width="15.28515625" style="58" bestFit="1" customWidth="1"/>
    <col min="4874" max="4876" width="11.85546875" style="58" customWidth="1"/>
    <col min="4877" max="4877" width="19.140625" style="58" customWidth="1"/>
    <col min="4878" max="4878" width="15" style="58" customWidth="1"/>
    <col min="4879" max="4879" width="15.28515625" style="58" customWidth="1"/>
    <col min="4880" max="4882" width="18.85546875" style="58" customWidth="1"/>
    <col min="4883" max="4883" width="12.7109375" style="58" customWidth="1"/>
    <col min="4884" max="4884" width="13.7109375" style="58" customWidth="1"/>
    <col min="4885" max="4885" width="16.140625" style="58" customWidth="1"/>
    <col min="4886" max="4886" width="17" style="58" customWidth="1"/>
    <col min="4887" max="4887" width="15" style="58" customWidth="1"/>
    <col min="4888" max="4888" width="14.28515625" style="58" customWidth="1"/>
    <col min="4889" max="4889" width="14.85546875" style="58" customWidth="1"/>
    <col min="4890" max="4890" width="17.140625" style="58" customWidth="1"/>
    <col min="4891" max="4891" width="13.5703125" style="58" customWidth="1"/>
    <col min="4892" max="4893" width="14.85546875" style="58" customWidth="1"/>
    <col min="4894" max="4894" width="18.85546875" style="58" customWidth="1"/>
    <col min="4895" max="4895" width="19.42578125" style="58" customWidth="1"/>
    <col min="4896" max="4896" width="16.140625" style="58" customWidth="1"/>
    <col min="4897" max="4897" width="14.5703125" style="58" customWidth="1"/>
    <col min="4898" max="4898" width="20.28515625" style="58" customWidth="1"/>
    <col min="4899" max="4899" width="13.85546875" style="58" customWidth="1"/>
    <col min="4900" max="4900" width="19.140625" style="58" customWidth="1"/>
    <col min="4901" max="4901" width="19.7109375" style="58" customWidth="1"/>
    <col min="4902" max="4902" width="16.5703125" style="58" customWidth="1"/>
    <col min="4903" max="4903" width="19.140625" style="58" customWidth="1"/>
    <col min="4904" max="4906" width="16.5703125" style="58" customWidth="1"/>
    <col min="4907" max="4907" width="15.7109375" style="58" customWidth="1"/>
    <col min="4908" max="4908" width="19.42578125" style="58" customWidth="1"/>
    <col min="4909" max="4909" width="14.85546875" style="58" bestFit="1" customWidth="1"/>
    <col min="4910" max="4910" width="13.7109375" style="58" bestFit="1" customWidth="1"/>
    <col min="4911" max="4911" width="13" style="58" customWidth="1"/>
    <col min="4912" max="4912" width="18.42578125" style="58" customWidth="1"/>
    <col min="4913" max="4915" width="13.140625" style="58" customWidth="1"/>
    <col min="4916" max="4916" width="16.42578125" style="58" customWidth="1"/>
    <col min="4917" max="4917" width="13.140625" style="58" customWidth="1"/>
    <col min="4918" max="4918" width="15.28515625" style="58" customWidth="1"/>
    <col min="4919" max="4919" width="14" style="58" bestFit="1" customWidth="1"/>
    <col min="4920" max="4920" width="17.140625" style="58" customWidth="1"/>
    <col min="4921" max="4942" width="16.5703125" style="58" customWidth="1"/>
    <col min="4943" max="4943" width="20.140625" style="58" customWidth="1"/>
    <col min="4944" max="4944" width="13.28515625" style="58" customWidth="1"/>
    <col min="4945" max="4945" width="14.85546875" style="58" customWidth="1"/>
    <col min="4946" max="4946" width="13.85546875" style="58" customWidth="1"/>
    <col min="4947" max="4947" width="13.5703125" style="58" customWidth="1"/>
    <col min="4948" max="4948" width="13" style="58" customWidth="1"/>
    <col min="4949" max="4949" width="13.5703125" style="58" customWidth="1"/>
    <col min="4950" max="4950" width="7.7109375" style="58" bestFit="1" customWidth="1"/>
    <col min="4951" max="5120" width="9.140625" style="58"/>
    <col min="5121" max="5121" width="4.28515625" style="58" customWidth="1"/>
    <col min="5122" max="5122" width="10.140625" style="58" customWidth="1"/>
    <col min="5123" max="5123" width="8.85546875" style="58" customWidth="1"/>
    <col min="5124" max="5124" width="11.140625" style="58" customWidth="1"/>
    <col min="5125" max="5125" width="15" style="58" bestFit="1" customWidth="1"/>
    <col min="5126" max="5126" width="13.5703125" style="58" customWidth="1"/>
    <col min="5127" max="5127" width="11.42578125" style="58" bestFit="1" customWidth="1"/>
    <col min="5128" max="5128" width="11.28515625" style="58" customWidth="1"/>
    <col min="5129" max="5129" width="15.28515625" style="58" bestFit="1" customWidth="1"/>
    <col min="5130" max="5132" width="11.85546875" style="58" customWidth="1"/>
    <col min="5133" max="5133" width="19.140625" style="58" customWidth="1"/>
    <col min="5134" max="5134" width="15" style="58" customWidth="1"/>
    <col min="5135" max="5135" width="15.28515625" style="58" customWidth="1"/>
    <col min="5136" max="5138" width="18.85546875" style="58" customWidth="1"/>
    <col min="5139" max="5139" width="12.7109375" style="58" customWidth="1"/>
    <col min="5140" max="5140" width="13.7109375" style="58" customWidth="1"/>
    <col min="5141" max="5141" width="16.140625" style="58" customWidth="1"/>
    <col min="5142" max="5142" width="17" style="58" customWidth="1"/>
    <col min="5143" max="5143" width="15" style="58" customWidth="1"/>
    <col min="5144" max="5144" width="14.28515625" style="58" customWidth="1"/>
    <col min="5145" max="5145" width="14.85546875" style="58" customWidth="1"/>
    <col min="5146" max="5146" width="17.140625" style="58" customWidth="1"/>
    <col min="5147" max="5147" width="13.5703125" style="58" customWidth="1"/>
    <col min="5148" max="5149" width="14.85546875" style="58" customWidth="1"/>
    <col min="5150" max="5150" width="18.85546875" style="58" customWidth="1"/>
    <col min="5151" max="5151" width="19.42578125" style="58" customWidth="1"/>
    <col min="5152" max="5152" width="16.140625" style="58" customWidth="1"/>
    <col min="5153" max="5153" width="14.5703125" style="58" customWidth="1"/>
    <col min="5154" max="5154" width="20.28515625" style="58" customWidth="1"/>
    <col min="5155" max="5155" width="13.85546875" style="58" customWidth="1"/>
    <col min="5156" max="5156" width="19.140625" style="58" customWidth="1"/>
    <col min="5157" max="5157" width="19.7109375" style="58" customWidth="1"/>
    <col min="5158" max="5158" width="16.5703125" style="58" customWidth="1"/>
    <col min="5159" max="5159" width="19.140625" style="58" customWidth="1"/>
    <col min="5160" max="5162" width="16.5703125" style="58" customWidth="1"/>
    <col min="5163" max="5163" width="15.7109375" style="58" customWidth="1"/>
    <col min="5164" max="5164" width="19.42578125" style="58" customWidth="1"/>
    <col min="5165" max="5165" width="14.85546875" style="58" bestFit="1" customWidth="1"/>
    <col min="5166" max="5166" width="13.7109375" style="58" bestFit="1" customWidth="1"/>
    <col min="5167" max="5167" width="13" style="58" customWidth="1"/>
    <col min="5168" max="5168" width="18.42578125" style="58" customWidth="1"/>
    <col min="5169" max="5171" width="13.140625" style="58" customWidth="1"/>
    <col min="5172" max="5172" width="16.42578125" style="58" customWidth="1"/>
    <col min="5173" max="5173" width="13.140625" style="58" customWidth="1"/>
    <col min="5174" max="5174" width="15.28515625" style="58" customWidth="1"/>
    <col min="5175" max="5175" width="14" style="58" bestFit="1" customWidth="1"/>
    <col min="5176" max="5176" width="17.140625" style="58" customWidth="1"/>
    <col min="5177" max="5198" width="16.5703125" style="58" customWidth="1"/>
    <col min="5199" max="5199" width="20.140625" style="58" customWidth="1"/>
    <col min="5200" max="5200" width="13.28515625" style="58" customWidth="1"/>
    <col min="5201" max="5201" width="14.85546875" style="58" customWidth="1"/>
    <col min="5202" max="5202" width="13.85546875" style="58" customWidth="1"/>
    <col min="5203" max="5203" width="13.5703125" style="58" customWidth="1"/>
    <col min="5204" max="5204" width="13" style="58" customWidth="1"/>
    <col min="5205" max="5205" width="13.5703125" style="58" customWidth="1"/>
    <col min="5206" max="5206" width="7.7109375" style="58" bestFit="1" customWidth="1"/>
    <col min="5207" max="5376" width="9.140625" style="58"/>
    <col min="5377" max="5377" width="4.28515625" style="58" customWidth="1"/>
    <col min="5378" max="5378" width="10.140625" style="58" customWidth="1"/>
    <col min="5379" max="5379" width="8.85546875" style="58" customWidth="1"/>
    <col min="5380" max="5380" width="11.140625" style="58" customWidth="1"/>
    <col min="5381" max="5381" width="15" style="58" bestFit="1" customWidth="1"/>
    <col min="5382" max="5382" width="13.5703125" style="58" customWidth="1"/>
    <col min="5383" max="5383" width="11.42578125" style="58" bestFit="1" customWidth="1"/>
    <col min="5384" max="5384" width="11.28515625" style="58" customWidth="1"/>
    <col min="5385" max="5385" width="15.28515625" style="58" bestFit="1" customWidth="1"/>
    <col min="5386" max="5388" width="11.85546875" style="58" customWidth="1"/>
    <col min="5389" max="5389" width="19.140625" style="58" customWidth="1"/>
    <col min="5390" max="5390" width="15" style="58" customWidth="1"/>
    <col min="5391" max="5391" width="15.28515625" style="58" customWidth="1"/>
    <col min="5392" max="5394" width="18.85546875" style="58" customWidth="1"/>
    <col min="5395" max="5395" width="12.7109375" style="58" customWidth="1"/>
    <col min="5396" max="5396" width="13.7109375" style="58" customWidth="1"/>
    <col min="5397" max="5397" width="16.140625" style="58" customWidth="1"/>
    <col min="5398" max="5398" width="17" style="58" customWidth="1"/>
    <col min="5399" max="5399" width="15" style="58" customWidth="1"/>
    <col min="5400" max="5400" width="14.28515625" style="58" customWidth="1"/>
    <col min="5401" max="5401" width="14.85546875" style="58" customWidth="1"/>
    <col min="5402" max="5402" width="17.140625" style="58" customWidth="1"/>
    <col min="5403" max="5403" width="13.5703125" style="58" customWidth="1"/>
    <col min="5404" max="5405" width="14.85546875" style="58" customWidth="1"/>
    <col min="5406" max="5406" width="18.85546875" style="58" customWidth="1"/>
    <col min="5407" max="5407" width="19.42578125" style="58" customWidth="1"/>
    <col min="5408" max="5408" width="16.140625" style="58" customWidth="1"/>
    <col min="5409" max="5409" width="14.5703125" style="58" customWidth="1"/>
    <col min="5410" max="5410" width="20.28515625" style="58" customWidth="1"/>
    <col min="5411" max="5411" width="13.85546875" style="58" customWidth="1"/>
    <col min="5412" max="5412" width="19.140625" style="58" customWidth="1"/>
    <col min="5413" max="5413" width="19.7109375" style="58" customWidth="1"/>
    <col min="5414" max="5414" width="16.5703125" style="58" customWidth="1"/>
    <col min="5415" max="5415" width="19.140625" style="58" customWidth="1"/>
    <col min="5416" max="5418" width="16.5703125" style="58" customWidth="1"/>
    <col min="5419" max="5419" width="15.7109375" style="58" customWidth="1"/>
    <col min="5420" max="5420" width="19.42578125" style="58" customWidth="1"/>
    <col min="5421" max="5421" width="14.85546875" style="58" bestFit="1" customWidth="1"/>
    <col min="5422" max="5422" width="13.7109375" style="58" bestFit="1" customWidth="1"/>
    <col min="5423" max="5423" width="13" style="58" customWidth="1"/>
    <col min="5424" max="5424" width="18.42578125" style="58" customWidth="1"/>
    <col min="5425" max="5427" width="13.140625" style="58" customWidth="1"/>
    <col min="5428" max="5428" width="16.42578125" style="58" customWidth="1"/>
    <col min="5429" max="5429" width="13.140625" style="58" customWidth="1"/>
    <col min="5430" max="5430" width="15.28515625" style="58" customWidth="1"/>
    <col min="5431" max="5431" width="14" style="58" bestFit="1" customWidth="1"/>
    <col min="5432" max="5432" width="17.140625" style="58" customWidth="1"/>
    <col min="5433" max="5454" width="16.5703125" style="58" customWidth="1"/>
    <col min="5455" max="5455" width="20.140625" style="58" customWidth="1"/>
    <col min="5456" max="5456" width="13.28515625" style="58" customWidth="1"/>
    <col min="5457" max="5457" width="14.85546875" style="58" customWidth="1"/>
    <col min="5458" max="5458" width="13.85546875" style="58" customWidth="1"/>
    <col min="5459" max="5459" width="13.5703125" style="58" customWidth="1"/>
    <col min="5460" max="5460" width="13" style="58" customWidth="1"/>
    <col min="5461" max="5461" width="13.5703125" style="58" customWidth="1"/>
    <col min="5462" max="5462" width="7.7109375" style="58" bestFit="1" customWidth="1"/>
    <col min="5463" max="5632" width="9.140625" style="58"/>
    <col min="5633" max="5633" width="4.28515625" style="58" customWidth="1"/>
    <col min="5634" max="5634" width="10.140625" style="58" customWidth="1"/>
    <col min="5635" max="5635" width="8.85546875" style="58" customWidth="1"/>
    <col min="5636" max="5636" width="11.140625" style="58" customWidth="1"/>
    <col min="5637" max="5637" width="15" style="58" bestFit="1" customWidth="1"/>
    <col min="5638" max="5638" width="13.5703125" style="58" customWidth="1"/>
    <col min="5639" max="5639" width="11.42578125" style="58" bestFit="1" customWidth="1"/>
    <col min="5640" max="5640" width="11.28515625" style="58" customWidth="1"/>
    <col min="5641" max="5641" width="15.28515625" style="58" bestFit="1" customWidth="1"/>
    <col min="5642" max="5644" width="11.85546875" style="58" customWidth="1"/>
    <col min="5645" max="5645" width="19.140625" style="58" customWidth="1"/>
    <col min="5646" max="5646" width="15" style="58" customWidth="1"/>
    <col min="5647" max="5647" width="15.28515625" style="58" customWidth="1"/>
    <col min="5648" max="5650" width="18.85546875" style="58" customWidth="1"/>
    <col min="5651" max="5651" width="12.7109375" style="58" customWidth="1"/>
    <col min="5652" max="5652" width="13.7109375" style="58" customWidth="1"/>
    <col min="5653" max="5653" width="16.140625" style="58" customWidth="1"/>
    <col min="5654" max="5654" width="17" style="58" customWidth="1"/>
    <col min="5655" max="5655" width="15" style="58" customWidth="1"/>
    <col min="5656" max="5656" width="14.28515625" style="58" customWidth="1"/>
    <col min="5657" max="5657" width="14.85546875" style="58" customWidth="1"/>
    <col min="5658" max="5658" width="17.140625" style="58" customWidth="1"/>
    <col min="5659" max="5659" width="13.5703125" style="58" customWidth="1"/>
    <col min="5660" max="5661" width="14.85546875" style="58" customWidth="1"/>
    <col min="5662" max="5662" width="18.85546875" style="58" customWidth="1"/>
    <col min="5663" max="5663" width="19.42578125" style="58" customWidth="1"/>
    <col min="5664" max="5664" width="16.140625" style="58" customWidth="1"/>
    <col min="5665" max="5665" width="14.5703125" style="58" customWidth="1"/>
    <col min="5666" max="5666" width="20.28515625" style="58" customWidth="1"/>
    <col min="5667" max="5667" width="13.85546875" style="58" customWidth="1"/>
    <col min="5668" max="5668" width="19.140625" style="58" customWidth="1"/>
    <col min="5669" max="5669" width="19.7109375" style="58" customWidth="1"/>
    <col min="5670" max="5670" width="16.5703125" style="58" customWidth="1"/>
    <col min="5671" max="5671" width="19.140625" style="58" customWidth="1"/>
    <col min="5672" max="5674" width="16.5703125" style="58" customWidth="1"/>
    <col min="5675" max="5675" width="15.7109375" style="58" customWidth="1"/>
    <col min="5676" max="5676" width="19.42578125" style="58" customWidth="1"/>
    <col min="5677" max="5677" width="14.85546875" style="58" bestFit="1" customWidth="1"/>
    <col min="5678" max="5678" width="13.7109375" style="58" bestFit="1" customWidth="1"/>
    <col min="5679" max="5679" width="13" style="58" customWidth="1"/>
    <col min="5680" max="5680" width="18.42578125" style="58" customWidth="1"/>
    <col min="5681" max="5683" width="13.140625" style="58" customWidth="1"/>
    <col min="5684" max="5684" width="16.42578125" style="58" customWidth="1"/>
    <col min="5685" max="5685" width="13.140625" style="58" customWidth="1"/>
    <col min="5686" max="5686" width="15.28515625" style="58" customWidth="1"/>
    <col min="5687" max="5687" width="14" style="58" bestFit="1" customWidth="1"/>
    <col min="5688" max="5688" width="17.140625" style="58" customWidth="1"/>
    <col min="5689" max="5710" width="16.5703125" style="58" customWidth="1"/>
    <col min="5711" max="5711" width="20.140625" style="58" customWidth="1"/>
    <col min="5712" max="5712" width="13.28515625" style="58" customWidth="1"/>
    <col min="5713" max="5713" width="14.85546875" style="58" customWidth="1"/>
    <col min="5714" max="5714" width="13.85546875" style="58" customWidth="1"/>
    <col min="5715" max="5715" width="13.5703125" style="58" customWidth="1"/>
    <col min="5716" max="5716" width="13" style="58" customWidth="1"/>
    <col min="5717" max="5717" width="13.5703125" style="58" customWidth="1"/>
    <col min="5718" max="5718" width="7.7109375" style="58" bestFit="1" customWidth="1"/>
    <col min="5719" max="5888" width="9.140625" style="58"/>
    <col min="5889" max="5889" width="4.28515625" style="58" customWidth="1"/>
    <col min="5890" max="5890" width="10.140625" style="58" customWidth="1"/>
    <col min="5891" max="5891" width="8.85546875" style="58" customWidth="1"/>
    <col min="5892" max="5892" width="11.140625" style="58" customWidth="1"/>
    <col min="5893" max="5893" width="15" style="58" bestFit="1" customWidth="1"/>
    <col min="5894" max="5894" width="13.5703125" style="58" customWidth="1"/>
    <col min="5895" max="5895" width="11.42578125" style="58" bestFit="1" customWidth="1"/>
    <col min="5896" max="5896" width="11.28515625" style="58" customWidth="1"/>
    <col min="5897" max="5897" width="15.28515625" style="58" bestFit="1" customWidth="1"/>
    <col min="5898" max="5900" width="11.85546875" style="58" customWidth="1"/>
    <col min="5901" max="5901" width="19.140625" style="58" customWidth="1"/>
    <col min="5902" max="5902" width="15" style="58" customWidth="1"/>
    <col min="5903" max="5903" width="15.28515625" style="58" customWidth="1"/>
    <col min="5904" max="5906" width="18.85546875" style="58" customWidth="1"/>
    <col min="5907" max="5907" width="12.7109375" style="58" customWidth="1"/>
    <col min="5908" max="5908" width="13.7109375" style="58" customWidth="1"/>
    <col min="5909" max="5909" width="16.140625" style="58" customWidth="1"/>
    <col min="5910" max="5910" width="17" style="58" customWidth="1"/>
    <col min="5911" max="5911" width="15" style="58" customWidth="1"/>
    <col min="5912" max="5912" width="14.28515625" style="58" customWidth="1"/>
    <col min="5913" max="5913" width="14.85546875" style="58" customWidth="1"/>
    <col min="5914" max="5914" width="17.140625" style="58" customWidth="1"/>
    <col min="5915" max="5915" width="13.5703125" style="58" customWidth="1"/>
    <col min="5916" max="5917" width="14.85546875" style="58" customWidth="1"/>
    <col min="5918" max="5918" width="18.85546875" style="58" customWidth="1"/>
    <col min="5919" max="5919" width="19.42578125" style="58" customWidth="1"/>
    <col min="5920" max="5920" width="16.140625" style="58" customWidth="1"/>
    <col min="5921" max="5921" width="14.5703125" style="58" customWidth="1"/>
    <col min="5922" max="5922" width="20.28515625" style="58" customWidth="1"/>
    <col min="5923" max="5923" width="13.85546875" style="58" customWidth="1"/>
    <col min="5924" max="5924" width="19.140625" style="58" customWidth="1"/>
    <col min="5925" max="5925" width="19.7109375" style="58" customWidth="1"/>
    <col min="5926" max="5926" width="16.5703125" style="58" customWidth="1"/>
    <col min="5927" max="5927" width="19.140625" style="58" customWidth="1"/>
    <col min="5928" max="5930" width="16.5703125" style="58" customWidth="1"/>
    <col min="5931" max="5931" width="15.7109375" style="58" customWidth="1"/>
    <col min="5932" max="5932" width="19.42578125" style="58" customWidth="1"/>
    <col min="5933" max="5933" width="14.85546875" style="58" bestFit="1" customWidth="1"/>
    <col min="5934" max="5934" width="13.7109375" style="58" bestFit="1" customWidth="1"/>
    <col min="5935" max="5935" width="13" style="58" customWidth="1"/>
    <col min="5936" max="5936" width="18.42578125" style="58" customWidth="1"/>
    <col min="5937" max="5939" width="13.140625" style="58" customWidth="1"/>
    <col min="5940" max="5940" width="16.42578125" style="58" customWidth="1"/>
    <col min="5941" max="5941" width="13.140625" style="58" customWidth="1"/>
    <col min="5942" max="5942" width="15.28515625" style="58" customWidth="1"/>
    <col min="5943" max="5943" width="14" style="58" bestFit="1" customWidth="1"/>
    <col min="5944" max="5944" width="17.140625" style="58" customWidth="1"/>
    <col min="5945" max="5966" width="16.5703125" style="58" customWidth="1"/>
    <col min="5967" max="5967" width="20.140625" style="58" customWidth="1"/>
    <col min="5968" max="5968" width="13.28515625" style="58" customWidth="1"/>
    <col min="5969" max="5969" width="14.85546875" style="58" customWidth="1"/>
    <col min="5970" max="5970" width="13.85546875" style="58" customWidth="1"/>
    <col min="5971" max="5971" width="13.5703125" style="58" customWidth="1"/>
    <col min="5972" max="5972" width="13" style="58" customWidth="1"/>
    <col min="5973" max="5973" width="13.5703125" style="58" customWidth="1"/>
    <col min="5974" max="5974" width="7.7109375" style="58" bestFit="1" customWidth="1"/>
    <col min="5975" max="6144" width="9.140625" style="58"/>
    <col min="6145" max="6145" width="4.28515625" style="58" customWidth="1"/>
    <col min="6146" max="6146" width="10.140625" style="58" customWidth="1"/>
    <col min="6147" max="6147" width="8.85546875" style="58" customWidth="1"/>
    <col min="6148" max="6148" width="11.140625" style="58" customWidth="1"/>
    <col min="6149" max="6149" width="15" style="58" bestFit="1" customWidth="1"/>
    <col min="6150" max="6150" width="13.5703125" style="58" customWidth="1"/>
    <col min="6151" max="6151" width="11.42578125" style="58" bestFit="1" customWidth="1"/>
    <col min="6152" max="6152" width="11.28515625" style="58" customWidth="1"/>
    <col min="6153" max="6153" width="15.28515625" style="58" bestFit="1" customWidth="1"/>
    <col min="6154" max="6156" width="11.85546875" style="58" customWidth="1"/>
    <col min="6157" max="6157" width="19.140625" style="58" customWidth="1"/>
    <col min="6158" max="6158" width="15" style="58" customWidth="1"/>
    <col min="6159" max="6159" width="15.28515625" style="58" customWidth="1"/>
    <col min="6160" max="6162" width="18.85546875" style="58" customWidth="1"/>
    <col min="6163" max="6163" width="12.7109375" style="58" customWidth="1"/>
    <col min="6164" max="6164" width="13.7109375" style="58" customWidth="1"/>
    <col min="6165" max="6165" width="16.140625" style="58" customWidth="1"/>
    <col min="6166" max="6166" width="17" style="58" customWidth="1"/>
    <col min="6167" max="6167" width="15" style="58" customWidth="1"/>
    <col min="6168" max="6168" width="14.28515625" style="58" customWidth="1"/>
    <col min="6169" max="6169" width="14.85546875" style="58" customWidth="1"/>
    <col min="6170" max="6170" width="17.140625" style="58" customWidth="1"/>
    <col min="6171" max="6171" width="13.5703125" style="58" customWidth="1"/>
    <col min="6172" max="6173" width="14.85546875" style="58" customWidth="1"/>
    <col min="6174" max="6174" width="18.85546875" style="58" customWidth="1"/>
    <col min="6175" max="6175" width="19.42578125" style="58" customWidth="1"/>
    <col min="6176" max="6176" width="16.140625" style="58" customWidth="1"/>
    <col min="6177" max="6177" width="14.5703125" style="58" customWidth="1"/>
    <col min="6178" max="6178" width="20.28515625" style="58" customWidth="1"/>
    <col min="6179" max="6179" width="13.85546875" style="58" customWidth="1"/>
    <col min="6180" max="6180" width="19.140625" style="58" customWidth="1"/>
    <col min="6181" max="6181" width="19.7109375" style="58" customWidth="1"/>
    <col min="6182" max="6182" width="16.5703125" style="58" customWidth="1"/>
    <col min="6183" max="6183" width="19.140625" style="58" customWidth="1"/>
    <col min="6184" max="6186" width="16.5703125" style="58" customWidth="1"/>
    <col min="6187" max="6187" width="15.7109375" style="58" customWidth="1"/>
    <col min="6188" max="6188" width="19.42578125" style="58" customWidth="1"/>
    <col min="6189" max="6189" width="14.85546875" style="58" bestFit="1" customWidth="1"/>
    <col min="6190" max="6190" width="13.7109375" style="58" bestFit="1" customWidth="1"/>
    <col min="6191" max="6191" width="13" style="58" customWidth="1"/>
    <col min="6192" max="6192" width="18.42578125" style="58" customWidth="1"/>
    <col min="6193" max="6195" width="13.140625" style="58" customWidth="1"/>
    <col min="6196" max="6196" width="16.42578125" style="58" customWidth="1"/>
    <col min="6197" max="6197" width="13.140625" style="58" customWidth="1"/>
    <col min="6198" max="6198" width="15.28515625" style="58" customWidth="1"/>
    <col min="6199" max="6199" width="14" style="58" bestFit="1" customWidth="1"/>
    <col min="6200" max="6200" width="17.140625" style="58" customWidth="1"/>
    <col min="6201" max="6222" width="16.5703125" style="58" customWidth="1"/>
    <col min="6223" max="6223" width="20.140625" style="58" customWidth="1"/>
    <col min="6224" max="6224" width="13.28515625" style="58" customWidth="1"/>
    <col min="6225" max="6225" width="14.85546875" style="58" customWidth="1"/>
    <col min="6226" max="6226" width="13.85546875" style="58" customWidth="1"/>
    <col min="6227" max="6227" width="13.5703125" style="58" customWidth="1"/>
    <col min="6228" max="6228" width="13" style="58" customWidth="1"/>
    <col min="6229" max="6229" width="13.5703125" style="58" customWidth="1"/>
    <col min="6230" max="6230" width="7.7109375" style="58" bestFit="1" customWidth="1"/>
    <col min="6231" max="6400" width="9.140625" style="58"/>
    <col min="6401" max="6401" width="4.28515625" style="58" customWidth="1"/>
    <col min="6402" max="6402" width="10.140625" style="58" customWidth="1"/>
    <col min="6403" max="6403" width="8.85546875" style="58" customWidth="1"/>
    <col min="6404" max="6404" width="11.140625" style="58" customWidth="1"/>
    <col min="6405" max="6405" width="15" style="58" bestFit="1" customWidth="1"/>
    <col min="6406" max="6406" width="13.5703125" style="58" customWidth="1"/>
    <col min="6407" max="6407" width="11.42578125" style="58" bestFit="1" customWidth="1"/>
    <col min="6408" max="6408" width="11.28515625" style="58" customWidth="1"/>
    <col min="6409" max="6409" width="15.28515625" style="58" bestFit="1" customWidth="1"/>
    <col min="6410" max="6412" width="11.85546875" style="58" customWidth="1"/>
    <col min="6413" max="6413" width="19.140625" style="58" customWidth="1"/>
    <col min="6414" max="6414" width="15" style="58" customWidth="1"/>
    <col min="6415" max="6415" width="15.28515625" style="58" customWidth="1"/>
    <col min="6416" max="6418" width="18.85546875" style="58" customWidth="1"/>
    <col min="6419" max="6419" width="12.7109375" style="58" customWidth="1"/>
    <col min="6420" max="6420" width="13.7109375" style="58" customWidth="1"/>
    <col min="6421" max="6421" width="16.140625" style="58" customWidth="1"/>
    <col min="6422" max="6422" width="17" style="58" customWidth="1"/>
    <col min="6423" max="6423" width="15" style="58" customWidth="1"/>
    <col min="6424" max="6424" width="14.28515625" style="58" customWidth="1"/>
    <col min="6425" max="6425" width="14.85546875" style="58" customWidth="1"/>
    <col min="6426" max="6426" width="17.140625" style="58" customWidth="1"/>
    <col min="6427" max="6427" width="13.5703125" style="58" customWidth="1"/>
    <col min="6428" max="6429" width="14.85546875" style="58" customWidth="1"/>
    <col min="6430" max="6430" width="18.85546875" style="58" customWidth="1"/>
    <col min="6431" max="6431" width="19.42578125" style="58" customWidth="1"/>
    <col min="6432" max="6432" width="16.140625" style="58" customWidth="1"/>
    <col min="6433" max="6433" width="14.5703125" style="58" customWidth="1"/>
    <col min="6434" max="6434" width="20.28515625" style="58" customWidth="1"/>
    <col min="6435" max="6435" width="13.85546875" style="58" customWidth="1"/>
    <col min="6436" max="6436" width="19.140625" style="58" customWidth="1"/>
    <col min="6437" max="6437" width="19.7109375" style="58" customWidth="1"/>
    <col min="6438" max="6438" width="16.5703125" style="58" customWidth="1"/>
    <col min="6439" max="6439" width="19.140625" style="58" customWidth="1"/>
    <col min="6440" max="6442" width="16.5703125" style="58" customWidth="1"/>
    <col min="6443" max="6443" width="15.7109375" style="58" customWidth="1"/>
    <col min="6444" max="6444" width="19.42578125" style="58" customWidth="1"/>
    <col min="6445" max="6445" width="14.85546875" style="58" bestFit="1" customWidth="1"/>
    <col min="6446" max="6446" width="13.7109375" style="58" bestFit="1" customWidth="1"/>
    <col min="6447" max="6447" width="13" style="58" customWidth="1"/>
    <col min="6448" max="6448" width="18.42578125" style="58" customWidth="1"/>
    <col min="6449" max="6451" width="13.140625" style="58" customWidth="1"/>
    <col min="6452" max="6452" width="16.42578125" style="58" customWidth="1"/>
    <col min="6453" max="6453" width="13.140625" style="58" customWidth="1"/>
    <col min="6454" max="6454" width="15.28515625" style="58" customWidth="1"/>
    <col min="6455" max="6455" width="14" style="58" bestFit="1" customWidth="1"/>
    <col min="6456" max="6456" width="17.140625" style="58" customWidth="1"/>
    <col min="6457" max="6478" width="16.5703125" style="58" customWidth="1"/>
    <col min="6479" max="6479" width="20.140625" style="58" customWidth="1"/>
    <col min="6480" max="6480" width="13.28515625" style="58" customWidth="1"/>
    <col min="6481" max="6481" width="14.85546875" style="58" customWidth="1"/>
    <col min="6482" max="6482" width="13.85546875" style="58" customWidth="1"/>
    <col min="6483" max="6483" width="13.5703125" style="58" customWidth="1"/>
    <col min="6484" max="6484" width="13" style="58" customWidth="1"/>
    <col min="6485" max="6485" width="13.5703125" style="58" customWidth="1"/>
    <col min="6486" max="6486" width="7.7109375" style="58" bestFit="1" customWidth="1"/>
    <col min="6487" max="6656" width="9.140625" style="58"/>
    <col min="6657" max="6657" width="4.28515625" style="58" customWidth="1"/>
    <col min="6658" max="6658" width="10.140625" style="58" customWidth="1"/>
    <col min="6659" max="6659" width="8.85546875" style="58" customWidth="1"/>
    <col min="6660" max="6660" width="11.140625" style="58" customWidth="1"/>
    <col min="6661" max="6661" width="15" style="58" bestFit="1" customWidth="1"/>
    <col min="6662" max="6662" width="13.5703125" style="58" customWidth="1"/>
    <col min="6663" max="6663" width="11.42578125" style="58" bestFit="1" customWidth="1"/>
    <col min="6664" max="6664" width="11.28515625" style="58" customWidth="1"/>
    <col min="6665" max="6665" width="15.28515625" style="58" bestFit="1" customWidth="1"/>
    <col min="6666" max="6668" width="11.85546875" style="58" customWidth="1"/>
    <col min="6669" max="6669" width="19.140625" style="58" customWidth="1"/>
    <col min="6670" max="6670" width="15" style="58" customWidth="1"/>
    <col min="6671" max="6671" width="15.28515625" style="58" customWidth="1"/>
    <col min="6672" max="6674" width="18.85546875" style="58" customWidth="1"/>
    <col min="6675" max="6675" width="12.7109375" style="58" customWidth="1"/>
    <col min="6676" max="6676" width="13.7109375" style="58" customWidth="1"/>
    <col min="6677" max="6677" width="16.140625" style="58" customWidth="1"/>
    <col min="6678" max="6678" width="17" style="58" customWidth="1"/>
    <col min="6679" max="6679" width="15" style="58" customWidth="1"/>
    <col min="6680" max="6680" width="14.28515625" style="58" customWidth="1"/>
    <col min="6681" max="6681" width="14.85546875" style="58" customWidth="1"/>
    <col min="6682" max="6682" width="17.140625" style="58" customWidth="1"/>
    <col min="6683" max="6683" width="13.5703125" style="58" customWidth="1"/>
    <col min="6684" max="6685" width="14.85546875" style="58" customWidth="1"/>
    <col min="6686" max="6686" width="18.85546875" style="58" customWidth="1"/>
    <col min="6687" max="6687" width="19.42578125" style="58" customWidth="1"/>
    <col min="6688" max="6688" width="16.140625" style="58" customWidth="1"/>
    <col min="6689" max="6689" width="14.5703125" style="58" customWidth="1"/>
    <col min="6690" max="6690" width="20.28515625" style="58" customWidth="1"/>
    <col min="6691" max="6691" width="13.85546875" style="58" customWidth="1"/>
    <col min="6692" max="6692" width="19.140625" style="58" customWidth="1"/>
    <col min="6693" max="6693" width="19.7109375" style="58" customWidth="1"/>
    <col min="6694" max="6694" width="16.5703125" style="58" customWidth="1"/>
    <col min="6695" max="6695" width="19.140625" style="58" customWidth="1"/>
    <col min="6696" max="6698" width="16.5703125" style="58" customWidth="1"/>
    <col min="6699" max="6699" width="15.7109375" style="58" customWidth="1"/>
    <col min="6700" max="6700" width="19.42578125" style="58" customWidth="1"/>
    <col min="6701" max="6701" width="14.85546875" style="58" bestFit="1" customWidth="1"/>
    <col min="6702" max="6702" width="13.7109375" style="58" bestFit="1" customWidth="1"/>
    <col min="6703" max="6703" width="13" style="58" customWidth="1"/>
    <col min="6704" max="6704" width="18.42578125" style="58" customWidth="1"/>
    <col min="6705" max="6707" width="13.140625" style="58" customWidth="1"/>
    <col min="6708" max="6708" width="16.42578125" style="58" customWidth="1"/>
    <col min="6709" max="6709" width="13.140625" style="58" customWidth="1"/>
    <col min="6710" max="6710" width="15.28515625" style="58" customWidth="1"/>
    <col min="6711" max="6711" width="14" style="58" bestFit="1" customWidth="1"/>
    <col min="6712" max="6712" width="17.140625" style="58" customWidth="1"/>
    <col min="6713" max="6734" width="16.5703125" style="58" customWidth="1"/>
    <col min="6735" max="6735" width="20.140625" style="58" customWidth="1"/>
    <col min="6736" max="6736" width="13.28515625" style="58" customWidth="1"/>
    <col min="6737" max="6737" width="14.85546875" style="58" customWidth="1"/>
    <col min="6738" max="6738" width="13.85546875" style="58" customWidth="1"/>
    <col min="6739" max="6739" width="13.5703125" style="58" customWidth="1"/>
    <col min="6740" max="6740" width="13" style="58" customWidth="1"/>
    <col min="6741" max="6741" width="13.5703125" style="58" customWidth="1"/>
    <col min="6742" max="6742" width="7.7109375" style="58" bestFit="1" customWidth="1"/>
    <col min="6743" max="6912" width="9.140625" style="58"/>
    <col min="6913" max="6913" width="4.28515625" style="58" customWidth="1"/>
    <col min="6914" max="6914" width="10.140625" style="58" customWidth="1"/>
    <col min="6915" max="6915" width="8.85546875" style="58" customWidth="1"/>
    <col min="6916" max="6916" width="11.140625" style="58" customWidth="1"/>
    <col min="6917" max="6917" width="15" style="58" bestFit="1" customWidth="1"/>
    <col min="6918" max="6918" width="13.5703125" style="58" customWidth="1"/>
    <col min="6919" max="6919" width="11.42578125" style="58" bestFit="1" customWidth="1"/>
    <col min="6920" max="6920" width="11.28515625" style="58" customWidth="1"/>
    <col min="6921" max="6921" width="15.28515625" style="58" bestFit="1" customWidth="1"/>
    <col min="6922" max="6924" width="11.85546875" style="58" customWidth="1"/>
    <col min="6925" max="6925" width="19.140625" style="58" customWidth="1"/>
    <col min="6926" max="6926" width="15" style="58" customWidth="1"/>
    <col min="6927" max="6927" width="15.28515625" style="58" customWidth="1"/>
    <col min="6928" max="6930" width="18.85546875" style="58" customWidth="1"/>
    <col min="6931" max="6931" width="12.7109375" style="58" customWidth="1"/>
    <col min="6932" max="6932" width="13.7109375" style="58" customWidth="1"/>
    <col min="6933" max="6933" width="16.140625" style="58" customWidth="1"/>
    <col min="6934" max="6934" width="17" style="58" customWidth="1"/>
    <col min="6935" max="6935" width="15" style="58" customWidth="1"/>
    <col min="6936" max="6936" width="14.28515625" style="58" customWidth="1"/>
    <col min="6937" max="6937" width="14.85546875" style="58" customWidth="1"/>
    <col min="6938" max="6938" width="17.140625" style="58" customWidth="1"/>
    <col min="6939" max="6939" width="13.5703125" style="58" customWidth="1"/>
    <col min="6940" max="6941" width="14.85546875" style="58" customWidth="1"/>
    <col min="6942" max="6942" width="18.85546875" style="58" customWidth="1"/>
    <col min="6943" max="6943" width="19.42578125" style="58" customWidth="1"/>
    <col min="6944" max="6944" width="16.140625" style="58" customWidth="1"/>
    <col min="6945" max="6945" width="14.5703125" style="58" customWidth="1"/>
    <col min="6946" max="6946" width="20.28515625" style="58" customWidth="1"/>
    <col min="6947" max="6947" width="13.85546875" style="58" customWidth="1"/>
    <col min="6948" max="6948" width="19.140625" style="58" customWidth="1"/>
    <col min="6949" max="6949" width="19.7109375" style="58" customWidth="1"/>
    <col min="6950" max="6950" width="16.5703125" style="58" customWidth="1"/>
    <col min="6951" max="6951" width="19.140625" style="58" customWidth="1"/>
    <col min="6952" max="6954" width="16.5703125" style="58" customWidth="1"/>
    <col min="6955" max="6955" width="15.7109375" style="58" customWidth="1"/>
    <col min="6956" max="6956" width="19.42578125" style="58" customWidth="1"/>
    <col min="6957" max="6957" width="14.85546875" style="58" bestFit="1" customWidth="1"/>
    <col min="6958" max="6958" width="13.7109375" style="58" bestFit="1" customWidth="1"/>
    <col min="6959" max="6959" width="13" style="58" customWidth="1"/>
    <col min="6960" max="6960" width="18.42578125" style="58" customWidth="1"/>
    <col min="6961" max="6963" width="13.140625" style="58" customWidth="1"/>
    <col min="6964" max="6964" width="16.42578125" style="58" customWidth="1"/>
    <col min="6965" max="6965" width="13.140625" style="58" customWidth="1"/>
    <col min="6966" max="6966" width="15.28515625" style="58" customWidth="1"/>
    <col min="6967" max="6967" width="14" style="58" bestFit="1" customWidth="1"/>
    <col min="6968" max="6968" width="17.140625" style="58" customWidth="1"/>
    <col min="6969" max="6990" width="16.5703125" style="58" customWidth="1"/>
    <col min="6991" max="6991" width="20.140625" style="58" customWidth="1"/>
    <col min="6992" max="6992" width="13.28515625" style="58" customWidth="1"/>
    <col min="6993" max="6993" width="14.85546875" style="58" customWidth="1"/>
    <col min="6994" max="6994" width="13.85546875" style="58" customWidth="1"/>
    <col min="6995" max="6995" width="13.5703125" style="58" customWidth="1"/>
    <col min="6996" max="6996" width="13" style="58" customWidth="1"/>
    <col min="6997" max="6997" width="13.5703125" style="58" customWidth="1"/>
    <col min="6998" max="6998" width="7.7109375" style="58" bestFit="1" customWidth="1"/>
    <col min="6999" max="7168" width="9.140625" style="58"/>
    <col min="7169" max="7169" width="4.28515625" style="58" customWidth="1"/>
    <col min="7170" max="7170" width="10.140625" style="58" customWidth="1"/>
    <col min="7171" max="7171" width="8.85546875" style="58" customWidth="1"/>
    <col min="7172" max="7172" width="11.140625" style="58" customWidth="1"/>
    <col min="7173" max="7173" width="15" style="58" bestFit="1" customWidth="1"/>
    <col min="7174" max="7174" width="13.5703125" style="58" customWidth="1"/>
    <col min="7175" max="7175" width="11.42578125" style="58" bestFit="1" customWidth="1"/>
    <col min="7176" max="7176" width="11.28515625" style="58" customWidth="1"/>
    <col min="7177" max="7177" width="15.28515625" style="58" bestFit="1" customWidth="1"/>
    <col min="7178" max="7180" width="11.85546875" style="58" customWidth="1"/>
    <col min="7181" max="7181" width="19.140625" style="58" customWidth="1"/>
    <col min="7182" max="7182" width="15" style="58" customWidth="1"/>
    <col min="7183" max="7183" width="15.28515625" style="58" customWidth="1"/>
    <col min="7184" max="7186" width="18.85546875" style="58" customWidth="1"/>
    <col min="7187" max="7187" width="12.7109375" style="58" customWidth="1"/>
    <col min="7188" max="7188" width="13.7109375" style="58" customWidth="1"/>
    <col min="7189" max="7189" width="16.140625" style="58" customWidth="1"/>
    <col min="7190" max="7190" width="17" style="58" customWidth="1"/>
    <col min="7191" max="7191" width="15" style="58" customWidth="1"/>
    <col min="7192" max="7192" width="14.28515625" style="58" customWidth="1"/>
    <col min="7193" max="7193" width="14.85546875" style="58" customWidth="1"/>
    <col min="7194" max="7194" width="17.140625" style="58" customWidth="1"/>
    <col min="7195" max="7195" width="13.5703125" style="58" customWidth="1"/>
    <col min="7196" max="7197" width="14.85546875" style="58" customWidth="1"/>
    <col min="7198" max="7198" width="18.85546875" style="58" customWidth="1"/>
    <col min="7199" max="7199" width="19.42578125" style="58" customWidth="1"/>
    <col min="7200" max="7200" width="16.140625" style="58" customWidth="1"/>
    <col min="7201" max="7201" width="14.5703125" style="58" customWidth="1"/>
    <col min="7202" max="7202" width="20.28515625" style="58" customWidth="1"/>
    <col min="7203" max="7203" width="13.85546875" style="58" customWidth="1"/>
    <col min="7204" max="7204" width="19.140625" style="58" customWidth="1"/>
    <col min="7205" max="7205" width="19.7109375" style="58" customWidth="1"/>
    <col min="7206" max="7206" width="16.5703125" style="58" customWidth="1"/>
    <col min="7207" max="7207" width="19.140625" style="58" customWidth="1"/>
    <col min="7208" max="7210" width="16.5703125" style="58" customWidth="1"/>
    <col min="7211" max="7211" width="15.7109375" style="58" customWidth="1"/>
    <col min="7212" max="7212" width="19.42578125" style="58" customWidth="1"/>
    <col min="7213" max="7213" width="14.85546875" style="58" bestFit="1" customWidth="1"/>
    <col min="7214" max="7214" width="13.7109375" style="58" bestFit="1" customWidth="1"/>
    <col min="7215" max="7215" width="13" style="58" customWidth="1"/>
    <col min="7216" max="7216" width="18.42578125" style="58" customWidth="1"/>
    <col min="7217" max="7219" width="13.140625" style="58" customWidth="1"/>
    <col min="7220" max="7220" width="16.42578125" style="58" customWidth="1"/>
    <col min="7221" max="7221" width="13.140625" style="58" customWidth="1"/>
    <col min="7222" max="7222" width="15.28515625" style="58" customWidth="1"/>
    <col min="7223" max="7223" width="14" style="58" bestFit="1" customWidth="1"/>
    <col min="7224" max="7224" width="17.140625" style="58" customWidth="1"/>
    <col min="7225" max="7246" width="16.5703125" style="58" customWidth="1"/>
    <col min="7247" max="7247" width="20.140625" style="58" customWidth="1"/>
    <col min="7248" max="7248" width="13.28515625" style="58" customWidth="1"/>
    <col min="7249" max="7249" width="14.85546875" style="58" customWidth="1"/>
    <col min="7250" max="7250" width="13.85546875" style="58" customWidth="1"/>
    <col min="7251" max="7251" width="13.5703125" style="58" customWidth="1"/>
    <col min="7252" max="7252" width="13" style="58" customWidth="1"/>
    <col min="7253" max="7253" width="13.5703125" style="58" customWidth="1"/>
    <col min="7254" max="7254" width="7.7109375" style="58" bestFit="1" customWidth="1"/>
    <col min="7255" max="7424" width="9.140625" style="58"/>
    <col min="7425" max="7425" width="4.28515625" style="58" customWidth="1"/>
    <col min="7426" max="7426" width="10.140625" style="58" customWidth="1"/>
    <col min="7427" max="7427" width="8.85546875" style="58" customWidth="1"/>
    <col min="7428" max="7428" width="11.140625" style="58" customWidth="1"/>
    <col min="7429" max="7429" width="15" style="58" bestFit="1" customWidth="1"/>
    <col min="7430" max="7430" width="13.5703125" style="58" customWidth="1"/>
    <col min="7431" max="7431" width="11.42578125" style="58" bestFit="1" customWidth="1"/>
    <col min="7432" max="7432" width="11.28515625" style="58" customWidth="1"/>
    <col min="7433" max="7433" width="15.28515625" style="58" bestFit="1" customWidth="1"/>
    <col min="7434" max="7436" width="11.85546875" style="58" customWidth="1"/>
    <col min="7437" max="7437" width="19.140625" style="58" customWidth="1"/>
    <col min="7438" max="7438" width="15" style="58" customWidth="1"/>
    <col min="7439" max="7439" width="15.28515625" style="58" customWidth="1"/>
    <col min="7440" max="7442" width="18.85546875" style="58" customWidth="1"/>
    <col min="7443" max="7443" width="12.7109375" style="58" customWidth="1"/>
    <col min="7444" max="7444" width="13.7109375" style="58" customWidth="1"/>
    <col min="7445" max="7445" width="16.140625" style="58" customWidth="1"/>
    <col min="7446" max="7446" width="17" style="58" customWidth="1"/>
    <col min="7447" max="7447" width="15" style="58" customWidth="1"/>
    <col min="7448" max="7448" width="14.28515625" style="58" customWidth="1"/>
    <col min="7449" max="7449" width="14.85546875" style="58" customWidth="1"/>
    <col min="7450" max="7450" width="17.140625" style="58" customWidth="1"/>
    <col min="7451" max="7451" width="13.5703125" style="58" customWidth="1"/>
    <col min="7452" max="7453" width="14.85546875" style="58" customWidth="1"/>
    <col min="7454" max="7454" width="18.85546875" style="58" customWidth="1"/>
    <col min="7455" max="7455" width="19.42578125" style="58" customWidth="1"/>
    <col min="7456" max="7456" width="16.140625" style="58" customWidth="1"/>
    <col min="7457" max="7457" width="14.5703125" style="58" customWidth="1"/>
    <col min="7458" max="7458" width="20.28515625" style="58" customWidth="1"/>
    <col min="7459" max="7459" width="13.85546875" style="58" customWidth="1"/>
    <col min="7460" max="7460" width="19.140625" style="58" customWidth="1"/>
    <col min="7461" max="7461" width="19.7109375" style="58" customWidth="1"/>
    <col min="7462" max="7462" width="16.5703125" style="58" customWidth="1"/>
    <col min="7463" max="7463" width="19.140625" style="58" customWidth="1"/>
    <col min="7464" max="7466" width="16.5703125" style="58" customWidth="1"/>
    <col min="7467" max="7467" width="15.7109375" style="58" customWidth="1"/>
    <col min="7468" max="7468" width="19.42578125" style="58" customWidth="1"/>
    <col min="7469" max="7469" width="14.85546875" style="58" bestFit="1" customWidth="1"/>
    <col min="7470" max="7470" width="13.7109375" style="58" bestFit="1" customWidth="1"/>
    <col min="7471" max="7471" width="13" style="58" customWidth="1"/>
    <col min="7472" max="7472" width="18.42578125" style="58" customWidth="1"/>
    <col min="7473" max="7475" width="13.140625" style="58" customWidth="1"/>
    <col min="7476" max="7476" width="16.42578125" style="58" customWidth="1"/>
    <col min="7477" max="7477" width="13.140625" style="58" customWidth="1"/>
    <col min="7478" max="7478" width="15.28515625" style="58" customWidth="1"/>
    <col min="7479" max="7479" width="14" style="58" bestFit="1" customWidth="1"/>
    <col min="7480" max="7480" width="17.140625" style="58" customWidth="1"/>
    <col min="7481" max="7502" width="16.5703125" style="58" customWidth="1"/>
    <col min="7503" max="7503" width="20.140625" style="58" customWidth="1"/>
    <col min="7504" max="7504" width="13.28515625" style="58" customWidth="1"/>
    <col min="7505" max="7505" width="14.85546875" style="58" customWidth="1"/>
    <col min="7506" max="7506" width="13.85546875" style="58" customWidth="1"/>
    <col min="7507" max="7507" width="13.5703125" style="58" customWidth="1"/>
    <col min="7508" max="7508" width="13" style="58" customWidth="1"/>
    <col min="7509" max="7509" width="13.5703125" style="58" customWidth="1"/>
    <col min="7510" max="7510" width="7.7109375" style="58" bestFit="1" customWidth="1"/>
    <col min="7511" max="7680" width="9.140625" style="58"/>
    <col min="7681" max="7681" width="4.28515625" style="58" customWidth="1"/>
    <col min="7682" max="7682" width="10.140625" style="58" customWidth="1"/>
    <col min="7683" max="7683" width="8.85546875" style="58" customWidth="1"/>
    <col min="7684" max="7684" width="11.140625" style="58" customWidth="1"/>
    <col min="7685" max="7685" width="15" style="58" bestFit="1" customWidth="1"/>
    <col min="7686" max="7686" width="13.5703125" style="58" customWidth="1"/>
    <col min="7687" max="7687" width="11.42578125" style="58" bestFit="1" customWidth="1"/>
    <col min="7688" max="7688" width="11.28515625" style="58" customWidth="1"/>
    <col min="7689" max="7689" width="15.28515625" style="58" bestFit="1" customWidth="1"/>
    <col min="7690" max="7692" width="11.85546875" style="58" customWidth="1"/>
    <col min="7693" max="7693" width="19.140625" style="58" customWidth="1"/>
    <col min="7694" max="7694" width="15" style="58" customWidth="1"/>
    <col min="7695" max="7695" width="15.28515625" style="58" customWidth="1"/>
    <col min="7696" max="7698" width="18.85546875" style="58" customWidth="1"/>
    <col min="7699" max="7699" width="12.7109375" style="58" customWidth="1"/>
    <col min="7700" max="7700" width="13.7109375" style="58" customWidth="1"/>
    <col min="7701" max="7701" width="16.140625" style="58" customWidth="1"/>
    <col min="7702" max="7702" width="17" style="58" customWidth="1"/>
    <col min="7703" max="7703" width="15" style="58" customWidth="1"/>
    <col min="7704" max="7704" width="14.28515625" style="58" customWidth="1"/>
    <col min="7705" max="7705" width="14.85546875" style="58" customWidth="1"/>
    <col min="7706" max="7706" width="17.140625" style="58" customWidth="1"/>
    <col min="7707" max="7707" width="13.5703125" style="58" customWidth="1"/>
    <col min="7708" max="7709" width="14.85546875" style="58" customWidth="1"/>
    <col min="7710" max="7710" width="18.85546875" style="58" customWidth="1"/>
    <col min="7711" max="7711" width="19.42578125" style="58" customWidth="1"/>
    <col min="7712" max="7712" width="16.140625" style="58" customWidth="1"/>
    <col min="7713" max="7713" width="14.5703125" style="58" customWidth="1"/>
    <col min="7714" max="7714" width="20.28515625" style="58" customWidth="1"/>
    <col min="7715" max="7715" width="13.85546875" style="58" customWidth="1"/>
    <col min="7716" max="7716" width="19.140625" style="58" customWidth="1"/>
    <col min="7717" max="7717" width="19.7109375" style="58" customWidth="1"/>
    <col min="7718" max="7718" width="16.5703125" style="58" customWidth="1"/>
    <col min="7719" max="7719" width="19.140625" style="58" customWidth="1"/>
    <col min="7720" max="7722" width="16.5703125" style="58" customWidth="1"/>
    <col min="7723" max="7723" width="15.7109375" style="58" customWidth="1"/>
    <col min="7724" max="7724" width="19.42578125" style="58" customWidth="1"/>
    <col min="7725" max="7725" width="14.85546875" style="58" bestFit="1" customWidth="1"/>
    <col min="7726" max="7726" width="13.7109375" style="58" bestFit="1" customWidth="1"/>
    <col min="7727" max="7727" width="13" style="58" customWidth="1"/>
    <col min="7728" max="7728" width="18.42578125" style="58" customWidth="1"/>
    <col min="7729" max="7731" width="13.140625" style="58" customWidth="1"/>
    <col min="7732" max="7732" width="16.42578125" style="58" customWidth="1"/>
    <col min="7733" max="7733" width="13.140625" style="58" customWidth="1"/>
    <col min="7734" max="7734" width="15.28515625" style="58" customWidth="1"/>
    <col min="7735" max="7735" width="14" style="58" bestFit="1" customWidth="1"/>
    <col min="7736" max="7736" width="17.140625" style="58" customWidth="1"/>
    <col min="7737" max="7758" width="16.5703125" style="58" customWidth="1"/>
    <col min="7759" max="7759" width="20.140625" style="58" customWidth="1"/>
    <col min="7760" max="7760" width="13.28515625" style="58" customWidth="1"/>
    <col min="7761" max="7761" width="14.85546875" style="58" customWidth="1"/>
    <col min="7762" max="7762" width="13.85546875" style="58" customWidth="1"/>
    <col min="7763" max="7763" width="13.5703125" style="58" customWidth="1"/>
    <col min="7764" max="7764" width="13" style="58" customWidth="1"/>
    <col min="7765" max="7765" width="13.5703125" style="58" customWidth="1"/>
    <col min="7766" max="7766" width="7.7109375" style="58" bestFit="1" customWidth="1"/>
    <col min="7767" max="7936" width="9.140625" style="58"/>
    <col min="7937" max="7937" width="4.28515625" style="58" customWidth="1"/>
    <col min="7938" max="7938" width="10.140625" style="58" customWidth="1"/>
    <col min="7939" max="7939" width="8.85546875" style="58" customWidth="1"/>
    <col min="7940" max="7940" width="11.140625" style="58" customWidth="1"/>
    <col min="7941" max="7941" width="15" style="58" bestFit="1" customWidth="1"/>
    <col min="7942" max="7942" width="13.5703125" style="58" customWidth="1"/>
    <col min="7943" max="7943" width="11.42578125" style="58" bestFit="1" customWidth="1"/>
    <col min="7944" max="7944" width="11.28515625" style="58" customWidth="1"/>
    <col min="7945" max="7945" width="15.28515625" style="58" bestFit="1" customWidth="1"/>
    <col min="7946" max="7948" width="11.85546875" style="58" customWidth="1"/>
    <col min="7949" max="7949" width="19.140625" style="58" customWidth="1"/>
    <col min="7950" max="7950" width="15" style="58" customWidth="1"/>
    <col min="7951" max="7951" width="15.28515625" style="58" customWidth="1"/>
    <col min="7952" max="7954" width="18.85546875" style="58" customWidth="1"/>
    <col min="7955" max="7955" width="12.7109375" style="58" customWidth="1"/>
    <col min="7956" max="7956" width="13.7109375" style="58" customWidth="1"/>
    <col min="7957" max="7957" width="16.140625" style="58" customWidth="1"/>
    <col min="7958" max="7958" width="17" style="58" customWidth="1"/>
    <col min="7959" max="7959" width="15" style="58" customWidth="1"/>
    <col min="7960" max="7960" width="14.28515625" style="58" customWidth="1"/>
    <col min="7961" max="7961" width="14.85546875" style="58" customWidth="1"/>
    <col min="7962" max="7962" width="17.140625" style="58" customWidth="1"/>
    <col min="7963" max="7963" width="13.5703125" style="58" customWidth="1"/>
    <col min="7964" max="7965" width="14.85546875" style="58" customWidth="1"/>
    <col min="7966" max="7966" width="18.85546875" style="58" customWidth="1"/>
    <col min="7967" max="7967" width="19.42578125" style="58" customWidth="1"/>
    <col min="7968" max="7968" width="16.140625" style="58" customWidth="1"/>
    <col min="7969" max="7969" width="14.5703125" style="58" customWidth="1"/>
    <col min="7970" max="7970" width="20.28515625" style="58" customWidth="1"/>
    <col min="7971" max="7971" width="13.85546875" style="58" customWidth="1"/>
    <col min="7972" max="7972" width="19.140625" style="58" customWidth="1"/>
    <col min="7973" max="7973" width="19.7109375" style="58" customWidth="1"/>
    <col min="7974" max="7974" width="16.5703125" style="58" customWidth="1"/>
    <col min="7975" max="7975" width="19.140625" style="58" customWidth="1"/>
    <col min="7976" max="7978" width="16.5703125" style="58" customWidth="1"/>
    <col min="7979" max="7979" width="15.7109375" style="58" customWidth="1"/>
    <col min="7980" max="7980" width="19.42578125" style="58" customWidth="1"/>
    <col min="7981" max="7981" width="14.85546875" style="58" bestFit="1" customWidth="1"/>
    <col min="7982" max="7982" width="13.7109375" style="58" bestFit="1" customWidth="1"/>
    <col min="7983" max="7983" width="13" style="58" customWidth="1"/>
    <col min="7984" max="7984" width="18.42578125" style="58" customWidth="1"/>
    <col min="7985" max="7987" width="13.140625" style="58" customWidth="1"/>
    <col min="7988" max="7988" width="16.42578125" style="58" customWidth="1"/>
    <col min="7989" max="7989" width="13.140625" style="58" customWidth="1"/>
    <col min="7990" max="7990" width="15.28515625" style="58" customWidth="1"/>
    <col min="7991" max="7991" width="14" style="58" bestFit="1" customWidth="1"/>
    <col min="7992" max="7992" width="17.140625" style="58" customWidth="1"/>
    <col min="7993" max="8014" width="16.5703125" style="58" customWidth="1"/>
    <col min="8015" max="8015" width="20.140625" style="58" customWidth="1"/>
    <col min="8016" max="8016" width="13.28515625" style="58" customWidth="1"/>
    <col min="8017" max="8017" width="14.85546875" style="58" customWidth="1"/>
    <col min="8018" max="8018" width="13.85546875" style="58" customWidth="1"/>
    <col min="8019" max="8019" width="13.5703125" style="58" customWidth="1"/>
    <col min="8020" max="8020" width="13" style="58" customWidth="1"/>
    <col min="8021" max="8021" width="13.5703125" style="58" customWidth="1"/>
    <col min="8022" max="8022" width="7.7109375" style="58" bestFit="1" customWidth="1"/>
    <col min="8023" max="8192" width="9.140625" style="58"/>
    <col min="8193" max="8193" width="4.28515625" style="58" customWidth="1"/>
    <col min="8194" max="8194" width="10.140625" style="58" customWidth="1"/>
    <col min="8195" max="8195" width="8.85546875" style="58" customWidth="1"/>
    <col min="8196" max="8196" width="11.140625" style="58" customWidth="1"/>
    <col min="8197" max="8197" width="15" style="58" bestFit="1" customWidth="1"/>
    <col min="8198" max="8198" width="13.5703125" style="58" customWidth="1"/>
    <col min="8199" max="8199" width="11.42578125" style="58" bestFit="1" customWidth="1"/>
    <col min="8200" max="8200" width="11.28515625" style="58" customWidth="1"/>
    <col min="8201" max="8201" width="15.28515625" style="58" bestFit="1" customWidth="1"/>
    <col min="8202" max="8204" width="11.85546875" style="58" customWidth="1"/>
    <col min="8205" max="8205" width="19.140625" style="58" customWidth="1"/>
    <col min="8206" max="8206" width="15" style="58" customWidth="1"/>
    <col min="8207" max="8207" width="15.28515625" style="58" customWidth="1"/>
    <col min="8208" max="8210" width="18.85546875" style="58" customWidth="1"/>
    <col min="8211" max="8211" width="12.7109375" style="58" customWidth="1"/>
    <col min="8212" max="8212" width="13.7109375" style="58" customWidth="1"/>
    <col min="8213" max="8213" width="16.140625" style="58" customWidth="1"/>
    <col min="8214" max="8214" width="17" style="58" customWidth="1"/>
    <col min="8215" max="8215" width="15" style="58" customWidth="1"/>
    <col min="8216" max="8216" width="14.28515625" style="58" customWidth="1"/>
    <col min="8217" max="8217" width="14.85546875" style="58" customWidth="1"/>
    <col min="8218" max="8218" width="17.140625" style="58" customWidth="1"/>
    <col min="8219" max="8219" width="13.5703125" style="58" customWidth="1"/>
    <col min="8220" max="8221" width="14.85546875" style="58" customWidth="1"/>
    <col min="8222" max="8222" width="18.85546875" style="58" customWidth="1"/>
    <col min="8223" max="8223" width="19.42578125" style="58" customWidth="1"/>
    <col min="8224" max="8224" width="16.140625" style="58" customWidth="1"/>
    <col min="8225" max="8225" width="14.5703125" style="58" customWidth="1"/>
    <col min="8226" max="8226" width="20.28515625" style="58" customWidth="1"/>
    <col min="8227" max="8227" width="13.85546875" style="58" customWidth="1"/>
    <col min="8228" max="8228" width="19.140625" style="58" customWidth="1"/>
    <col min="8229" max="8229" width="19.7109375" style="58" customWidth="1"/>
    <col min="8230" max="8230" width="16.5703125" style="58" customWidth="1"/>
    <col min="8231" max="8231" width="19.140625" style="58" customWidth="1"/>
    <col min="8232" max="8234" width="16.5703125" style="58" customWidth="1"/>
    <col min="8235" max="8235" width="15.7109375" style="58" customWidth="1"/>
    <col min="8236" max="8236" width="19.42578125" style="58" customWidth="1"/>
    <col min="8237" max="8237" width="14.85546875" style="58" bestFit="1" customWidth="1"/>
    <col min="8238" max="8238" width="13.7109375" style="58" bestFit="1" customWidth="1"/>
    <col min="8239" max="8239" width="13" style="58" customWidth="1"/>
    <col min="8240" max="8240" width="18.42578125" style="58" customWidth="1"/>
    <col min="8241" max="8243" width="13.140625" style="58" customWidth="1"/>
    <col min="8244" max="8244" width="16.42578125" style="58" customWidth="1"/>
    <col min="8245" max="8245" width="13.140625" style="58" customWidth="1"/>
    <col min="8246" max="8246" width="15.28515625" style="58" customWidth="1"/>
    <col min="8247" max="8247" width="14" style="58" bestFit="1" customWidth="1"/>
    <col min="8248" max="8248" width="17.140625" style="58" customWidth="1"/>
    <col min="8249" max="8270" width="16.5703125" style="58" customWidth="1"/>
    <col min="8271" max="8271" width="20.140625" style="58" customWidth="1"/>
    <col min="8272" max="8272" width="13.28515625" style="58" customWidth="1"/>
    <col min="8273" max="8273" width="14.85546875" style="58" customWidth="1"/>
    <col min="8274" max="8274" width="13.85546875" style="58" customWidth="1"/>
    <col min="8275" max="8275" width="13.5703125" style="58" customWidth="1"/>
    <col min="8276" max="8276" width="13" style="58" customWidth="1"/>
    <col min="8277" max="8277" width="13.5703125" style="58" customWidth="1"/>
    <col min="8278" max="8278" width="7.7109375" style="58" bestFit="1" customWidth="1"/>
    <col min="8279" max="8448" width="9.140625" style="58"/>
    <col min="8449" max="8449" width="4.28515625" style="58" customWidth="1"/>
    <col min="8450" max="8450" width="10.140625" style="58" customWidth="1"/>
    <col min="8451" max="8451" width="8.85546875" style="58" customWidth="1"/>
    <col min="8452" max="8452" width="11.140625" style="58" customWidth="1"/>
    <col min="8453" max="8453" width="15" style="58" bestFit="1" customWidth="1"/>
    <col min="8454" max="8454" width="13.5703125" style="58" customWidth="1"/>
    <col min="8455" max="8455" width="11.42578125" style="58" bestFit="1" customWidth="1"/>
    <col min="8456" max="8456" width="11.28515625" style="58" customWidth="1"/>
    <col min="8457" max="8457" width="15.28515625" style="58" bestFit="1" customWidth="1"/>
    <col min="8458" max="8460" width="11.85546875" style="58" customWidth="1"/>
    <col min="8461" max="8461" width="19.140625" style="58" customWidth="1"/>
    <col min="8462" max="8462" width="15" style="58" customWidth="1"/>
    <col min="8463" max="8463" width="15.28515625" style="58" customWidth="1"/>
    <col min="8464" max="8466" width="18.85546875" style="58" customWidth="1"/>
    <col min="8467" max="8467" width="12.7109375" style="58" customWidth="1"/>
    <col min="8468" max="8468" width="13.7109375" style="58" customWidth="1"/>
    <col min="8469" max="8469" width="16.140625" style="58" customWidth="1"/>
    <col min="8470" max="8470" width="17" style="58" customWidth="1"/>
    <col min="8471" max="8471" width="15" style="58" customWidth="1"/>
    <col min="8472" max="8472" width="14.28515625" style="58" customWidth="1"/>
    <col min="8473" max="8473" width="14.85546875" style="58" customWidth="1"/>
    <col min="8474" max="8474" width="17.140625" style="58" customWidth="1"/>
    <col min="8475" max="8475" width="13.5703125" style="58" customWidth="1"/>
    <col min="8476" max="8477" width="14.85546875" style="58" customWidth="1"/>
    <col min="8478" max="8478" width="18.85546875" style="58" customWidth="1"/>
    <col min="8479" max="8479" width="19.42578125" style="58" customWidth="1"/>
    <col min="8480" max="8480" width="16.140625" style="58" customWidth="1"/>
    <col min="8481" max="8481" width="14.5703125" style="58" customWidth="1"/>
    <col min="8482" max="8482" width="20.28515625" style="58" customWidth="1"/>
    <col min="8483" max="8483" width="13.85546875" style="58" customWidth="1"/>
    <col min="8484" max="8484" width="19.140625" style="58" customWidth="1"/>
    <col min="8485" max="8485" width="19.7109375" style="58" customWidth="1"/>
    <col min="8486" max="8486" width="16.5703125" style="58" customWidth="1"/>
    <col min="8487" max="8487" width="19.140625" style="58" customWidth="1"/>
    <col min="8488" max="8490" width="16.5703125" style="58" customWidth="1"/>
    <col min="8491" max="8491" width="15.7109375" style="58" customWidth="1"/>
    <col min="8492" max="8492" width="19.42578125" style="58" customWidth="1"/>
    <col min="8493" max="8493" width="14.85546875" style="58" bestFit="1" customWidth="1"/>
    <col min="8494" max="8494" width="13.7109375" style="58" bestFit="1" customWidth="1"/>
    <col min="8495" max="8495" width="13" style="58" customWidth="1"/>
    <col min="8496" max="8496" width="18.42578125" style="58" customWidth="1"/>
    <col min="8497" max="8499" width="13.140625" style="58" customWidth="1"/>
    <col min="8500" max="8500" width="16.42578125" style="58" customWidth="1"/>
    <col min="8501" max="8501" width="13.140625" style="58" customWidth="1"/>
    <col min="8502" max="8502" width="15.28515625" style="58" customWidth="1"/>
    <col min="8503" max="8503" width="14" style="58" bestFit="1" customWidth="1"/>
    <col min="8504" max="8504" width="17.140625" style="58" customWidth="1"/>
    <col min="8505" max="8526" width="16.5703125" style="58" customWidth="1"/>
    <col min="8527" max="8527" width="20.140625" style="58" customWidth="1"/>
    <col min="8528" max="8528" width="13.28515625" style="58" customWidth="1"/>
    <col min="8529" max="8529" width="14.85546875" style="58" customWidth="1"/>
    <col min="8530" max="8530" width="13.85546875" style="58" customWidth="1"/>
    <col min="8531" max="8531" width="13.5703125" style="58" customWidth="1"/>
    <col min="8532" max="8532" width="13" style="58" customWidth="1"/>
    <col min="8533" max="8533" width="13.5703125" style="58" customWidth="1"/>
    <col min="8534" max="8534" width="7.7109375" style="58" bestFit="1" customWidth="1"/>
    <col min="8535" max="8704" width="9.140625" style="58"/>
    <col min="8705" max="8705" width="4.28515625" style="58" customWidth="1"/>
    <col min="8706" max="8706" width="10.140625" style="58" customWidth="1"/>
    <col min="8707" max="8707" width="8.85546875" style="58" customWidth="1"/>
    <col min="8708" max="8708" width="11.140625" style="58" customWidth="1"/>
    <col min="8709" max="8709" width="15" style="58" bestFit="1" customWidth="1"/>
    <col min="8710" max="8710" width="13.5703125" style="58" customWidth="1"/>
    <col min="8711" max="8711" width="11.42578125" style="58" bestFit="1" customWidth="1"/>
    <col min="8712" max="8712" width="11.28515625" style="58" customWidth="1"/>
    <col min="8713" max="8713" width="15.28515625" style="58" bestFit="1" customWidth="1"/>
    <col min="8714" max="8716" width="11.85546875" style="58" customWidth="1"/>
    <col min="8717" max="8717" width="19.140625" style="58" customWidth="1"/>
    <col min="8718" max="8718" width="15" style="58" customWidth="1"/>
    <col min="8719" max="8719" width="15.28515625" style="58" customWidth="1"/>
    <col min="8720" max="8722" width="18.85546875" style="58" customWidth="1"/>
    <col min="8723" max="8723" width="12.7109375" style="58" customWidth="1"/>
    <col min="8724" max="8724" width="13.7109375" style="58" customWidth="1"/>
    <col min="8725" max="8725" width="16.140625" style="58" customWidth="1"/>
    <col min="8726" max="8726" width="17" style="58" customWidth="1"/>
    <col min="8727" max="8727" width="15" style="58" customWidth="1"/>
    <col min="8728" max="8728" width="14.28515625" style="58" customWidth="1"/>
    <col min="8729" max="8729" width="14.85546875" style="58" customWidth="1"/>
    <col min="8730" max="8730" width="17.140625" style="58" customWidth="1"/>
    <col min="8731" max="8731" width="13.5703125" style="58" customWidth="1"/>
    <col min="8732" max="8733" width="14.85546875" style="58" customWidth="1"/>
    <col min="8734" max="8734" width="18.85546875" style="58" customWidth="1"/>
    <col min="8735" max="8735" width="19.42578125" style="58" customWidth="1"/>
    <col min="8736" max="8736" width="16.140625" style="58" customWidth="1"/>
    <col min="8737" max="8737" width="14.5703125" style="58" customWidth="1"/>
    <col min="8738" max="8738" width="20.28515625" style="58" customWidth="1"/>
    <col min="8739" max="8739" width="13.85546875" style="58" customWidth="1"/>
    <col min="8740" max="8740" width="19.140625" style="58" customWidth="1"/>
    <col min="8741" max="8741" width="19.7109375" style="58" customWidth="1"/>
    <col min="8742" max="8742" width="16.5703125" style="58" customWidth="1"/>
    <col min="8743" max="8743" width="19.140625" style="58" customWidth="1"/>
    <col min="8744" max="8746" width="16.5703125" style="58" customWidth="1"/>
    <col min="8747" max="8747" width="15.7109375" style="58" customWidth="1"/>
    <col min="8748" max="8748" width="19.42578125" style="58" customWidth="1"/>
    <col min="8749" max="8749" width="14.85546875" style="58" bestFit="1" customWidth="1"/>
    <col min="8750" max="8750" width="13.7109375" style="58" bestFit="1" customWidth="1"/>
    <col min="8751" max="8751" width="13" style="58" customWidth="1"/>
    <col min="8752" max="8752" width="18.42578125" style="58" customWidth="1"/>
    <col min="8753" max="8755" width="13.140625" style="58" customWidth="1"/>
    <col min="8756" max="8756" width="16.42578125" style="58" customWidth="1"/>
    <col min="8757" max="8757" width="13.140625" style="58" customWidth="1"/>
    <col min="8758" max="8758" width="15.28515625" style="58" customWidth="1"/>
    <col min="8759" max="8759" width="14" style="58" bestFit="1" customWidth="1"/>
    <col min="8760" max="8760" width="17.140625" style="58" customWidth="1"/>
    <col min="8761" max="8782" width="16.5703125" style="58" customWidth="1"/>
    <col min="8783" max="8783" width="20.140625" style="58" customWidth="1"/>
    <col min="8784" max="8784" width="13.28515625" style="58" customWidth="1"/>
    <col min="8785" max="8785" width="14.85546875" style="58" customWidth="1"/>
    <col min="8786" max="8786" width="13.85546875" style="58" customWidth="1"/>
    <col min="8787" max="8787" width="13.5703125" style="58" customWidth="1"/>
    <col min="8788" max="8788" width="13" style="58" customWidth="1"/>
    <col min="8789" max="8789" width="13.5703125" style="58" customWidth="1"/>
    <col min="8790" max="8790" width="7.7109375" style="58" bestFit="1" customWidth="1"/>
    <col min="8791" max="8960" width="9.140625" style="58"/>
    <col min="8961" max="8961" width="4.28515625" style="58" customWidth="1"/>
    <col min="8962" max="8962" width="10.140625" style="58" customWidth="1"/>
    <col min="8963" max="8963" width="8.85546875" style="58" customWidth="1"/>
    <col min="8964" max="8964" width="11.140625" style="58" customWidth="1"/>
    <col min="8965" max="8965" width="15" style="58" bestFit="1" customWidth="1"/>
    <col min="8966" max="8966" width="13.5703125" style="58" customWidth="1"/>
    <col min="8967" max="8967" width="11.42578125" style="58" bestFit="1" customWidth="1"/>
    <col min="8968" max="8968" width="11.28515625" style="58" customWidth="1"/>
    <col min="8969" max="8969" width="15.28515625" style="58" bestFit="1" customWidth="1"/>
    <col min="8970" max="8972" width="11.85546875" style="58" customWidth="1"/>
    <col min="8973" max="8973" width="19.140625" style="58" customWidth="1"/>
    <col min="8974" max="8974" width="15" style="58" customWidth="1"/>
    <col min="8975" max="8975" width="15.28515625" style="58" customWidth="1"/>
    <col min="8976" max="8978" width="18.85546875" style="58" customWidth="1"/>
    <col min="8979" max="8979" width="12.7109375" style="58" customWidth="1"/>
    <col min="8980" max="8980" width="13.7109375" style="58" customWidth="1"/>
    <col min="8981" max="8981" width="16.140625" style="58" customWidth="1"/>
    <col min="8982" max="8982" width="17" style="58" customWidth="1"/>
    <col min="8983" max="8983" width="15" style="58" customWidth="1"/>
    <col min="8984" max="8984" width="14.28515625" style="58" customWidth="1"/>
    <col min="8985" max="8985" width="14.85546875" style="58" customWidth="1"/>
    <col min="8986" max="8986" width="17.140625" style="58" customWidth="1"/>
    <col min="8987" max="8987" width="13.5703125" style="58" customWidth="1"/>
    <col min="8988" max="8989" width="14.85546875" style="58" customWidth="1"/>
    <col min="8990" max="8990" width="18.85546875" style="58" customWidth="1"/>
    <col min="8991" max="8991" width="19.42578125" style="58" customWidth="1"/>
    <col min="8992" max="8992" width="16.140625" style="58" customWidth="1"/>
    <col min="8993" max="8993" width="14.5703125" style="58" customWidth="1"/>
    <col min="8994" max="8994" width="20.28515625" style="58" customWidth="1"/>
    <col min="8995" max="8995" width="13.85546875" style="58" customWidth="1"/>
    <col min="8996" max="8996" width="19.140625" style="58" customWidth="1"/>
    <col min="8997" max="8997" width="19.7109375" style="58" customWidth="1"/>
    <col min="8998" max="8998" width="16.5703125" style="58" customWidth="1"/>
    <col min="8999" max="8999" width="19.140625" style="58" customWidth="1"/>
    <col min="9000" max="9002" width="16.5703125" style="58" customWidth="1"/>
    <col min="9003" max="9003" width="15.7109375" style="58" customWidth="1"/>
    <col min="9004" max="9004" width="19.42578125" style="58" customWidth="1"/>
    <col min="9005" max="9005" width="14.85546875" style="58" bestFit="1" customWidth="1"/>
    <col min="9006" max="9006" width="13.7109375" style="58" bestFit="1" customWidth="1"/>
    <col min="9007" max="9007" width="13" style="58" customWidth="1"/>
    <col min="9008" max="9008" width="18.42578125" style="58" customWidth="1"/>
    <col min="9009" max="9011" width="13.140625" style="58" customWidth="1"/>
    <col min="9012" max="9012" width="16.42578125" style="58" customWidth="1"/>
    <col min="9013" max="9013" width="13.140625" style="58" customWidth="1"/>
    <col min="9014" max="9014" width="15.28515625" style="58" customWidth="1"/>
    <col min="9015" max="9015" width="14" style="58" bestFit="1" customWidth="1"/>
    <col min="9016" max="9016" width="17.140625" style="58" customWidth="1"/>
    <col min="9017" max="9038" width="16.5703125" style="58" customWidth="1"/>
    <col min="9039" max="9039" width="20.140625" style="58" customWidth="1"/>
    <col min="9040" max="9040" width="13.28515625" style="58" customWidth="1"/>
    <col min="9041" max="9041" width="14.85546875" style="58" customWidth="1"/>
    <col min="9042" max="9042" width="13.85546875" style="58" customWidth="1"/>
    <col min="9043" max="9043" width="13.5703125" style="58" customWidth="1"/>
    <col min="9044" max="9044" width="13" style="58" customWidth="1"/>
    <col min="9045" max="9045" width="13.5703125" style="58" customWidth="1"/>
    <col min="9046" max="9046" width="7.7109375" style="58" bestFit="1" customWidth="1"/>
    <col min="9047" max="9216" width="9.140625" style="58"/>
    <col min="9217" max="9217" width="4.28515625" style="58" customWidth="1"/>
    <col min="9218" max="9218" width="10.140625" style="58" customWidth="1"/>
    <col min="9219" max="9219" width="8.85546875" style="58" customWidth="1"/>
    <col min="9220" max="9220" width="11.140625" style="58" customWidth="1"/>
    <col min="9221" max="9221" width="15" style="58" bestFit="1" customWidth="1"/>
    <col min="9222" max="9222" width="13.5703125" style="58" customWidth="1"/>
    <col min="9223" max="9223" width="11.42578125" style="58" bestFit="1" customWidth="1"/>
    <col min="9224" max="9224" width="11.28515625" style="58" customWidth="1"/>
    <col min="9225" max="9225" width="15.28515625" style="58" bestFit="1" customWidth="1"/>
    <col min="9226" max="9228" width="11.85546875" style="58" customWidth="1"/>
    <col min="9229" max="9229" width="19.140625" style="58" customWidth="1"/>
    <col min="9230" max="9230" width="15" style="58" customWidth="1"/>
    <col min="9231" max="9231" width="15.28515625" style="58" customWidth="1"/>
    <col min="9232" max="9234" width="18.85546875" style="58" customWidth="1"/>
    <col min="9235" max="9235" width="12.7109375" style="58" customWidth="1"/>
    <col min="9236" max="9236" width="13.7109375" style="58" customWidth="1"/>
    <col min="9237" max="9237" width="16.140625" style="58" customWidth="1"/>
    <col min="9238" max="9238" width="17" style="58" customWidth="1"/>
    <col min="9239" max="9239" width="15" style="58" customWidth="1"/>
    <col min="9240" max="9240" width="14.28515625" style="58" customWidth="1"/>
    <col min="9241" max="9241" width="14.85546875" style="58" customWidth="1"/>
    <col min="9242" max="9242" width="17.140625" style="58" customWidth="1"/>
    <col min="9243" max="9243" width="13.5703125" style="58" customWidth="1"/>
    <col min="9244" max="9245" width="14.85546875" style="58" customWidth="1"/>
    <col min="9246" max="9246" width="18.85546875" style="58" customWidth="1"/>
    <col min="9247" max="9247" width="19.42578125" style="58" customWidth="1"/>
    <col min="9248" max="9248" width="16.140625" style="58" customWidth="1"/>
    <col min="9249" max="9249" width="14.5703125" style="58" customWidth="1"/>
    <col min="9250" max="9250" width="20.28515625" style="58" customWidth="1"/>
    <col min="9251" max="9251" width="13.85546875" style="58" customWidth="1"/>
    <col min="9252" max="9252" width="19.140625" style="58" customWidth="1"/>
    <col min="9253" max="9253" width="19.7109375" style="58" customWidth="1"/>
    <col min="9254" max="9254" width="16.5703125" style="58" customWidth="1"/>
    <col min="9255" max="9255" width="19.140625" style="58" customWidth="1"/>
    <col min="9256" max="9258" width="16.5703125" style="58" customWidth="1"/>
    <col min="9259" max="9259" width="15.7109375" style="58" customWidth="1"/>
    <col min="9260" max="9260" width="19.42578125" style="58" customWidth="1"/>
    <col min="9261" max="9261" width="14.85546875" style="58" bestFit="1" customWidth="1"/>
    <col min="9262" max="9262" width="13.7109375" style="58" bestFit="1" customWidth="1"/>
    <col min="9263" max="9263" width="13" style="58" customWidth="1"/>
    <col min="9264" max="9264" width="18.42578125" style="58" customWidth="1"/>
    <col min="9265" max="9267" width="13.140625" style="58" customWidth="1"/>
    <col min="9268" max="9268" width="16.42578125" style="58" customWidth="1"/>
    <col min="9269" max="9269" width="13.140625" style="58" customWidth="1"/>
    <col min="9270" max="9270" width="15.28515625" style="58" customWidth="1"/>
    <col min="9271" max="9271" width="14" style="58" bestFit="1" customWidth="1"/>
    <col min="9272" max="9272" width="17.140625" style="58" customWidth="1"/>
    <col min="9273" max="9294" width="16.5703125" style="58" customWidth="1"/>
    <col min="9295" max="9295" width="20.140625" style="58" customWidth="1"/>
    <col min="9296" max="9296" width="13.28515625" style="58" customWidth="1"/>
    <col min="9297" max="9297" width="14.85546875" style="58" customWidth="1"/>
    <col min="9298" max="9298" width="13.85546875" style="58" customWidth="1"/>
    <col min="9299" max="9299" width="13.5703125" style="58" customWidth="1"/>
    <col min="9300" max="9300" width="13" style="58" customWidth="1"/>
    <col min="9301" max="9301" width="13.5703125" style="58" customWidth="1"/>
    <col min="9302" max="9302" width="7.7109375" style="58" bestFit="1" customWidth="1"/>
    <col min="9303" max="9472" width="9.140625" style="58"/>
    <col min="9473" max="9473" width="4.28515625" style="58" customWidth="1"/>
    <col min="9474" max="9474" width="10.140625" style="58" customWidth="1"/>
    <col min="9475" max="9475" width="8.85546875" style="58" customWidth="1"/>
    <col min="9476" max="9476" width="11.140625" style="58" customWidth="1"/>
    <col min="9477" max="9477" width="15" style="58" bestFit="1" customWidth="1"/>
    <col min="9478" max="9478" width="13.5703125" style="58" customWidth="1"/>
    <col min="9479" max="9479" width="11.42578125" style="58" bestFit="1" customWidth="1"/>
    <col min="9480" max="9480" width="11.28515625" style="58" customWidth="1"/>
    <col min="9481" max="9481" width="15.28515625" style="58" bestFit="1" customWidth="1"/>
    <col min="9482" max="9484" width="11.85546875" style="58" customWidth="1"/>
    <col min="9485" max="9485" width="19.140625" style="58" customWidth="1"/>
    <col min="9486" max="9486" width="15" style="58" customWidth="1"/>
    <col min="9487" max="9487" width="15.28515625" style="58" customWidth="1"/>
    <col min="9488" max="9490" width="18.85546875" style="58" customWidth="1"/>
    <col min="9491" max="9491" width="12.7109375" style="58" customWidth="1"/>
    <col min="9492" max="9492" width="13.7109375" style="58" customWidth="1"/>
    <col min="9493" max="9493" width="16.140625" style="58" customWidth="1"/>
    <col min="9494" max="9494" width="17" style="58" customWidth="1"/>
    <col min="9495" max="9495" width="15" style="58" customWidth="1"/>
    <col min="9496" max="9496" width="14.28515625" style="58" customWidth="1"/>
    <col min="9497" max="9497" width="14.85546875" style="58" customWidth="1"/>
    <col min="9498" max="9498" width="17.140625" style="58" customWidth="1"/>
    <col min="9499" max="9499" width="13.5703125" style="58" customWidth="1"/>
    <col min="9500" max="9501" width="14.85546875" style="58" customWidth="1"/>
    <col min="9502" max="9502" width="18.85546875" style="58" customWidth="1"/>
    <col min="9503" max="9503" width="19.42578125" style="58" customWidth="1"/>
    <col min="9504" max="9504" width="16.140625" style="58" customWidth="1"/>
    <col min="9505" max="9505" width="14.5703125" style="58" customWidth="1"/>
    <col min="9506" max="9506" width="20.28515625" style="58" customWidth="1"/>
    <col min="9507" max="9507" width="13.85546875" style="58" customWidth="1"/>
    <col min="9508" max="9508" width="19.140625" style="58" customWidth="1"/>
    <col min="9509" max="9509" width="19.7109375" style="58" customWidth="1"/>
    <col min="9510" max="9510" width="16.5703125" style="58" customWidth="1"/>
    <col min="9511" max="9511" width="19.140625" style="58" customWidth="1"/>
    <col min="9512" max="9514" width="16.5703125" style="58" customWidth="1"/>
    <col min="9515" max="9515" width="15.7109375" style="58" customWidth="1"/>
    <col min="9516" max="9516" width="19.42578125" style="58" customWidth="1"/>
    <col min="9517" max="9517" width="14.85546875" style="58" bestFit="1" customWidth="1"/>
    <col min="9518" max="9518" width="13.7109375" style="58" bestFit="1" customWidth="1"/>
    <col min="9519" max="9519" width="13" style="58" customWidth="1"/>
    <col min="9520" max="9520" width="18.42578125" style="58" customWidth="1"/>
    <col min="9521" max="9523" width="13.140625" style="58" customWidth="1"/>
    <col min="9524" max="9524" width="16.42578125" style="58" customWidth="1"/>
    <col min="9525" max="9525" width="13.140625" style="58" customWidth="1"/>
    <col min="9526" max="9526" width="15.28515625" style="58" customWidth="1"/>
    <col min="9527" max="9527" width="14" style="58" bestFit="1" customWidth="1"/>
    <col min="9528" max="9528" width="17.140625" style="58" customWidth="1"/>
    <col min="9529" max="9550" width="16.5703125" style="58" customWidth="1"/>
    <col min="9551" max="9551" width="20.140625" style="58" customWidth="1"/>
    <col min="9552" max="9552" width="13.28515625" style="58" customWidth="1"/>
    <col min="9553" max="9553" width="14.85546875" style="58" customWidth="1"/>
    <col min="9554" max="9554" width="13.85546875" style="58" customWidth="1"/>
    <col min="9555" max="9555" width="13.5703125" style="58" customWidth="1"/>
    <col min="9556" max="9556" width="13" style="58" customWidth="1"/>
    <col min="9557" max="9557" width="13.5703125" style="58" customWidth="1"/>
    <col min="9558" max="9558" width="7.7109375" style="58" bestFit="1" customWidth="1"/>
    <col min="9559" max="9728" width="9.140625" style="58"/>
    <col min="9729" max="9729" width="4.28515625" style="58" customWidth="1"/>
    <col min="9730" max="9730" width="10.140625" style="58" customWidth="1"/>
    <col min="9731" max="9731" width="8.85546875" style="58" customWidth="1"/>
    <col min="9732" max="9732" width="11.140625" style="58" customWidth="1"/>
    <col min="9733" max="9733" width="15" style="58" bestFit="1" customWidth="1"/>
    <col min="9734" max="9734" width="13.5703125" style="58" customWidth="1"/>
    <col min="9735" max="9735" width="11.42578125" style="58" bestFit="1" customWidth="1"/>
    <col min="9736" max="9736" width="11.28515625" style="58" customWidth="1"/>
    <col min="9737" max="9737" width="15.28515625" style="58" bestFit="1" customWidth="1"/>
    <col min="9738" max="9740" width="11.85546875" style="58" customWidth="1"/>
    <col min="9741" max="9741" width="19.140625" style="58" customWidth="1"/>
    <col min="9742" max="9742" width="15" style="58" customWidth="1"/>
    <col min="9743" max="9743" width="15.28515625" style="58" customWidth="1"/>
    <col min="9744" max="9746" width="18.85546875" style="58" customWidth="1"/>
    <col min="9747" max="9747" width="12.7109375" style="58" customWidth="1"/>
    <col min="9748" max="9748" width="13.7109375" style="58" customWidth="1"/>
    <col min="9749" max="9749" width="16.140625" style="58" customWidth="1"/>
    <col min="9750" max="9750" width="17" style="58" customWidth="1"/>
    <col min="9751" max="9751" width="15" style="58" customWidth="1"/>
    <col min="9752" max="9752" width="14.28515625" style="58" customWidth="1"/>
    <col min="9753" max="9753" width="14.85546875" style="58" customWidth="1"/>
    <col min="9754" max="9754" width="17.140625" style="58" customWidth="1"/>
    <col min="9755" max="9755" width="13.5703125" style="58" customWidth="1"/>
    <col min="9756" max="9757" width="14.85546875" style="58" customWidth="1"/>
    <col min="9758" max="9758" width="18.85546875" style="58" customWidth="1"/>
    <col min="9759" max="9759" width="19.42578125" style="58" customWidth="1"/>
    <col min="9760" max="9760" width="16.140625" style="58" customWidth="1"/>
    <col min="9761" max="9761" width="14.5703125" style="58" customWidth="1"/>
    <col min="9762" max="9762" width="20.28515625" style="58" customWidth="1"/>
    <col min="9763" max="9763" width="13.85546875" style="58" customWidth="1"/>
    <col min="9764" max="9764" width="19.140625" style="58" customWidth="1"/>
    <col min="9765" max="9765" width="19.7109375" style="58" customWidth="1"/>
    <col min="9766" max="9766" width="16.5703125" style="58" customWidth="1"/>
    <col min="9767" max="9767" width="19.140625" style="58" customWidth="1"/>
    <col min="9768" max="9770" width="16.5703125" style="58" customWidth="1"/>
    <col min="9771" max="9771" width="15.7109375" style="58" customWidth="1"/>
    <col min="9772" max="9772" width="19.42578125" style="58" customWidth="1"/>
    <col min="9773" max="9773" width="14.85546875" style="58" bestFit="1" customWidth="1"/>
    <col min="9774" max="9774" width="13.7109375" style="58" bestFit="1" customWidth="1"/>
    <col min="9775" max="9775" width="13" style="58" customWidth="1"/>
    <col min="9776" max="9776" width="18.42578125" style="58" customWidth="1"/>
    <col min="9777" max="9779" width="13.140625" style="58" customWidth="1"/>
    <col min="9780" max="9780" width="16.42578125" style="58" customWidth="1"/>
    <col min="9781" max="9781" width="13.140625" style="58" customWidth="1"/>
    <col min="9782" max="9782" width="15.28515625" style="58" customWidth="1"/>
    <col min="9783" max="9783" width="14" style="58" bestFit="1" customWidth="1"/>
    <col min="9784" max="9784" width="17.140625" style="58" customWidth="1"/>
    <col min="9785" max="9806" width="16.5703125" style="58" customWidth="1"/>
    <col min="9807" max="9807" width="20.140625" style="58" customWidth="1"/>
    <col min="9808" max="9808" width="13.28515625" style="58" customWidth="1"/>
    <col min="9809" max="9809" width="14.85546875" style="58" customWidth="1"/>
    <col min="9810" max="9810" width="13.85546875" style="58" customWidth="1"/>
    <col min="9811" max="9811" width="13.5703125" style="58" customWidth="1"/>
    <col min="9812" max="9812" width="13" style="58" customWidth="1"/>
    <col min="9813" max="9813" width="13.5703125" style="58" customWidth="1"/>
    <col min="9814" max="9814" width="7.7109375" style="58" bestFit="1" customWidth="1"/>
    <col min="9815" max="9984" width="9.140625" style="58"/>
    <col min="9985" max="9985" width="4.28515625" style="58" customWidth="1"/>
    <col min="9986" max="9986" width="10.140625" style="58" customWidth="1"/>
    <col min="9987" max="9987" width="8.85546875" style="58" customWidth="1"/>
    <col min="9988" max="9988" width="11.140625" style="58" customWidth="1"/>
    <col min="9989" max="9989" width="15" style="58" bestFit="1" customWidth="1"/>
    <col min="9990" max="9990" width="13.5703125" style="58" customWidth="1"/>
    <col min="9991" max="9991" width="11.42578125" style="58" bestFit="1" customWidth="1"/>
    <col min="9992" max="9992" width="11.28515625" style="58" customWidth="1"/>
    <col min="9993" max="9993" width="15.28515625" style="58" bestFit="1" customWidth="1"/>
    <col min="9994" max="9996" width="11.85546875" style="58" customWidth="1"/>
    <col min="9997" max="9997" width="19.140625" style="58" customWidth="1"/>
    <col min="9998" max="9998" width="15" style="58" customWidth="1"/>
    <col min="9999" max="9999" width="15.28515625" style="58" customWidth="1"/>
    <col min="10000" max="10002" width="18.85546875" style="58" customWidth="1"/>
    <col min="10003" max="10003" width="12.7109375" style="58" customWidth="1"/>
    <col min="10004" max="10004" width="13.7109375" style="58" customWidth="1"/>
    <col min="10005" max="10005" width="16.140625" style="58" customWidth="1"/>
    <col min="10006" max="10006" width="17" style="58" customWidth="1"/>
    <col min="10007" max="10007" width="15" style="58" customWidth="1"/>
    <col min="10008" max="10008" width="14.28515625" style="58" customWidth="1"/>
    <col min="10009" max="10009" width="14.85546875" style="58" customWidth="1"/>
    <col min="10010" max="10010" width="17.140625" style="58" customWidth="1"/>
    <col min="10011" max="10011" width="13.5703125" style="58" customWidth="1"/>
    <col min="10012" max="10013" width="14.85546875" style="58" customWidth="1"/>
    <col min="10014" max="10014" width="18.85546875" style="58" customWidth="1"/>
    <col min="10015" max="10015" width="19.42578125" style="58" customWidth="1"/>
    <col min="10016" max="10016" width="16.140625" style="58" customWidth="1"/>
    <col min="10017" max="10017" width="14.5703125" style="58" customWidth="1"/>
    <col min="10018" max="10018" width="20.28515625" style="58" customWidth="1"/>
    <col min="10019" max="10019" width="13.85546875" style="58" customWidth="1"/>
    <col min="10020" max="10020" width="19.140625" style="58" customWidth="1"/>
    <col min="10021" max="10021" width="19.7109375" style="58" customWidth="1"/>
    <col min="10022" max="10022" width="16.5703125" style="58" customWidth="1"/>
    <col min="10023" max="10023" width="19.140625" style="58" customWidth="1"/>
    <col min="10024" max="10026" width="16.5703125" style="58" customWidth="1"/>
    <col min="10027" max="10027" width="15.7109375" style="58" customWidth="1"/>
    <col min="10028" max="10028" width="19.42578125" style="58" customWidth="1"/>
    <col min="10029" max="10029" width="14.85546875" style="58" bestFit="1" customWidth="1"/>
    <col min="10030" max="10030" width="13.7109375" style="58" bestFit="1" customWidth="1"/>
    <col min="10031" max="10031" width="13" style="58" customWidth="1"/>
    <col min="10032" max="10032" width="18.42578125" style="58" customWidth="1"/>
    <col min="10033" max="10035" width="13.140625" style="58" customWidth="1"/>
    <col min="10036" max="10036" width="16.42578125" style="58" customWidth="1"/>
    <col min="10037" max="10037" width="13.140625" style="58" customWidth="1"/>
    <col min="10038" max="10038" width="15.28515625" style="58" customWidth="1"/>
    <col min="10039" max="10039" width="14" style="58" bestFit="1" customWidth="1"/>
    <col min="10040" max="10040" width="17.140625" style="58" customWidth="1"/>
    <col min="10041" max="10062" width="16.5703125" style="58" customWidth="1"/>
    <col min="10063" max="10063" width="20.140625" style="58" customWidth="1"/>
    <col min="10064" max="10064" width="13.28515625" style="58" customWidth="1"/>
    <col min="10065" max="10065" width="14.85546875" style="58" customWidth="1"/>
    <col min="10066" max="10066" width="13.85546875" style="58" customWidth="1"/>
    <col min="10067" max="10067" width="13.5703125" style="58" customWidth="1"/>
    <col min="10068" max="10068" width="13" style="58" customWidth="1"/>
    <col min="10069" max="10069" width="13.5703125" style="58" customWidth="1"/>
    <col min="10070" max="10070" width="7.7109375" style="58" bestFit="1" customWidth="1"/>
    <col min="10071" max="10240" width="9.140625" style="58"/>
    <col min="10241" max="10241" width="4.28515625" style="58" customWidth="1"/>
    <col min="10242" max="10242" width="10.140625" style="58" customWidth="1"/>
    <col min="10243" max="10243" width="8.85546875" style="58" customWidth="1"/>
    <col min="10244" max="10244" width="11.140625" style="58" customWidth="1"/>
    <col min="10245" max="10245" width="15" style="58" bestFit="1" customWidth="1"/>
    <col min="10246" max="10246" width="13.5703125" style="58" customWidth="1"/>
    <col min="10247" max="10247" width="11.42578125" style="58" bestFit="1" customWidth="1"/>
    <col min="10248" max="10248" width="11.28515625" style="58" customWidth="1"/>
    <col min="10249" max="10249" width="15.28515625" style="58" bestFit="1" customWidth="1"/>
    <col min="10250" max="10252" width="11.85546875" style="58" customWidth="1"/>
    <col min="10253" max="10253" width="19.140625" style="58" customWidth="1"/>
    <col min="10254" max="10254" width="15" style="58" customWidth="1"/>
    <col min="10255" max="10255" width="15.28515625" style="58" customWidth="1"/>
    <col min="10256" max="10258" width="18.85546875" style="58" customWidth="1"/>
    <col min="10259" max="10259" width="12.7109375" style="58" customWidth="1"/>
    <col min="10260" max="10260" width="13.7109375" style="58" customWidth="1"/>
    <col min="10261" max="10261" width="16.140625" style="58" customWidth="1"/>
    <col min="10262" max="10262" width="17" style="58" customWidth="1"/>
    <col min="10263" max="10263" width="15" style="58" customWidth="1"/>
    <col min="10264" max="10264" width="14.28515625" style="58" customWidth="1"/>
    <col min="10265" max="10265" width="14.85546875" style="58" customWidth="1"/>
    <col min="10266" max="10266" width="17.140625" style="58" customWidth="1"/>
    <col min="10267" max="10267" width="13.5703125" style="58" customWidth="1"/>
    <col min="10268" max="10269" width="14.85546875" style="58" customWidth="1"/>
    <col min="10270" max="10270" width="18.85546875" style="58" customWidth="1"/>
    <col min="10271" max="10271" width="19.42578125" style="58" customWidth="1"/>
    <col min="10272" max="10272" width="16.140625" style="58" customWidth="1"/>
    <col min="10273" max="10273" width="14.5703125" style="58" customWidth="1"/>
    <col min="10274" max="10274" width="20.28515625" style="58" customWidth="1"/>
    <col min="10275" max="10275" width="13.85546875" style="58" customWidth="1"/>
    <col min="10276" max="10276" width="19.140625" style="58" customWidth="1"/>
    <col min="10277" max="10277" width="19.7109375" style="58" customWidth="1"/>
    <col min="10278" max="10278" width="16.5703125" style="58" customWidth="1"/>
    <col min="10279" max="10279" width="19.140625" style="58" customWidth="1"/>
    <col min="10280" max="10282" width="16.5703125" style="58" customWidth="1"/>
    <col min="10283" max="10283" width="15.7109375" style="58" customWidth="1"/>
    <col min="10284" max="10284" width="19.42578125" style="58" customWidth="1"/>
    <col min="10285" max="10285" width="14.85546875" style="58" bestFit="1" customWidth="1"/>
    <col min="10286" max="10286" width="13.7109375" style="58" bestFit="1" customWidth="1"/>
    <col min="10287" max="10287" width="13" style="58" customWidth="1"/>
    <col min="10288" max="10288" width="18.42578125" style="58" customWidth="1"/>
    <col min="10289" max="10291" width="13.140625" style="58" customWidth="1"/>
    <col min="10292" max="10292" width="16.42578125" style="58" customWidth="1"/>
    <col min="10293" max="10293" width="13.140625" style="58" customWidth="1"/>
    <col min="10294" max="10294" width="15.28515625" style="58" customWidth="1"/>
    <col min="10295" max="10295" width="14" style="58" bestFit="1" customWidth="1"/>
    <col min="10296" max="10296" width="17.140625" style="58" customWidth="1"/>
    <col min="10297" max="10318" width="16.5703125" style="58" customWidth="1"/>
    <col min="10319" max="10319" width="20.140625" style="58" customWidth="1"/>
    <col min="10320" max="10320" width="13.28515625" style="58" customWidth="1"/>
    <col min="10321" max="10321" width="14.85546875" style="58" customWidth="1"/>
    <col min="10322" max="10322" width="13.85546875" style="58" customWidth="1"/>
    <col min="10323" max="10323" width="13.5703125" style="58" customWidth="1"/>
    <col min="10324" max="10324" width="13" style="58" customWidth="1"/>
    <col min="10325" max="10325" width="13.5703125" style="58" customWidth="1"/>
    <col min="10326" max="10326" width="7.7109375" style="58" bestFit="1" customWidth="1"/>
    <col min="10327" max="10496" width="9.140625" style="58"/>
    <col min="10497" max="10497" width="4.28515625" style="58" customWidth="1"/>
    <col min="10498" max="10498" width="10.140625" style="58" customWidth="1"/>
    <col min="10499" max="10499" width="8.85546875" style="58" customWidth="1"/>
    <col min="10500" max="10500" width="11.140625" style="58" customWidth="1"/>
    <col min="10501" max="10501" width="15" style="58" bestFit="1" customWidth="1"/>
    <col min="10502" max="10502" width="13.5703125" style="58" customWidth="1"/>
    <col min="10503" max="10503" width="11.42578125" style="58" bestFit="1" customWidth="1"/>
    <col min="10504" max="10504" width="11.28515625" style="58" customWidth="1"/>
    <col min="10505" max="10505" width="15.28515625" style="58" bestFit="1" customWidth="1"/>
    <col min="10506" max="10508" width="11.85546875" style="58" customWidth="1"/>
    <col min="10509" max="10509" width="19.140625" style="58" customWidth="1"/>
    <col min="10510" max="10510" width="15" style="58" customWidth="1"/>
    <col min="10511" max="10511" width="15.28515625" style="58" customWidth="1"/>
    <col min="10512" max="10514" width="18.85546875" style="58" customWidth="1"/>
    <col min="10515" max="10515" width="12.7109375" style="58" customWidth="1"/>
    <col min="10516" max="10516" width="13.7109375" style="58" customWidth="1"/>
    <col min="10517" max="10517" width="16.140625" style="58" customWidth="1"/>
    <col min="10518" max="10518" width="17" style="58" customWidth="1"/>
    <col min="10519" max="10519" width="15" style="58" customWidth="1"/>
    <col min="10520" max="10520" width="14.28515625" style="58" customWidth="1"/>
    <col min="10521" max="10521" width="14.85546875" style="58" customWidth="1"/>
    <col min="10522" max="10522" width="17.140625" style="58" customWidth="1"/>
    <col min="10523" max="10523" width="13.5703125" style="58" customWidth="1"/>
    <col min="10524" max="10525" width="14.85546875" style="58" customWidth="1"/>
    <col min="10526" max="10526" width="18.85546875" style="58" customWidth="1"/>
    <col min="10527" max="10527" width="19.42578125" style="58" customWidth="1"/>
    <col min="10528" max="10528" width="16.140625" style="58" customWidth="1"/>
    <col min="10529" max="10529" width="14.5703125" style="58" customWidth="1"/>
    <col min="10530" max="10530" width="20.28515625" style="58" customWidth="1"/>
    <col min="10531" max="10531" width="13.85546875" style="58" customWidth="1"/>
    <col min="10532" max="10532" width="19.140625" style="58" customWidth="1"/>
    <col min="10533" max="10533" width="19.7109375" style="58" customWidth="1"/>
    <col min="10534" max="10534" width="16.5703125" style="58" customWidth="1"/>
    <col min="10535" max="10535" width="19.140625" style="58" customWidth="1"/>
    <col min="10536" max="10538" width="16.5703125" style="58" customWidth="1"/>
    <col min="10539" max="10539" width="15.7109375" style="58" customWidth="1"/>
    <col min="10540" max="10540" width="19.42578125" style="58" customWidth="1"/>
    <col min="10541" max="10541" width="14.85546875" style="58" bestFit="1" customWidth="1"/>
    <col min="10542" max="10542" width="13.7109375" style="58" bestFit="1" customWidth="1"/>
    <col min="10543" max="10543" width="13" style="58" customWidth="1"/>
    <col min="10544" max="10544" width="18.42578125" style="58" customWidth="1"/>
    <col min="10545" max="10547" width="13.140625" style="58" customWidth="1"/>
    <col min="10548" max="10548" width="16.42578125" style="58" customWidth="1"/>
    <col min="10549" max="10549" width="13.140625" style="58" customWidth="1"/>
    <col min="10550" max="10550" width="15.28515625" style="58" customWidth="1"/>
    <col min="10551" max="10551" width="14" style="58" bestFit="1" customWidth="1"/>
    <col min="10552" max="10552" width="17.140625" style="58" customWidth="1"/>
    <col min="10553" max="10574" width="16.5703125" style="58" customWidth="1"/>
    <col min="10575" max="10575" width="20.140625" style="58" customWidth="1"/>
    <col min="10576" max="10576" width="13.28515625" style="58" customWidth="1"/>
    <col min="10577" max="10577" width="14.85546875" style="58" customWidth="1"/>
    <col min="10578" max="10578" width="13.85546875" style="58" customWidth="1"/>
    <col min="10579" max="10579" width="13.5703125" style="58" customWidth="1"/>
    <col min="10580" max="10580" width="13" style="58" customWidth="1"/>
    <col min="10581" max="10581" width="13.5703125" style="58" customWidth="1"/>
    <col min="10582" max="10582" width="7.7109375" style="58" bestFit="1" customWidth="1"/>
    <col min="10583" max="10752" width="9.140625" style="58"/>
    <col min="10753" max="10753" width="4.28515625" style="58" customWidth="1"/>
    <col min="10754" max="10754" width="10.140625" style="58" customWidth="1"/>
    <col min="10755" max="10755" width="8.85546875" style="58" customWidth="1"/>
    <col min="10756" max="10756" width="11.140625" style="58" customWidth="1"/>
    <col min="10757" max="10757" width="15" style="58" bestFit="1" customWidth="1"/>
    <col min="10758" max="10758" width="13.5703125" style="58" customWidth="1"/>
    <col min="10759" max="10759" width="11.42578125" style="58" bestFit="1" customWidth="1"/>
    <col min="10760" max="10760" width="11.28515625" style="58" customWidth="1"/>
    <col min="10761" max="10761" width="15.28515625" style="58" bestFit="1" customWidth="1"/>
    <col min="10762" max="10764" width="11.85546875" style="58" customWidth="1"/>
    <col min="10765" max="10765" width="19.140625" style="58" customWidth="1"/>
    <col min="10766" max="10766" width="15" style="58" customWidth="1"/>
    <col min="10767" max="10767" width="15.28515625" style="58" customWidth="1"/>
    <col min="10768" max="10770" width="18.85546875" style="58" customWidth="1"/>
    <col min="10771" max="10771" width="12.7109375" style="58" customWidth="1"/>
    <col min="10772" max="10772" width="13.7109375" style="58" customWidth="1"/>
    <col min="10773" max="10773" width="16.140625" style="58" customWidth="1"/>
    <col min="10774" max="10774" width="17" style="58" customWidth="1"/>
    <col min="10775" max="10775" width="15" style="58" customWidth="1"/>
    <col min="10776" max="10776" width="14.28515625" style="58" customWidth="1"/>
    <col min="10777" max="10777" width="14.85546875" style="58" customWidth="1"/>
    <col min="10778" max="10778" width="17.140625" style="58" customWidth="1"/>
    <col min="10779" max="10779" width="13.5703125" style="58" customWidth="1"/>
    <col min="10780" max="10781" width="14.85546875" style="58" customWidth="1"/>
    <col min="10782" max="10782" width="18.85546875" style="58" customWidth="1"/>
    <col min="10783" max="10783" width="19.42578125" style="58" customWidth="1"/>
    <col min="10784" max="10784" width="16.140625" style="58" customWidth="1"/>
    <col min="10785" max="10785" width="14.5703125" style="58" customWidth="1"/>
    <col min="10786" max="10786" width="20.28515625" style="58" customWidth="1"/>
    <col min="10787" max="10787" width="13.85546875" style="58" customWidth="1"/>
    <col min="10788" max="10788" width="19.140625" style="58" customWidth="1"/>
    <col min="10789" max="10789" width="19.7109375" style="58" customWidth="1"/>
    <col min="10790" max="10790" width="16.5703125" style="58" customWidth="1"/>
    <col min="10791" max="10791" width="19.140625" style="58" customWidth="1"/>
    <col min="10792" max="10794" width="16.5703125" style="58" customWidth="1"/>
    <col min="10795" max="10795" width="15.7109375" style="58" customWidth="1"/>
    <col min="10796" max="10796" width="19.42578125" style="58" customWidth="1"/>
    <col min="10797" max="10797" width="14.85546875" style="58" bestFit="1" customWidth="1"/>
    <col min="10798" max="10798" width="13.7109375" style="58" bestFit="1" customWidth="1"/>
    <col min="10799" max="10799" width="13" style="58" customWidth="1"/>
    <col min="10800" max="10800" width="18.42578125" style="58" customWidth="1"/>
    <col min="10801" max="10803" width="13.140625" style="58" customWidth="1"/>
    <col min="10804" max="10804" width="16.42578125" style="58" customWidth="1"/>
    <col min="10805" max="10805" width="13.140625" style="58" customWidth="1"/>
    <col min="10806" max="10806" width="15.28515625" style="58" customWidth="1"/>
    <col min="10807" max="10807" width="14" style="58" bestFit="1" customWidth="1"/>
    <col min="10808" max="10808" width="17.140625" style="58" customWidth="1"/>
    <col min="10809" max="10830" width="16.5703125" style="58" customWidth="1"/>
    <col min="10831" max="10831" width="20.140625" style="58" customWidth="1"/>
    <col min="10832" max="10832" width="13.28515625" style="58" customWidth="1"/>
    <col min="10833" max="10833" width="14.85546875" style="58" customWidth="1"/>
    <col min="10834" max="10834" width="13.85546875" style="58" customWidth="1"/>
    <col min="10835" max="10835" width="13.5703125" style="58" customWidth="1"/>
    <col min="10836" max="10836" width="13" style="58" customWidth="1"/>
    <col min="10837" max="10837" width="13.5703125" style="58" customWidth="1"/>
    <col min="10838" max="10838" width="7.7109375" style="58" bestFit="1" customWidth="1"/>
    <col min="10839" max="11008" width="9.140625" style="58"/>
    <col min="11009" max="11009" width="4.28515625" style="58" customWidth="1"/>
    <col min="11010" max="11010" width="10.140625" style="58" customWidth="1"/>
    <col min="11011" max="11011" width="8.85546875" style="58" customWidth="1"/>
    <col min="11012" max="11012" width="11.140625" style="58" customWidth="1"/>
    <col min="11013" max="11013" width="15" style="58" bestFit="1" customWidth="1"/>
    <col min="11014" max="11014" width="13.5703125" style="58" customWidth="1"/>
    <col min="11015" max="11015" width="11.42578125" style="58" bestFit="1" customWidth="1"/>
    <col min="11016" max="11016" width="11.28515625" style="58" customWidth="1"/>
    <col min="11017" max="11017" width="15.28515625" style="58" bestFit="1" customWidth="1"/>
    <col min="11018" max="11020" width="11.85546875" style="58" customWidth="1"/>
    <col min="11021" max="11021" width="19.140625" style="58" customWidth="1"/>
    <col min="11022" max="11022" width="15" style="58" customWidth="1"/>
    <col min="11023" max="11023" width="15.28515625" style="58" customWidth="1"/>
    <col min="11024" max="11026" width="18.85546875" style="58" customWidth="1"/>
    <col min="11027" max="11027" width="12.7109375" style="58" customWidth="1"/>
    <col min="11028" max="11028" width="13.7109375" style="58" customWidth="1"/>
    <col min="11029" max="11029" width="16.140625" style="58" customWidth="1"/>
    <col min="11030" max="11030" width="17" style="58" customWidth="1"/>
    <col min="11031" max="11031" width="15" style="58" customWidth="1"/>
    <col min="11032" max="11032" width="14.28515625" style="58" customWidth="1"/>
    <col min="11033" max="11033" width="14.85546875" style="58" customWidth="1"/>
    <col min="11034" max="11034" width="17.140625" style="58" customWidth="1"/>
    <col min="11035" max="11035" width="13.5703125" style="58" customWidth="1"/>
    <col min="11036" max="11037" width="14.85546875" style="58" customWidth="1"/>
    <col min="11038" max="11038" width="18.85546875" style="58" customWidth="1"/>
    <col min="11039" max="11039" width="19.42578125" style="58" customWidth="1"/>
    <col min="11040" max="11040" width="16.140625" style="58" customWidth="1"/>
    <col min="11041" max="11041" width="14.5703125" style="58" customWidth="1"/>
    <col min="11042" max="11042" width="20.28515625" style="58" customWidth="1"/>
    <col min="11043" max="11043" width="13.85546875" style="58" customWidth="1"/>
    <col min="11044" max="11044" width="19.140625" style="58" customWidth="1"/>
    <col min="11045" max="11045" width="19.7109375" style="58" customWidth="1"/>
    <col min="11046" max="11046" width="16.5703125" style="58" customWidth="1"/>
    <col min="11047" max="11047" width="19.140625" style="58" customWidth="1"/>
    <col min="11048" max="11050" width="16.5703125" style="58" customWidth="1"/>
    <col min="11051" max="11051" width="15.7109375" style="58" customWidth="1"/>
    <col min="11052" max="11052" width="19.42578125" style="58" customWidth="1"/>
    <col min="11053" max="11053" width="14.85546875" style="58" bestFit="1" customWidth="1"/>
    <col min="11054" max="11054" width="13.7109375" style="58" bestFit="1" customWidth="1"/>
    <col min="11055" max="11055" width="13" style="58" customWidth="1"/>
    <col min="11056" max="11056" width="18.42578125" style="58" customWidth="1"/>
    <col min="11057" max="11059" width="13.140625" style="58" customWidth="1"/>
    <col min="11060" max="11060" width="16.42578125" style="58" customWidth="1"/>
    <col min="11061" max="11061" width="13.140625" style="58" customWidth="1"/>
    <col min="11062" max="11062" width="15.28515625" style="58" customWidth="1"/>
    <col min="11063" max="11063" width="14" style="58" bestFit="1" customWidth="1"/>
    <col min="11064" max="11064" width="17.140625" style="58" customWidth="1"/>
    <col min="11065" max="11086" width="16.5703125" style="58" customWidth="1"/>
    <col min="11087" max="11087" width="20.140625" style="58" customWidth="1"/>
    <col min="11088" max="11088" width="13.28515625" style="58" customWidth="1"/>
    <col min="11089" max="11089" width="14.85546875" style="58" customWidth="1"/>
    <col min="11090" max="11090" width="13.85546875" style="58" customWidth="1"/>
    <col min="11091" max="11091" width="13.5703125" style="58" customWidth="1"/>
    <col min="11092" max="11092" width="13" style="58" customWidth="1"/>
    <col min="11093" max="11093" width="13.5703125" style="58" customWidth="1"/>
    <col min="11094" max="11094" width="7.7109375" style="58" bestFit="1" customWidth="1"/>
    <col min="11095" max="11264" width="9.140625" style="58"/>
    <col min="11265" max="11265" width="4.28515625" style="58" customWidth="1"/>
    <col min="11266" max="11266" width="10.140625" style="58" customWidth="1"/>
    <col min="11267" max="11267" width="8.85546875" style="58" customWidth="1"/>
    <col min="11268" max="11268" width="11.140625" style="58" customWidth="1"/>
    <col min="11269" max="11269" width="15" style="58" bestFit="1" customWidth="1"/>
    <col min="11270" max="11270" width="13.5703125" style="58" customWidth="1"/>
    <col min="11271" max="11271" width="11.42578125" style="58" bestFit="1" customWidth="1"/>
    <col min="11272" max="11272" width="11.28515625" style="58" customWidth="1"/>
    <col min="11273" max="11273" width="15.28515625" style="58" bestFit="1" customWidth="1"/>
    <col min="11274" max="11276" width="11.85546875" style="58" customWidth="1"/>
    <col min="11277" max="11277" width="19.140625" style="58" customWidth="1"/>
    <col min="11278" max="11278" width="15" style="58" customWidth="1"/>
    <col min="11279" max="11279" width="15.28515625" style="58" customWidth="1"/>
    <col min="11280" max="11282" width="18.85546875" style="58" customWidth="1"/>
    <col min="11283" max="11283" width="12.7109375" style="58" customWidth="1"/>
    <col min="11284" max="11284" width="13.7109375" style="58" customWidth="1"/>
    <col min="11285" max="11285" width="16.140625" style="58" customWidth="1"/>
    <col min="11286" max="11286" width="17" style="58" customWidth="1"/>
    <col min="11287" max="11287" width="15" style="58" customWidth="1"/>
    <col min="11288" max="11288" width="14.28515625" style="58" customWidth="1"/>
    <col min="11289" max="11289" width="14.85546875" style="58" customWidth="1"/>
    <col min="11290" max="11290" width="17.140625" style="58" customWidth="1"/>
    <col min="11291" max="11291" width="13.5703125" style="58" customWidth="1"/>
    <col min="11292" max="11293" width="14.85546875" style="58" customWidth="1"/>
    <col min="11294" max="11294" width="18.85546875" style="58" customWidth="1"/>
    <col min="11295" max="11295" width="19.42578125" style="58" customWidth="1"/>
    <col min="11296" max="11296" width="16.140625" style="58" customWidth="1"/>
    <col min="11297" max="11297" width="14.5703125" style="58" customWidth="1"/>
    <col min="11298" max="11298" width="20.28515625" style="58" customWidth="1"/>
    <col min="11299" max="11299" width="13.85546875" style="58" customWidth="1"/>
    <col min="11300" max="11300" width="19.140625" style="58" customWidth="1"/>
    <col min="11301" max="11301" width="19.7109375" style="58" customWidth="1"/>
    <col min="11302" max="11302" width="16.5703125" style="58" customWidth="1"/>
    <col min="11303" max="11303" width="19.140625" style="58" customWidth="1"/>
    <col min="11304" max="11306" width="16.5703125" style="58" customWidth="1"/>
    <col min="11307" max="11307" width="15.7109375" style="58" customWidth="1"/>
    <col min="11308" max="11308" width="19.42578125" style="58" customWidth="1"/>
    <col min="11309" max="11309" width="14.85546875" style="58" bestFit="1" customWidth="1"/>
    <col min="11310" max="11310" width="13.7109375" style="58" bestFit="1" customWidth="1"/>
    <col min="11311" max="11311" width="13" style="58" customWidth="1"/>
    <col min="11312" max="11312" width="18.42578125" style="58" customWidth="1"/>
    <col min="11313" max="11315" width="13.140625" style="58" customWidth="1"/>
    <col min="11316" max="11316" width="16.42578125" style="58" customWidth="1"/>
    <col min="11317" max="11317" width="13.140625" style="58" customWidth="1"/>
    <col min="11318" max="11318" width="15.28515625" style="58" customWidth="1"/>
    <col min="11319" max="11319" width="14" style="58" bestFit="1" customWidth="1"/>
    <col min="11320" max="11320" width="17.140625" style="58" customWidth="1"/>
    <col min="11321" max="11342" width="16.5703125" style="58" customWidth="1"/>
    <col min="11343" max="11343" width="20.140625" style="58" customWidth="1"/>
    <col min="11344" max="11344" width="13.28515625" style="58" customWidth="1"/>
    <col min="11345" max="11345" width="14.85546875" style="58" customWidth="1"/>
    <col min="11346" max="11346" width="13.85546875" style="58" customWidth="1"/>
    <col min="11347" max="11347" width="13.5703125" style="58" customWidth="1"/>
    <col min="11348" max="11348" width="13" style="58" customWidth="1"/>
    <col min="11349" max="11349" width="13.5703125" style="58" customWidth="1"/>
    <col min="11350" max="11350" width="7.7109375" style="58" bestFit="1" customWidth="1"/>
    <col min="11351" max="11520" width="9.140625" style="58"/>
    <col min="11521" max="11521" width="4.28515625" style="58" customWidth="1"/>
    <col min="11522" max="11522" width="10.140625" style="58" customWidth="1"/>
    <col min="11523" max="11523" width="8.85546875" style="58" customWidth="1"/>
    <col min="11524" max="11524" width="11.140625" style="58" customWidth="1"/>
    <col min="11525" max="11525" width="15" style="58" bestFit="1" customWidth="1"/>
    <col min="11526" max="11526" width="13.5703125" style="58" customWidth="1"/>
    <col min="11527" max="11527" width="11.42578125" style="58" bestFit="1" customWidth="1"/>
    <col min="11528" max="11528" width="11.28515625" style="58" customWidth="1"/>
    <col min="11529" max="11529" width="15.28515625" style="58" bestFit="1" customWidth="1"/>
    <col min="11530" max="11532" width="11.85546875" style="58" customWidth="1"/>
    <col min="11533" max="11533" width="19.140625" style="58" customWidth="1"/>
    <col min="11534" max="11534" width="15" style="58" customWidth="1"/>
    <col min="11535" max="11535" width="15.28515625" style="58" customWidth="1"/>
    <col min="11536" max="11538" width="18.85546875" style="58" customWidth="1"/>
    <col min="11539" max="11539" width="12.7109375" style="58" customWidth="1"/>
    <col min="11540" max="11540" width="13.7109375" style="58" customWidth="1"/>
    <col min="11541" max="11541" width="16.140625" style="58" customWidth="1"/>
    <col min="11542" max="11542" width="17" style="58" customWidth="1"/>
    <col min="11543" max="11543" width="15" style="58" customWidth="1"/>
    <col min="11544" max="11544" width="14.28515625" style="58" customWidth="1"/>
    <col min="11545" max="11545" width="14.85546875" style="58" customWidth="1"/>
    <col min="11546" max="11546" width="17.140625" style="58" customWidth="1"/>
    <col min="11547" max="11547" width="13.5703125" style="58" customWidth="1"/>
    <col min="11548" max="11549" width="14.85546875" style="58" customWidth="1"/>
    <col min="11550" max="11550" width="18.85546875" style="58" customWidth="1"/>
    <col min="11551" max="11551" width="19.42578125" style="58" customWidth="1"/>
    <col min="11552" max="11552" width="16.140625" style="58" customWidth="1"/>
    <col min="11553" max="11553" width="14.5703125" style="58" customWidth="1"/>
    <col min="11554" max="11554" width="20.28515625" style="58" customWidth="1"/>
    <col min="11555" max="11555" width="13.85546875" style="58" customWidth="1"/>
    <col min="11556" max="11556" width="19.140625" style="58" customWidth="1"/>
    <col min="11557" max="11557" width="19.7109375" style="58" customWidth="1"/>
    <col min="11558" max="11558" width="16.5703125" style="58" customWidth="1"/>
    <col min="11559" max="11559" width="19.140625" style="58" customWidth="1"/>
    <col min="11560" max="11562" width="16.5703125" style="58" customWidth="1"/>
    <col min="11563" max="11563" width="15.7109375" style="58" customWidth="1"/>
    <col min="11564" max="11564" width="19.42578125" style="58" customWidth="1"/>
    <col min="11565" max="11565" width="14.85546875" style="58" bestFit="1" customWidth="1"/>
    <col min="11566" max="11566" width="13.7109375" style="58" bestFit="1" customWidth="1"/>
    <col min="11567" max="11567" width="13" style="58" customWidth="1"/>
    <col min="11568" max="11568" width="18.42578125" style="58" customWidth="1"/>
    <col min="11569" max="11571" width="13.140625" style="58" customWidth="1"/>
    <col min="11572" max="11572" width="16.42578125" style="58" customWidth="1"/>
    <col min="11573" max="11573" width="13.140625" style="58" customWidth="1"/>
    <col min="11574" max="11574" width="15.28515625" style="58" customWidth="1"/>
    <col min="11575" max="11575" width="14" style="58" bestFit="1" customWidth="1"/>
    <col min="11576" max="11576" width="17.140625" style="58" customWidth="1"/>
    <col min="11577" max="11598" width="16.5703125" style="58" customWidth="1"/>
    <col min="11599" max="11599" width="20.140625" style="58" customWidth="1"/>
    <col min="11600" max="11600" width="13.28515625" style="58" customWidth="1"/>
    <col min="11601" max="11601" width="14.85546875" style="58" customWidth="1"/>
    <col min="11602" max="11602" width="13.85546875" style="58" customWidth="1"/>
    <col min="11603" max="11603" width="13.5703125" style="58" customWidth="1"/>
    <col min="11604" max="11604" width="13" style="58" customWidth="1"/>
    <col min="11605" max="11605" width="13.5703125" style="58" customWidth="1"/>
    <col min="11606" max="11606" width="7.7109375" style="58" bestFit="1" customWidth="1"/>
    <col min="11607" max="11776" width="9.140625" style="58"/>
    <col min="11777" max="11777" width="4.28515625" style="58" customWidth="1"/>
    <col min="11778" max="11778" width="10.140625" style="58" customWidth="1"/>
    <col min="11779" max="11779" width="8.85546875" style="58" customWidth="1"/>
    <col min="11780" max="11780" width="11.140625" style="58" customWidth="1"/>
    <col min="11781" max="11781" width="15" style="58" bestFit="1" customWidth="1"/>
    <col min="11782" max="11782" width="13.5703125" style="58" customWidth="1"/>
    <col min="11783" max="11783" width="11.42578125" style="58" bestFit="1" customWidth="1"/>
    <col min="11784" max="11784" width="11.28515625" style="58" customWidth="1"/>
    <col min="11785" max="11785" width="15.28515625" style="58" bestFit="1" customWidth="1"/>
    <col min="11786" max="11788" width="11.85546875" style="58" customWidth="1"/>
    <col min="11789" max="11789" width="19.140625" style="58" customWidth="1"/>
    <col min="11790" max="11790" width="15" style="58" customWidth="1"/>
    <col min="11791" max="11791" width="15.28515625" style="58" customWidth="1"/>
    <col min="11792" max="11794" width="18.85546875" style="58" customWidth="1"/>
    <col min="11795" max="11795" width="12.7109375" style="58" customWidth="1"/>
    <col min="11796" max="11796" width="13.7109375" style="58" customWidth="1"/>
    <col min="11797" max="11797" width="16.140625" style="58" customWidth="1"/>
    <col min="11798" max="11798" width="17" style="58" customWidth="1"/>
    <col min="11799" max="11799" width="15" style="58" customWidth="1"/>
    <col min="11800" max="11800" width="14.28515625" style="58" customWidth="1"/>
    <col min="11801" max="11801" width="14.85546875" style="58" customWidth="1"/>
    <col min="11802" max="11802" width="17.140625" style="58" customWidth="1"/>
    <col min="11803" max="11803" width="13.5703125" style="58" customWidth="1"/>
    <col min="11804" max="11805" width="14.85546875" style="58" customWidth="1"/>
    <col min="11806" max="11806" width="18.85546875" style="58" customWidth="1"/>
    <col min="11807" max="11807" width="19.42578125" style="58" customWidth="1"/>
    <col min="11808" max="11808" width="16.140625" style="58" customWidth="1"/>
    <col min="11809" max="11809" width="14.5703125" style="58" customWidth="1"/>
    <col min="11810" max="11810" width="20.28515625" style="58" customWidth="1"/>
    <col min="11811" max="11811" width="13.85546875" style="58" customWidth="1"/>
    <col min="11812" max="11812" width="19.140625" style="58" customWidth="1"/>
    <col min="11813" max="11813" width="19.7109375" style="58" customWidth="1"/>
    <col min="11814" max="11814" width="16.5703125" style="58" customWidth="1"/>
    <col min="11815" max="11815" width="19.140625" style="58" customWidth="1"/>
    <col min="11816" max="11818" width="16.5703125" style="58" customWidth="1"/>
    <col min="11819" max="11819" width="15.7109375" style="58" customWidth="1"/>
    <col min="11820" max="11820" width="19.42578125" style="58" customWidth="1"/>
    <col min="11821" max="11821" width="14.85546875" style="58" bestFit="1" customWidth="1"/>
    <col min="11822" max="11822" width="13.7109375" style="58" bestFit="1" customWidth="1"/>
    <col min="11823" max="11823" width="13" style="58" customWidth="1"/>
    <col min="11824" max="11824" width="18.42578125" style="58" customWidth="1"/>
    <col min="11825" max="11827" width="13.140625" style="58" customWidth="1"/>
    <col min="11828" max="11828" width="16.42578125" style="58" customWidth="1"/>
    <col min="11829" max="11829" width="13.140625" style="58" customWidth="1"/>
    <col min="11830" max="11830" width="15.28515625" style="58" customWidth="1"/>
    <col min="11831" max="11831" width="14" style="58" bestFit="1" customWidth="1"/>
    <col min="11832" max="11832" width="17.140625" style="58" customWidth="1"/>
    <col min="11833" max="11854" width="16.5703125" style="58" customWidth="1"/>
    <col min="11855" max="11855" width="20.140625" style="58" customWidth="1"/>
    <col min="11856" max="11856" width="13.28515625" style="58" customWidth="1"/>
    <col min="11857" max="11857" width="14.85546875" style="58" customWidth="1"/>
    <col min="11858" max="11858" width="13.85546875" style="58" customWidth="1"/>
    <col min="11859" max="11859" width="13.5703125" style="58" customWidth="1"/>
    <col min="11860" max="11860" width="13" style="58" customWidth="1"/>
    <col min="11861" max="11861" width="13.5703125" style="58" customWidth="1"/>
    <col min="11862" max="11862" width="7.7109375" style="58" bestFit="1" customWidth="1"/>
    <col min="11863" max="12032" width="9.140625" style="58"/>
    <col min="12033" max="12033" width="4.28515625" style="58" customWidth="1"/>
    <col min="12034" max="12034" width="10.140625" style="58" customWidth="1"/>
    <col min="12035" max="12035" width="8.85546875" style="58" customWidth="1"/>
    <col min="12036" max="12036" width="11.140625" style="58" customWidth="1"/>
    <col min="12037" max="12037" width="15" style="58" bestFit="1" customWidth="1"/>
    <col min="12038" max="12038" width="13.5703125" style="58" customWidth="1"/>
    <col min="12039" max="12039" width="11.42578125" style="58" bestFit="1" customWidth="1"/>
    <col min="12040" max="12040" width="11.28515625" style="58" customWidth="1"/>
    <col min="12041" max="12041" width="15.28515625" style="58" bestFit="1" customWidth="1"/>
    <col min="12042" max="12044" width="11.85546875" style="58" customWidth="1"/>
    <col min="12045" max="12045" width="19.140625" style="58" customWidth="1"/>
    <col min="12046" max="12046" width="15" style="58" customWidth="1"/>
    <col min="12047" max="12047" width="15.28515625" style="58" customWidth="1"/>
    <col min="12048" max="12050" width="18.85546875" style="58" customWidth="1"/>
    <col min="12051" max="12051" width="12.7109375" style="58" customWidth="1"/>
    <col min="12052" max="12052" width="13.7109375" style="58" customWidth="1"/>
    <col min="12053" max="12053" width="16.140625" style="58" customWidth="1"/>
    <col min="12054" max="12054" width="17" style="58" customWidth="1"/>
    <col min="12055" max="12055" width="15" style="58" customWidth="1"/>
    <col min="12056" max="12056" width="14.28515625" style="58" customWidth="1"/>
    <col min="12057" max="12057" width="14.85546875" style="58" customWidth="1"/>
    <col min="12058" max="12058" width="17.140625" style="58" customWidth="1"/>
    <col min="12059" max="12059" width="13.5703125" style="58" customWidth="1"/>
    <col min="12060" max="12061" width="14.85546875" style="58" customWidth="1"/>
    <col min="12062" max="12062" width="18.85546875" style="58" customWidth="1"/>
    <col min="12063" max="12063" width="19.42578125" style="58" customWidth="1"/>
    <col min="12064" max="12064" width="16.140625" style="58" customWidth="1"/>
    <col min="12065" max="12065" width="14.5703125" style="58" customWidth="1"/>
    <col min="12066" max="12066" width="20.28515625" style="58" customWidth="1"/>
    <col min="12067" max="12067" width="13.85546875" style="58" customWidth="1"/>
    <col min="12068" max="12068" width="19.140625" style="58" customWidth="1"/>
    <col min="12069" max="12069" width="19.7109375" style="58" customWidth="1"/>
    <col min="12070" max="12070" width="16.5703125" style="58" customWidth="1"/>
    <col min="12071" max="12071" width="19.140625" style="58" customWidth="1"/>
    <col min="12072" max="12074" width="16.5703125" style="58" customWidth="1"/>
    <col min="12075" max="12075" width="15.7109375" style="58" customWidth="1"/>
    <col min="12076" max="12076" width="19.42578125" style="58" customWidth="1"/>
    <col min="12077" max="12077" width="14.85546875" style="58" bestFit="1" customWidth="1"/>
    <col min="12078" max="12078" width="13.7109375" style="58" bestFit="1" customWidth="1"/>
    <col min="12079" max="12079" width="13" style="58" customWidth="1"/>
    <col min="12080" max="12080" width="18.42578125" style="58" customWidth="1"/>
    <col min="12081" max="12083" width="13.140625" style="58" customWidth="1"/>
    <col min="12084" max="12084" width="16.42578125" style="58" customWidth="1"/>
    <col min="12085" max="12085" width="13.140625" style="58" customWidth="1"/>
    <col min="12086" max="12086" width="15.28515625" style="58" customWidth="1"/>
    <col min="12087" max="12087" width="14" style="58" bestFit="1" customWidth="1"/>
    <col min="12088" max="12088" width="17.140625" style="58" customWidth="1"/>
    <col min="12089" max="12110" width="16.5703125" style="58" customWidth="1"/>
    <col min="12111" max="12111" width="20.140625" style="58" customWidth="1"/>
    <col min="12112" max="12112" width="13.28515625" style="58" customWidth="1"/>
    <col min="12113" max="12113" width="14.85546875" style="58" customWidth="1"/>
    <col min="12114" max="12114" width="13.85546875" style="58" customWidth="1"/>
    <col min="12115" max="12115" width="13.5703125" style="58" customWidth="1"/>
    <col min="12116" max="12116" width="13" style="58" customWidth="1"/>
    <col min="12117" max="12117" width="13.5703125" style="58" customWidth="1"/>
    <col min="12118" max="12118" width="7.7109375" style="58" bestFit="1" customWidth="1"/>
    <col min="12119" max="12288" width="9.140625" style="58"/>
    <col min="12289" max="12289" width="4.28515625" style="58" customWidth="1"/>
    <col min="12290" max="12290" width="10.140625" style="58" customWidth="1"/>
    <col min="12291" max="12291" width="8.85546875" style="58" customWidth="1"/>
    <col min="12292" max="12292" width="11.140625" style="58" customWidth="1"/>
    <col min="12293" max="12293" width="15" style="58" bestFit="1" customWidth="1"/>
    <col min="12294" max="12294" width="13.5703125" style="58" customWidth="1"/>
    <col min="12295" max="12295" width="11.42578125" style="58" bestFit="1" customWidth="1"/>
    <col min="12296" max="12296" width="11.28515625" style="58" customWidth="1"/>
    <col min="12297" max="12297" width="15.28515625" style="58" bestFit="1" customWidth="1"/>
    <col min="12298" max="12300" width="11.85546875" style="58" customWidth="1"/>
    <col min="12301" max="12301" width="19.140625" style="58" customWidth="1"/>
    <col min="12302" max="12302" width="15" style="58" customWidth="1"/>
    <col min="12303" max="12303" width="15.28515625" style="58" customWidth="1"/>
    <col min="12304" max="12306" width="18.85546875" style="58" customWidth="1"/>
    <col min="12307" max="12307" width="12.7109375" style="58" customWidth="1"/>
    <col min="12308" max="12308" width="13.7109375" style="58" customWidth="1"/>
    <col min="12309" max="12309" width="16.140625" style="58" customWidth="1"/>
    <col min="12310" max="12310" width="17" style="58" customWidth="1"/>
    <col min="12311" max="12311" width="15" style="58" customWidth="1"/>
    <col min="12312" max="12312" width="14.28515625" style="58" customWidth="1"/>
    <col min="12313" max="12313" width="14.85546875" style="58" customWidth="1"/>
    <col min="12314" max="12314" width="17.140625" style="58" customWidth="1"/>
    <col min="12315" max="12315" width="13.5703125" style="58" customWidth="1"/>
    <col min="12316" max="12317" width="14.85546875" style="58" customWidth="1"/>
    <col min="12318" max="12318" width="18.85546875" style="58" customWidth="1"/>
    <col min="12319" max="12319" width="19.42578125" style="58" customWidth="1"/>
    <col min="12320" max="12320" width="16.140625" style="58" customWidth="1"/>
    <col min="12321" max="12321" width="14.5703125" style="58" customWidth="1"/>
    <col min="12322" max="12322" width="20.28515625" style="58" customWidth="1"/>
    <col min="12323" max="12323" width="13.85546875" style="58" customWidth="1"/>
    <col min="12324" max="12324" width="19.140625" style="58" customWidth="1"/>
    <col min="12325" max="12325" width="19.7109375" style="58" customWidth="1"/>
    <col min="12326" max="12326" width="16.5703125" style="58" customWidth="1"/>
    <col min="12327" max="12327" width="19.140625" style="58" customWidth="1"/>
    <col min="12328" max="12330" width="16.5703125" style="58" customWidth="1"/>
    <col min="12331" max="12331" width="15.7109375" style="58" customWidth="1"/>
    <col min="12332" max="12332" width="19.42578125" style="58" customWidth="1"/>
    <col min="12333" max="12333" width="14.85546875" style="58" bestFit="1" customWidth="1"/>
    <col min="12334" max="12334" width="13.7109375" style="58" bestFit="1" customWidth="1"/>
    <col min="12335" max="12335" width="13" style="58" customWidth="1"/>
    <col min="12336" max="12336" width="18.42578125" style="58" customWidth="1"/>
    <col min="12337" max="12339" width="13.140625" style="58" customWidth="1"/>
    <col min="12340" max="12340" width="16.42578125" style="58" customWidth="1"/>
    <col min="12341" max="12341" width="13.140625" style="58" customWidth="1"/>
    <col min="12342" max="12342" width="15.28515625" style="58" customWidth="1"/>
    <col min="12343" max="12343" width="14" style="58" bestFit="1" customWidth="1"/>
    <col min="12344" max="12344" width="17.140625" style="58" customWidth="1"/>
    <col min="12345" max="12366" width="16.5703125" style="58" customWidth="1"/>
    <col min="12367" max="12367" width="20.140625" style="58" customWidth="1"/>
    <col min="12368" max="12368" width="13.28515625" style="58" customWidth="1"/>
    <col min="12369" max="12369" width="14.85546875" style="58" customWidth="1"/>
    <col min="12370" max="12370" width="13.85546875" style="58" customWidth="1"/>
    <col min="12371" max="12371" width="13.5703125" style="58" customWidth="1"/>
    <col min="12372" max="12372" width="13" style="58" customWidth="1"/>
    <col min="12373" max="12373" width="13.5703125" style="58" customWidth="1"/>
    <col min="12374" max="12374" width="7.7109375" style="58" bestFit="1" customWidth="1"/>
    <col min="12375" max="12544" width="9.140625" style="58"/>
    <col min="12545" max="12545" width="4.28515625" style="58" customWidth="1"/>
    <col min="12546" max="12546" width="10.140625" style="58" customWidth="1"/>
    <col min="12547" max="12547" width="8.85546875" style="58" customWidth="1"/>
    <col min="12548" max="12548" width="11.140625" style="58" customWidth="1"/>
    <col min="12549" max="12549" width="15" style="58" bestFit="1" customWidth="1"/>
    <col min="12550" max="12550" width="13.5703125" style="58" customWidth="1"/>
    <col min="12551" max="12551" width="11.42578125" style="58" bestFit="1" customWidth="1"/>
    <col min="12552" max="12552" width="11.28515625" style="58" customWidth="1"/>
    <col min="12553" max="12553" width="15.28515625" style="58" bestFit="1" customWidth="1"/>
    <col min="12554" max="12556" width="11.85546875" style="58" customWidth="1"/>
    <col min="12557" max="12557" width="19.140625" style="58" customWidth="1"/>
    <col min="12558" max="12558" width="15" style="58" customWidth="1"/>
    <col min="12559" max="12559" width="15.28515625" style="58" customWidth="1"/>
    <col min="12560" max="12562" width="18.85546875" style="58" customWidth="1"/>
    <col min="12563" max="12563" width="12.7109375" style="58" customWidth="1"/>
    <col min="12564" max="12564" width="13.7109375" style="58" customWidth="1"/>
    <col min="12565" max="12565" width="16.140625" style="58" customWidth="1"/>
    <col min="12566" max="12566" width="17" style="58" customWidth="1"/>
    <col min="12567" max="12567" width="15" style="58" customWidth="1"/>
    <col min="12568" max="12568" width="14.28515625" style="58" customWidth="1"/>
    <col min="12569" max="12569" width="14.85546875" style="58" customWidth="1"/>
    <col min="12570" max="12570" width="17.140625" style="58" customWidth="1"/>
    <col min="12571" max="12571" width="13.5703125" style="58" customWidth="1"/>
    <col min="12572" max="12573" width="14.85546875" style="58" customWidth="1"/>
    <col min="12574" max="12574" width="18.85546875" style="58" customWidth="1"/>
    <col min="12575" max="12575" width="19.42578125" style="58" customWidth="1"/>
    <col min="12576" max="12576" width="16.140625" style="58" customWidth="1"/>
    <col min="12577" max="12577" width="14.5703125" style="58" customWidth="1"/>
    <col min="12578" max="12578" width="20.28515625" style="58" customWidth="1"/>
    <col min="12579" max="12579" width="13.85546875" style="58" customWidth="1"/>
    <col min="12580" max="12580" width="19.140625" style="58" customWidth="1"/>
    <col min="12581" max="12581" width="19.7109375" style="58" customWidth="1"/>
    <col min="12582" max="12582" width="16.5703125" style="58" customWidth="1"/>
    <col min="12583" max="12583" width="19.140625" style="58" customWidth="1"/>
    <col min="12584" max="12586" width="16.5703125" style="58" customWidth="1"/>
    <col min="12587" max="12587" width="15.7109375" style="58" customWidth="1"/>
    <col min="12588" max="12588" width="19.42578125" style="58" customWidth="1"/>
    <col min="12589" max="12589" width="14.85546875" style="58" bestFit="1" customWidth="1"/>
    <col min="12590" max="12590" width="13.7109375" style="58" bestFit="1" customWidth="1"/>
    <col min="12591" max="12591" width="13" style="58" customWidth="1"/>
    <col min="12592" max="12592" width="18.42578125" style="58" customWidth="1"/>
    <col min="12593" max="12595" width="13.140625" style="58" customWidth="1"/>
    <col min="12596" max="12596" width="16.42578125" style="58" customWidth="1"/>
    <col min="12597" max="12597" width="13.140625" style="58" customWidth="1"/>
    <col min="12598" max="12598" width="15.28515625" style="58" customWidth="1"/>
    <col min="12599" max="12599" width="14" style="58" bestFit="1" customWidth="1"/>
    <col min="12600" max="12600" width="17.140625" style="58" customWidth="1"/>
    <col min="12601" max="12622" width="16.5703125" style="58" customWidth="1"/>
    <col min="12623" max="12623" width="20.140625" style="58" customWidth="1"/>
    <col min="12624" max="12624" width="13.28515625" style="58" customWidth="1"/>
    <col min="12625" max="12625" width="14.85546875" style="58" customWidth="1"/>
    <col min="12626" max="12626" width="13.85546875" style="58" customWidth="1"/>
    <col min="12627" max="12627" width="13.5703125" style="58" customWidth="1"/>
    <col min="12628" max="12628" width="13" style="58" customWidth="1"/>
    <col min="12629" max="12629" width="13.5703125" style="58" customWidth="1"/>
    <col min="12630" max="12630" width="7.7109375" style="58" bestFit="1" customWidth="1"/>
    <col min="12631" max="12800" width="9.140625" style="58"/>
    <col min="12801" max="12801" width="4.28515625" style="58" customWidth="1"/>
    <col min="12802" max="12802" width="10.140625" style="58" customWidth="1"/>
    <col min="12803" max="12803" width="8.85546875" style="58" customWidth="1"/>
    <col min="12804" max="12804" width="11.140625" style="58" customWidth="1"/>
    <col min="12805" max="12805" width="15" style="58" bestFit="1" customWidth="1"/>
    <col min="12806" max="12806" width="13.5703125" style="58" customWidth="1"/>
    <col min="12807" max="12807" width="11.42578125" style="58" bestFit="1" customWidth="1"/>
    <col min="12808" max="12808" width="11.28515625" style="58" customWidth="1"/>
    <col min="12809" max="12809" width="15.28515625" style="58" bestFit="1" customWidth="1"/>
    <col min="12810" max="12812" width="11.85546875" style="58" customWidth="1"/>
    <col min="12813" max="12813" width="19.140625" style="58" customWidth="1"/>
    <col min="12814" max="12814" width="15" style="58" customWidth="1"/>
    <col min="12815" max="12815" width="15.28515625" style="58" customWidth="1"/>
    <col min="12816" max="12818" width="18.85546875" style="58" customWidth="1"/>
    <col min="12819" max="12819" width="12.7109375" style="58" customWidth="1"/>
    <col min="12820" max="12820" width="13.7109375" style="58" customWidth="1"/>
    <col min="12821" max="12821" width="16.140625" style="58" customWidth="1"/>
    <col min="12822" max="12822" width="17" style="58" customWidth="1"/>
    <col min="12823" max="12823" width="15" style="58" customWidth="1"/>
    <col min="12824" max="12824" width="14.28515625" style="58" customWidth="1"/>
    <col min="12825" max="12825" width="14.85546875" style="58" customWidth="1"/>
    <col min="12826" max="12826" width="17.140625" style="58" customWidth="1"/>
    <col min="12827" max="12827" width="13.5703125" style="58" customWidth="1"/>
    <col min="12828" max="12829" width="14.85546875" style="58" customWidth="1"/>
    <col min="12830" max="12830" width="18.85546875" style="58" customWidth="1"/>
    <col min="12831" max="12831" width="19.42578125" style="58" customWidth="1"/>
    <col min="12832" max="12832" width="16.140625" style="58" customWidth="1"/>
    <col min="12833" max="12833" width="14.5703125" style="58" customWidth="1"/>
    <col min="12834" max="12834" width="20.28515625" style="58" customWidth="1"/>
    <col min="12835" max="12835" width="13.85546875" style="58" customWidth="1"/>
    <col min="12836" max="12836" width="19.140625" style="58" customWidth="1"/>
    <col min="12837" max="12837" width="19.7109375" style="58" customWidth="1"/>
    <col min="12838" max="12838" width="16.5703125" style="58" customWidth="1"/>
    <col min="12839" max="12839" width="19.140625" style="58" customWidth="1"/>
    <col min="12840" max="12842" width="16.5703125" style="58" customWidth="1"/>
    <col min="12843" max="12843" width="15.7109375" style="58" customWidth="1"/>
    <col min="12844" max="12844" width="19.42578125" style="58" customWidth="1"/>
    <col min="12845" max="12845" width="14.85546875" style="58" bestFit="1" customWidth="1"/>
    <col min="12846" max="12846" width="13.7109375" style="58" bestFit="1" customWidth="1"/>
    <col min="12847" max="12847" width="13" style="58" customWidth="1"/>
    <col min="12848" max="12848" width="18.42578125" style="58" customWidth="1"/>
    <col min="12849" max="12851" width="13.140625" style="58" customWidth="1"/>
    <col min="12852" max="12852" width="16.42578125" style="58" customWidth="1"/>
    <col min="12853" max="12853" width="13.140625" style="58" customWidth="1"/>
    <col min="12854" max="12854" width="15.28515625" style="58" customWidth="1"/>
    <col min="12855" max="12855" width="14" style="58" bestFit="1" customWidth="1"/>
    <col min="12856" max="12856" width="17.140625" style="58" customWidth="1"/>
    <col min="12857" max="12878" width="16.5703125" style="58" customWidth="1"/>
    <col min="12879" max="12879" width="20.140625" style="58" customWidth="1"/>
    <col min="12880" max="12880" width="13.28515625" style="58" customWidth="1"/>
    <col min="12881" max="12881" width="14.85546875" style="58" customWidth="1"/>
    <col min="12882" max="12882" width="13.85546875" style="58" customWidth="1"/>
    <col min="12883" max="12883" width="13.5703125" style="58" customWidth="1"/>
    <col min="12884" max="12884" width="13" style="58" customWidth="1"/>
    <col min="12885" max="12885" width="13.5703125" style="58" customWidth="1"/>
    <col min="12886" max="12886" width="7.7109375" style="58" bestFit="1" customWidth="1"/>
    <col min="12887" max="13056" width="9.140625" style="58"/>
    <col min="13057" max="13057" width="4.28515625" style="58" customWidth="1"/>
    <col min="13058" max="13058" width="10.140625" style="58" customWidth="1"/>
    <col min="13059" max="13059" width="8.85546875" style="58" customWidth="1"/>
    <col min="13060" max="13060" width="11.140625" style="58" customWidth="1"/>
    <col min="13061" max="13061" width="15" style="58" bestFit="1" customWidth="1"/>
    <col min="13062" max="13062" width="13.5703125" style="58" customWidth="1"/>
    <col min="13063" max="13063" width="11.42578125" style="58" bestFit="1" customWidth="1"/>
    <col min="13064" max="13064" width="11.28515625" style="58" customWidth="1"/>
    <col min="13065" max="13065" width="15.28515625" style="58" bestFit="1" customWidth="1"/>
    <col min="13066" max="13068" width="11.85546875" style="58" customWidth="1"/>
    <col min="13069" max="13069" width="19.140625" style="58" customWidth="1"/>
    <col min="13070" max="13070" width="15" style="58" customWidth="1"/>
    <col min="13071" max="13071" width="15.28515625" style="58" customWidth="1"/>
    <col min="13072" max="13074" width="18.85546875" style="58" customWidth="1"/>
    <col min="13075" max="13075" width="12.7109375" style="58" customWidth="1"/>
    <col min="13076" max="13076" width="13.7109375" style="58" customWidth="1"/>
    <col min="13077" max="13077" width="16.140625" style="58" customWidth="1"/>
    <col min="13078" max="13078" width="17" style="58" customWidth="1"/>
    <col min="13079" max="13079" width="15" style="58" customWidth="1"/>
    <col min="13080" max="13080" width="14.28515625" style="58" customWidth="1"/>
    <col min="13081" max="13081" width="14.85546875" style="58" customWidth="1"/>
    <col min="13082" max="13082" width="17.140625" style="58" customWidth="1"/>
    <col min="13083" max="13083" width="13.5703125" style="58" customWidth="1"/>
    <col min="13084" max="13085" width="14.85546875" style="58" customWidth="1"/>
    <col min="13086" max="13086" width="18.85546875" style="58" customWidth="1"/>
    <col min="13087" max="13087" width="19.42578125" style="58" customWidth="1"/>
    <col min="13088" max="13088" width="16.140625" style="58" customWidth="1"/>
    <col min="13089" max="13089" width="14.5703125" style="58" customWidth="1"/>
    <col min="13090" max="13090" width="20.28515625" style="58" customWidth="1"/>
    <col min="13091" max="13091" width="13.85546875" style="58" customWidth="1"/>
    <col min="13092" max="13092" width="19.140625" style="58" customWidth="1"/>
    <col min="13093" max="13093" width="19.7109375" style="58" customWidth="1"/>
    <col min="13094" max="13094" width="16.5703125" style="58" customWidth="1"/>
    <col min="13095" max="13095" width="19.140625" style="58" customWidth="1"/>
    <col min="13096" max="13098" width="16.5703125" style="58" customWidth="1"/>
    <col min="13099" max="13099" width="15.7109375" style="58" customWidth="1"/>
    <col min="13100" max="13100" width="19.42578125" style="58" customWidth="1"/>
    <col min="13101" max="13101" width="14.85546875" style="58" bestFit="1" customWidth="1"/>
    <col min="13102" max="13102" width="13.7109375" style="58" bestFit="1" customWidth="1"/>
    <col min="13103" max="13103" width="13" style="58" customWidth="1"/>
    <col min="13104" max="13104" width="18.42578125" style="58" customWidth="1"/>
    <col min="13105" max="13107" width="13.140625" style="58" customWidth="1"/>
    <col min="13108" max="13108" width="16.42578125" style="58" customWidth="1"/>
    <col min="13109" max="13109" width="13.140625" style="58" customWidth="1"/>
    <col min="13110" max="13110" width="15.28515625" style="58" customWidth="1"/>
    <col min="13111" max="13111" width="14" style="58" bestFit="1" customWidth="1"/>
    <col min="13112" max="13112" width="17.140625" style="58" customWidth="1"/>
    <col min="13113" max="13134" width="16.5703125" style="58" customWidth="1"/>
    <col min="13135" max="13135" width="20.140625" style="58" customWidth="1"/>
    <col min="13136" max="13136" width="13.28515625" style="58" customWidth="1"/>
    <col min="13137" max="13137" width="14.85546875" style="58" customWidth="1"/>
    <col min="13138" max="13138" width="13.85546875" style="58" customWidth="1"/>
    <col min="13139" max="13139" width="13.5703125" style="58" customWidth="1"/>
    <col min="13140" max="13140" width="13" style="58" customWidth="1"/>
    <col min="13141" max="13141" width="13.5703125" style="58" customWidth="1"/>
    <col min="13142" max="13142" width="7.7109375" style="58" bestFit="1" customWidth="1"/>
    <col min="13143" max="13312" width="9.140625" style="58"/>
    <col min="13313" max="13313" width="4.28515625" style="58" customWidth="1"/>
    <col min="13314" max="13314" width="10.140625" style="58" customWidth="1"/>
    <col min="13315" max="13315" width="8.85546875" style="58" customWidth="1"/>
    <col min="13316" max="13316" width="11.140625" style="58" customWidth="1"/>
    <col min="13317" max="13317" width="15" style="58" bestFit="1" customWidth="1"/>
    <col min="13318" max="13318" width="13.5703125" style="58" customWidth="1"/>
    <col min="13319" max="13319" width="11.42578125" style="58" bestFit="1" customWidth="1"/>
    <col min="13320" max="13320" width="11.28515625" style="58" customWidth="1"/>
    <col min="13321" max="13321" width="15.28515625" style="58" bestFit="1" customWidth="1"/>
    <col min="13322" max="13324" width="11.85546875" style="58" customWidth="1"/>
    <col min="13325" max="13325" width="19.140625" style="58" customWidth="1"/>
    <col min="13326" max="13326" width="15" style="58" customWidth="1"/>
    <col min="13327" max="13327" width="15.28515625" style="58" customWidth="1"/>
    <col min="13328" max="13330" width="18.85546875" style="58" customWidth="1"/>
    <col min="13331" max="13331" width="12.7109375" style="58" customWidth="1"/>
    <col min="13332" max="13332" width="13.7109375" style="58" customWidth="1"/>
    <col min="13333" max="13333" width="16.140625" style="58" customWidth="1"/>
    <col min="13334" max="13334" width="17" style="58" customWidth="1"/>
    <col min="13335" max="13335" width="15" style="58" customWidth="1"/>
    <col min="13336" max="13336" width="14.28515625" style="58" customWidth="1"/>
    <col min="13337" max="13337" width="14.85546875" style="58" customWidth="1"/>
    <col min="13338" max="13338" width="17.140625" style="58" customWidth="1"/>
    <col min="13339" max="13339" width="13.5703125" style="58" customWidth="1"/>
    <col min="13340" max="13341" width="14.85546875" style="58" customWidth="1"/>
    <col min="13342" max="13342" width="18.85546875" style="58" customWidth="1"/>
    <col min="13343" max="13343" width="19.42578125" style="58" customWidth="1"/>
    <col min="13344" max="13344" width="16.140625" style="58" customWidth="1"/>
    <col min="13345" max="13345" width="14.5703125" style="58" customWidth="1"/>
    <col min="13346" max="13346" width="20.28515625" style="58" customWidth="1"/>
    <col min="13347" max="13347" width="13.85546875" style="58" customWidth="1"/>
    <col min="13348" max="13348" width="19.140625" style="58" customWidth="1"/>
    <col min="13349" max="13349" width="19.7109375" style="58" customWidth="1"/>
    <col min="13350" max="13350" width="16.5703125" style="58" customWidth="1"/>
    <col min="13351" max="13351" width="19.140625" style="58" customWidth="1"/>
    <col min="13352" max="13354" width="16.5703125" style="58" customWidth="1"/>
    <col min="13355" max="13355" width="15.7109375" style="58" customWidth="1"/>
    <col min="13356" max="13356" width="19.42578125" style="58" customWidth="1"/>
    <col min="13357" max="13357" width="14.85546875" style="58" bestFit="1" customWidth="1"/>
    <col min="13358" max="13358" width="13.7109375" style="58" bestFit="1" customWidth="1"/>
    <col min="13359" max="13359" width="13" style="58" customWidth="1"/>
    <col min="13360" max="13360" width="18.42578125" style="58" customWidth="1"/>
    <col min="13361" max="13363" width="13.140625" style="58" customWidth="1"/>
    <col min="13364" max="13364" width="16.42578125" style="58" customWidth="1"/>
    <col min="13365" max="13365" width="13.140625" style="58" customWidth="1"/>
    <col min="13366" max="13366" width="15.28515625" style="58" customWidth="1"/>
    <col min="13367" max="13367" width="14" style="58" bestFit="1" customWidth="1"/>
    <col min="13368" max="13368" width="17.140625" style="58" customWidth="1"/>
    <col min="13369" max="13390" width="16.5703125" style="58" customWidth="1"/>
    <col min="13391" max="13391" width="20.140625" style="58" customWidth="1"/>
    <col min="13392" max="13392" width="13.28515625" style="58" customWidth="1"/>
    <col min="13393" max="13393" width="14.85546875" style="58" customWidth="1"/>
    <col min="13394" max="13394" width="13.85546875" style="58" customWidth="1"/>
    <col min="13395" max="13395" width="13.5703125" style="58" customWidth="1"/>
    <col min="13396" max="13396" width="13" style="58" customWidth="1"/>
    <col min="13397" max="13397" width="13.5703125" style="58" customWidth="1"/>
    <col min="13398" max="13398" width="7.7109375" style="58" bestFit="1" customWidth="1"/>
    <col min="13399" max="13568" width="9.140625" style="58"/>
    <col min="13569" max="13569" width="4.28515625" style="58" customWidth="1"/>
    <col min="13570" max="13570" width="10.140625" style="58" customWidth="1"/>
    <col min="13571" max="13571" width="8.85546875" style="58" customWidth="1"/>
    <col min="13572" max="13572" width="11.140625" style="58" customWidth="1"/>
    <col min="13573" max="13573" width="15" style="58" bestFit="1" customWidth="1"/>
    <col min="13574" max="13574" width="13.5703125" style="58" customWidth="1"/>
    <col min="13575" max="13575" width="11.42578125" style="58" bestFit="1" customWidth="1"/>
    <col min="13576" max="13576" width="11.28515625" style="58" customWidth="1"/>
    <col min="13577" max="13577" width="15.28515625" style="58" bestFit="1" customWidth="1"/>
    <col min="13578" max="13580" width="11.85546875" style="58" customWidth="1"/>
    <col min="13581" max="13581" width="19.140625" style="58" customWidth="1"/>
    <col min="13582" max="13582" width="15" style="58" customWidth="1"/>
    <col min="13583" max="13583" width="15.28515625" style="58" customWidth="1"/>
    <col min="13584" max="13586" width="18.85546875" style="58" customWidth="1"/>
    <col min="13587" max="13587" width="12.7109375" style="58" customWidth="1"/>
    <col min="13588" max="13588" width="13.7109375" style="58" customWidth="1"/>
    <col min="13589" max="13589" width="16.140625" style="58" customWidth="1"/>
    <col min="13590" max="13590" width="17" style="58" customWidth="1"/>
    <col min="13591" max="13591" width="15" style="58" customWidth="1"/>
    <col min="13592" max="13592" width="14.28515625" style="58" customWidth="1"/>
    <col min="13593" max="13593" width="14.85546875" style="58" customWidth="1"/>
    <col min="13594" max="13594" width="17.140625" style="58" customWidth="1"/>
    <col min="13595" max="13595" width="13.5703125" style="58" customWidth="1"/>
    <col min="13596" max="13597" width="14.85546875" style="58" customWidth="1"/>
    <col min="13598" max="13598" width="18.85546875" style="58" customWidth="1"/>
    <col min="13599" max="13599" width="19.42578125" style="58" customWidth="1"/>
    <col min="13600" max="13600" width="16.140625" style="58" customWidth="1"/>
    <col min="13601" max="13601" width="14.5703125" style="58" customWidth="1"/>
    <col min="13602" max="13602" width="20.28515625" style="58" customWidth="1"/>
    <col min="13603" max="13603" width="13.85546875" style="58" customWidth="1"/>
    <col min="13604" max="13604" width="19.140625" style="58" customWidth="1"/>
    <col min="13605" max="13605" width="19.7109375" style="58" customWidth="1"/>
    <col min="13606" max="13606" width="16.5703125" style="58" customWidth="1"/>
    <col min="13607" max="13607" width="19.140625" style="58" customWidth="1"/>
    <col min="13608" max="13610" width="16.5703125" style="58" customWidth="1"/>
    <col min="13611" max="13611" width="15.7109375" style="58" customWidth="1"/>
    <col min="13612" max="13612" width="19.42578125" style="58" customWidth="1"/>
    <col min="13613" max="13613" width="14.85546875" style="58" bestFit="1" customWidth="1"/>
    <col min="13614" max="13614" width="13.7109375" style="58" bestFit="1" customWidth="1"/>
    <col min="13615" max="13615" width="13" style="58" customWidth="1"/>
    <col min="13616" max="13616" width="18.42578125" style="58" customWidth="1"/>
    <col min="13617" max="13619" width="13.140625" style="58" customWidth="1"/>
    <col min="13620" max="13620" width="16.42578125" style="58" customWidth="1"/>
    <col min="13621" max="13621" width="13.140625" style="58" customWidth="1"/>
    <col min="13622" max="13622" width="15.28515625" style="58" customWidth="1"/>
    <col min="13623" max="13623" width="14" style="58" bestFit="1" customWidth="1"/>
    <col min="13624" max="13624" width="17.140625" style="58" customWidth="1"/>
    <col min="13625" max="13646" width="16.5703125" style="58" customWidth="1"/>
    <col min="13647" max="13647" width="20.140625" style="58" customWidth="1"/>
    <col min="13648" max="13648" width="13.28515625" style="58" customWidth="1"/>
    <col min="13649" max="13649" width="14.85546875" style="58" customWidth="1"/>
    <col min="13650" max="13650" width="13.85546875" style="58" customWidth="1"/>
    <col min="13651" max="13651" width="13.5703125" style="58" customWidth="1"/>
    <col min="13652" max="13652" width="13" style="58" customWidth="1"/>
    <col min="13653" max="13653" width="13.5703125" style="58" customWidth="1"/>
    <col min="13654" max="13654" width="7.7109375" style="58" bestFit="1" customWidth="1"/>
    <col min="13655" max="13824" width="9.140625" style="58"/>
    <col min="13825" max="13825" width="4.28515625" style="58" customWidth="1"/>
    <col min="13826" max="13826" width="10.140625" style="58" customWidth="1"/>
    <col min="13827" max="13827" width="8.85546875" style="58" customWidth="1"/>
    <col min="13828" max="13828" width="11.140625" style="58" customWidth="1"/>
    <col min="13829" max="13829" width="15" style="58" bestFit="1" customWidth="1"/>
    <col min="13830" max="13830" width="13.5703125" style="58" customWidth="1"/>
    <col min="13831" max="13831" width="11.42578125" style="58" bestFit="1" customWidth="1"/>
    <col min="13832" max="13832" width="11.28515625" style="58" customWidth="1"/>
    <col min="13833" max="13833" width="15.28515625" style="58" bestFit="1" customWidth="1"/>
    <col min="13834" max="13836" width="11.85546875" style="58" customWidth="1"/>
    <col min="13837" max="13837" width="19.140625" style="58" customWidth="1"/>
    <col min="13838" max="13838" width="15" style="58" customWidth="1"/>
    <col min="13839" max="13839" width="15.28515625" style="58" customWidth="1"/>
    <col min="13840" max="13842" width="18.85546875" style="58" customWidth="1"/>
    <col min="13843" max="13843" width="12.7109375" style="58" customWidth="1"/>
    <col min="13844" max="13844" width="13.7109375" style="58" customWidth="1"/>
    <col min="13845" max="13845" width="16.140625" style="58" customWidth="1"/>
    <col min="13846" max="13846" width="17" style="58" customWidth="1"/>
    <col min="13847" max="13847" width="15" style="58" customWidth="1"/>
    <col min="13848" max="13848" width="14.28515625" style="58" customWidth="1"/>
    <col min="13849" max="13849" width="14.85546875" style="58" customWidth="1"/>
    <col min="13850" max="13850" width="17.140625" style="58" customWidth="1"/>
    <col min="13851" max="13851" width="13.5703125" style="58" customWidth="1"/>
    <col min="13852" max="13853" width="14.85546875" style="58" customWidth="1"/>
    <col min="13854" max="13854" width="18.85546875" style="58" customWidth="1"/>
    <col min="13855" max="13855" width="19.42578125" style="58" customWidth="1"/>
    <col min="13856" max="13856" width="16.140625" style="58" customWidth="1"/>
    <col min="13857" max="13857" width="14.5703125" style="58" customWidth="1"/>
    <col min="13858" max="13858" width="20.28515625" style="58" customWidth="1"/>
    <col min="13859" max="13859" width="13.85546875" style="58" customWidth="1"/>
    <col min="13860" max="13860" width="19.140625" style="58" customWidth="1"/>
    <col min="13861" max="13861" width="19.7109375" style="58" customWidth="1"/>
    <col min="13862" max="13862" width="16.5703125" style="58" customWidth="1"/>
    <col min="13863" max="13863" width="19.140625" style="58" customWidth="1"/>
    <col min="13864" max="13866" width="16.5703125" style="58" customWidth="1"/>
    <col min="13867" max="13867" width="15.7109375" style="58" customWidth="1"/>
    <col min="13868" max="13868" width="19.42578125" style="58" customWidth="1"/>
    <col min="13869" max="13869" width="14.85546875" style="58" bestFit="1" customWidth="1"/>
    <col min="13870" max="13870" width="13.7109375" style="58" bestFit="1" customWidth="1"/>
    <col min="13871" max="13871" width="13" style="58" customWidth="1"/>
    <col min="13872" max="13872" width="18.42578125" style="58" customWidth="1"/>
    <col min="13873" max="13875" width="13.140625" style="58" customWidth="1"/>
    <col min="13876" max="13876" width="16.42578125" style="58" customWidth="1"/>
    <col min="13877" max="13877" width="13.140625" style="58" customWidth="1"/>
    <col min="13878" max="13878" width="15.28515625" style="58" customWidth="1"/>
    <col min="13879" max="13879" width="14" style="58" bestFit="1" customWidth="1"/>
    <col min="13880" max="13880" width="17.140625" style="58" customWidth="1"/>
    <col min="13881" max="13902" width="16.5703125" style="58" customWidth="1"/>
    <col min="13903" max="13903" width="20.140625" style="58" customWidth="1"/>
    <col min="13904" max="13904" width="13.28515625" style="58" customWidth="1"/>
    <col min="13905" max="13905" width="14.85546875" style="58" customWidth="1"/>
    <col min="13906" max="13906" width="13.85546875" style="58" customWidth="1"/>
    <col min="13907" max="13907" width="13.5703125" style="58" customWidth="1"/>
    <col min="13908" max="13908" width="13" style="58" customWidth="1"/>
    <col min="13909" max="13909" width="13.5703125" style="58" customWidth="1"/>
    <col min="13910" max="13910" width="7.7109375" style="58" bestFit="1" customWidth="1"/>
    <col min="13911" max="14080" width="9.140625" style="58"/>
    <col min="14081" max="14081" width="4.28515625" style="58" customWidth="1"/>
    <col min="14082" max="14082" width="10.140625" style="58" customWidth="1"/>
    <col min="14083" max="14083" width="8.85546875" style="58" customWidth="1"/>
    <col min="14084" max="14084" width="11.140625" style="58" customWidth="1"/>
    <col min="14085" max="14085" width="15" style="58" bestFit="1" customWidth="1"/>
    <col min="14086" max="14086" width="13.5703125" style="58" customWidth="1"/>
    <col min="14087" max="14087" width="11.42578125" style="58" bestFit="1" customWidth="1"/>
    <col min="14088" max="14088" width="11.28515625" style="58" customWidth="1"/>
    <col min="14089" max="14089" width="15.28515625" style="58" bestFit="1" customWidth="1"/>
    <col min="14090" max="14092" width="11.85546875" style="58" customWidth="1"/>
    <col min="14093" max="14093" width="19.140625" style="58" customWidth="1"/>
    <col min="14094" max="14094" width="15" style="58" customWidth="1"/>
    <col min="14095" max="14095" width="15.28515625" style="58" customWidth="1"/>
    <col min="14096" max="14098" width="18.85546875" style="58" customWidth="1"/>
    <col min="14099" max="14099" width="12.7109375" style="58" customWidth="1"/>
    <col min="14100" max="14100" width="13.7109375" style="58" customWidth="1"/>
    <col min="14101" max="14101" width="16.140625" style="58" customWidth="1"/>
    <col min="14102" max="14102" width="17" style="58" customWidth="1"/>
    <col min="14103" max="14103" width="15" style="58" customWidth="1"/>
    <col min="14104" max="14104" width="14.28515625" style="58" customWidth="1"/>
    <col min="14105" max="14105" width="14.85546875" style="58" customWidth="1"/>
    <col min="14106" max="14106" width="17.140625" style="58" customWidth="1"/>
    <col min="14107" max="14107" width="13.5703125" style="58" customWidth="1"/>
    <col min="14108" max="14109" width="14.85546875" style="58" customWidth="1"/>
    <col min="14110" max="14110" width="18.85546875" style="58" customWidth="1"/>
    <col min="14111" max="14111" width="19.42578125" style="58" customWidth="1"/>
    <col min="14112" max="14112" width="16.140625" style="58" customWidth="1"/>
    <col min="14113" max="14113" width="14.5703125" style="58" customWidth="1"/>
    <col min="14114" max="14114" width="20.28515625" style="58" customWidth="1"/>
    <col min="14115" max="14115" width="13.85546875" style="58" customWidth="1"/>
    <col min="14116" max="14116" width="19.140625" style="58" customWidth="1"/>
    <col min="14117" max="14117" width="19.7109375" style="58" customWidth="1"/>
    <col min="14118" max="14118" width="16.5703125" style="58" customWidth="1"/>
    <col min="14119" max="14119" width="19.140625" style="58" customWidth="1"/>
    <col min="14120" max="14122" width="16.5703125" style="58" customWidth="1"/>
    <col min="14123" max="14123" width="15.7109375" style="58" customWidth="1"/>
    <col min="14124" max="14124" width="19.42578125" style="58" customWidth="1"/>
    <col min="14125" max="14125" width="14.85546875" style="58" bestFit="1" customWidth="1"/>
    <col min="14126" max="14126" width="13.7109375" style="58" bestFit="1" customWidth="1"/>
    <col min="14127" max="14127" width="13" style="58" customWidth="1"/>
    <col min="14128" max="14128" width="18.42578125" style="58" customWidth="1"/>
    <col min="14129" max="14131" width="13.140625" style="58" customWidth="1"/>
    <col min="14132" max="14132" width="16.42578125" style="58" customWidth="1"/>
    <col min="14133" max="14133" width="13.140625" style="58" customWidth="1"/>
    <col min="14134" max="14134" width="15.28515625" style="58" customWidth="1"/>
    <col min="14135" max="14135" width="14" style="58" bestFit="1" customWidth="1"/>
    <col min="14136" max="14136" width="17.140625" style="58" customWidth="1"/>
    <col min="14137" max="14158" width="16.5703125" style="58" customWidth="1"/>
    <col min="14159" max="14159" width="20.140625" style="58" customWidth="1"/>
    <col min="14160" max="14160" width="13.28515625" style="58" customWidth="1"/>
    <col min="14161" max="14161" width="14.85546875" style="58" customWidth="1"/>
    <col min="14162" max="14162" width="13.85546875" style="58" customWidth="1"/>
    <col min="14163" max="14163" width="13.5703125" style="58" customWidth="1"/>
    <col min="14164" max="14164" width="13" style="58" customWidth="1"/>
    <col min="14165" max="14165" width="13.5703125" style="58" customWidth="1"/>
    <col min="14166" max="14166" width="7.7109375" style="58" bestFit="1" customWidth="1"/>
    <col min="14167" max="14336" width="9.140625" style="58"/>
    <col min="14337" max="14337" width="4.28515625" style="58" customWidth="1"/>
    <col min="14338" max="14338" width="10.140625" style="58" customWidth="1"/>
    <col min="14339" max="14339" width="8.85546875" style="58" customWidth="1"/>
    <col min="14340" max="14340" width="11.140625" style="58" customWidth="1"/>
    <col min="14341" max="14341" width="15" style="58" bestFit="1" customWidth="1"/>
    <col min="14342" max="14342" width="13.5703125" style="58" customWidth="1"/>
    <col min="14343" max="14343" width="11.42578125" style="58" bestFit="1" customWidth="1"/>
    <col min="14344" max="14344" width="11.28515625" style="58" customWidth="1"/>
    <col min="14345" max="14345" width="15.28515625" style="58" bestFit="1" customWidth="1"/>
    <col min="14346" max="14348" width="11.85546875" style="58" customWidth="1"/>
    <col min="14349" max="14349" width="19.140625" style="58" customWidth="1"/>
    <col min="14350" max="14350" width="15" style="58" customWidth="1"/>
    <col min="14351" max="14351" width="15.28515625" style="58" customWidth="1"/>
    <col min="14352" max="14354" width="18.85546875" style="58" customWidth="1"/>
    <col min="14355" max="14355" width="12.7109375" style="58" customWidth="1"/>
    <col min="14356" max="14356" width="13.7109375" style="58" customWidth="1"/>
    <col min="14357" max="14357" width="16.140625" style="58" customWidth="1"/>
    <col min="14358" max="14358" width="17" style="58" customWidth="1"/>
    <col min="14359" max="14359" width="15" style="58" customWidth="1"/>
    <col min="14360" max="14360" width="14.28515625" style="58" customWidth="1"/>
    <col min="14361" max="14361" width="14.85546875" style="58" customWidth="1"/>
    <col min="14362" max="14362" width="17.140625" style="58" customWidth="1"/>
    <col min="14363" max="14363" width="13.5703125" style="58" customWidth="1"/>
    <col min="14364" max="14365" width="14.85546875" style="58" customWidth="1"/>
    <col min="14366" max="14366" width="18.85546875" style="58" customWidth="1"/>
    <col min="14367" max="14367" width="19.42578125" style="58" customWidth="1"/>
    <col min="14368" max="14368" width="16.140625" style="58" customWidth="1"/>
    <col min="14369" max="14369" width="14.5703125" style="58" customWidth="1"/>
    <col min="14370" max="14370" width="20.28515625" style="58" customWidth="1"/>
    <col min="14371" max="14371" width="13.85546875" style="58" customWidth="1"/>
    <col min="14372" max="14372" width="19.140625" style="58" customWidth="1"/>
    <col min="14373" max="14373" width="19.7109375" style="58" customWidth="1"/>
    <col min="14374" max="14374" width="16.5703125" style="58" customWidth="1"/>
    <col min="14375" max="14375" width="19.140625" style="58" customWidth="1"/>
    <col min="14376" max="14378" width="16.5703125" style="58" customWidth="1"/>
    <col min="14379" max="14379" width="15.7109375" style="58" customWidth="1"/>
    <col min="14380" max="14380" width="19.42578125" style="58" customWidth="1"/>
    <col min="14381" max="14381" width="14.85546875" style="58" bestFit="1" customWidth="1"/>
    <col min="14382" max="14382" width="13.7109375" style="58" bestFit="1" customWidth="1"/>
    <col min="14383" max="14383" width="13" style="58" customWidth="1"/>
    <col min="14384" max="14384" width="18.42578125" style="58" customWidth="1"/>
    <col min="14385" max="14387" width="13.140625" style="58" customWidth="1"/>
    <col min="14388" max="14388" width="16.42578125" style="58" customWidth="1"/>
    <col min="14389" max="14389" width="13.140625" style="58" customWidth="1"/>
    <col min="14390" max="14390" width="15.28515625" style="58" customWidth="1"/>
    <col min="14391" max="14391" width="14" style="58" bestFit="1" customWidth="1"/>
    <col min="14392" max="14392" width="17.140625" style="58" customWidth="1"/>
    <col min="14393" max="14414" width="16.5703125" style="58" customWidth="1"/>
    <col min="14415" max="14415" width="20.140625" style="58" customWidth="1"/>
    <col min="14416" max="14416" width="13.28515625" style="58" customWidth="1"/>
    <col min="14417" max="14417" width="14.85546875" style="58" customWidth="1"/>
    <col min="14418" max="14418" width="13.85546875" style="58" customWidth="1"/>
    <col min="14419" max="14419" width="13.5703125" style="58" customWidth="1"/>
    <col min="14420" max="14420" width="13" style="58" customWidth="1"/>
    <col min="14421" max="14421" width="13.5703125" style="58" customWidth="1"/>
    <col min="14422" max="14422" width="7.7109375" style="58" bestFit="1" customWidth="1"/>
    <col min="14423" max="14592" width="9.140625" style="58"/>
    <col min="14593" max="14593" width="4.28515625" style="58" customWidth="1"/>
    <col min="14594" max="14594" width="10.140625" style="58" customWidth="1"/>
    <col min="14595" max="14595" width="8.85546875" style="58" customWidth="1"/>
    <col min="14596" max="14596" width="11.140625" style="58" customWidth="1"/>
    <col min="14597" max="14597" width="15" style="58" bestFit="1" customWidth="1"/>
    <col min="14598" max="14598" width="13.5703125" style="58" customWidth="1"/>
    <col min="14599" max="14599" width="11.42578125" style="58" bestFit="1" customWidth="1"/>
    <col min="14600" max="14600" width="11.28515625" style="58" customWidth="1"/>
    <col min="14601" max="14601" width="15.28515625" style="58" bestFit="1" customWidth="1"/>
    <col min="14602" max="14604" width="11.85546875" style="58" customWidth="1"/>
    <col min="14605" max="14605" width="19.140625" style="58" customWidth="1"/>
    <col min="14606" max="14606" width="15" style="58" customWidth="1"/>
    <col min="14607" max="14607" width="15.28515625" style="58" customWidth="1"/>
    <col min="14608" max="14610" width="18.85546875" style="58" customWidth="1"/>
    <col min="14611" max="14611" width="12.7109375" style="58" customWidth="1"/>
    <col min="14612" max="14612" width="13.7109375" style="58" customWidth="1"/>
    <col min="14613" max="14613" width="16.140625" style="58" customWidth="1"/>
    <col min="14614" max="14614" width="17" style="58" customWidth="1"/>
    <col min="14615" max="14615" width="15" style="58" customWidth="1"/>
    <col min="14616" max="14616" width="14.28515625" style="58" customWidth="1"/>
    <col min="14617" max="14617" width="14.85546875" style="58" customWidth="1"/>
    <col min="14618" max="14618" width="17.140625" style="58" customWidth="1"/>
    <col min="14619" max="14619" width="13.5703125" style="58" customWidth="1"/>
    <col min="14620" max="14621" width="14.85546875" style="58" customWidth="1"/>
    <col min="14622" max="14622" width="18.85546875" style="58" customWidth="1"/>
    <col min="14623" max="14623" width="19.42578125" style="58" customWidth="1"/>
    <col min="14624" max="14624" width="16.140625" style="58" customWidth="1"/>
    <col min="14625" max="14625" width="14.5703125" style="58" customWidth="1"/>
    <col min="14626" max="14626" width="20.28515625" style="58" customWidth="1"/>
    <col min="14627" max="14627" width="13.85546875" style="58" customWidth="1"/>
    <col min="14628" max="14628" width="19.140625" style="58" customWidth="1"/>
    <col min="14629" max="14629" width="19.7109375" style="58" customWidth="1"/>
    <col min="14630" max="14630" width="16.5703125" style="58" customWidth="1"/>
    <col min="14631" max="14631" width="19.140625" style="58" customWidth="1"/>
    <col min="14632" max="14634" width="16.5703125" style="58" customWidth="1"/>
    <col min="14635" max="14635" width="15.7109375" style="58" customWidth="1"/>
    <col min="14636" max="14636" width="19.42578125" style="58" customWidth="1"/>
    <col min="14637" max="14637" width="14.85546875" style="58" bestFit="1" customWidth="1"/>
    <col min="14638" max="14638" width="13.7109375" style="58" bestFit="1" customWidth="1"/>
    <col min="14639" max="14639" width="13" style="58" customWidth="1"/>
    <col min="14640" max="14640" width="18.42578125" style="58" customWidth="1"/>
    <col min="14641" max="14643" width="13.140625" style="58" customWidth="1"/>
    <col min="14644" max="14644" width="16.42578125" style="58" customWidth="1"/>
    <col min="14645" max="14645" width="13.140625" style="58" customWidth="1"/>
    <col min="14646" max="14646" width="15.28515625" style="58" customWidth="1"/>
    <col min="14647" max="14647" width="14" style="58" bestFit="1" customWidth="1"/>
    <col min="14648" max="14648" width="17.140625" style="58" customWidth="1"/>
    <col min="14649" max="14670" width="16.5703125" style="58" customWidth="1"/>
    <col min="14671" max="14671" width="20.140625" style="58" customWidth="1"/>
    <col min="14672" max="14672" width="13.28515625" style="58" customWidth="1"/>
    <col min="14673" max="14673" width="14.85546875" style="58" customWidth="1"/>
    <col min="14674" max="14674" width="13.85546875" style="58" customWidth="1"/>
    <col min="14675" max="14675" width="13.5703125" style="58" customWidth="1"/>
    <col min="14676" max="14676" width="13" style="58" customWidth="1"/>
    <col min="14677" max="14677" width="13.5703125" style="58" customWidth="1"/>
    <col min="14678" max="14678" width="7.7109375" style="58" bestFit="1" customWidth="1"/>
    <col min="14679" max="14848" width="9.140625" style="58"/>
    <col min="14849" max="14849" width="4.28515625" style="58" customWidth="1"/>
    <col min="14850" max="14850" width="10.140625" style="58" customWidth="1"/>
    <col min="14851" max="14851" width="8.85546875" style="58" customWidth="1"/>
    <col min="14852" max="14852" width="11.140625" style="58" customWidth="1"/>
    <col min="14853" max="14853" width="15" style="58" bestFit="1" customWidth="1"/>
    <col min="14854" max="14854" width="13.5703125" style="58" customWidth="1"/>
    <col min="14855" max="14855" width="11.42578125" style="58" bestFit="1" customWidth="1"/>
    <col min="14856" max="14856" width="11.28515625" style="58" customWidth="1"/>
    <col min="14857" max="14857" width="15.28515625" style="58" bestFit="1" customWidth="1"/>
    <col min="14858" max="14860" width="11.85546875" style="58" customWidth="1"/>
    <col min="14861" max="14861" width="19.140625" style="58" customWidth="1"/>
    <col min="14862" max="14862" width="15" style="58" customWidth="1"/>
    <col min="14863" max="14863" width="15.28515625" style="58" customWidth="1"/>
    <col min="14864" max="14866" width="18.85546875" style="58" customWidth="1"/>
    <col min="14867" max="14867" width="12.7109375" style="58" customWidth="1"/>
    <col min="14868" max="14868" width="13.7109375" style="58" customWidth="1"/>
    <col min="14869" max="14869" width="16.140625" style="58" customWidth="1"/>
    <col min="14870" max="14870" width="17" style="58" customWidth="1"/>
    <col min="14871" max="14871" width="15" style="58" customWidth="1"/>
    <col min="14872" max="14872" width="14.28515625" style="58" customWidth="1"/>
    <col min="14873" max="14873" width="14.85546875" style="58" customWidth="1"/>
    <col min="14874" max="14874" width="17.140625" style="58" customWidth="1"/>
    <col min="14875" max="14875" width="13.5703125" style="58" customWidth="1"/>
    <col min="14876" max="14877" width="14.85546875" style="58" customWidth="1"/>
    <col min="14878" max="14878" width="18.85546875" style="58" customWidth="1"/>
    <col min="14879" max="14879" width="19.42578125" style="58" customWidth="1"/>
    <col min="14880" max="14880" width="16.140625" style="58" customWidth="1"/>
    <col min="14881" max="14881" width="14.5703125" style="58" customWidth="1"/>
    <col min="14882" max="14882" width="20.28515625" style="58" customWidth="1"/>
    <col min="14883" max="14883" width="13.85546875" style="58" customWidth="1"/>
    <col min="14884" max="14884" width="19.140625" style="58" customWidth="1"/>
    <col min="14885" max="14885" width="19.7109375" style="58" customWidth="1"/>
    <col min="14886" max="14886" width="16.5703125" style="58" customWidth="1"/>
    <col min="14887" max="14887" width="19.140625" style="58" customWidth="1"/>
    <col min="14888" max="14890" width="16.5703125" style="58" customWidth="1"/>
    <col min="14891" max="14891" width="15.7109375" style="58" customWidth="1"/>
    <col min="14892" max="14892" width="19.42578125" style="58" customWidth="1"/>
    <col min="14893" max="14893" width="14.85546875" style="58" bestFit="1" customWidth="1"/>
    <col min="14894" max="14894" width="13.7109375" style="58" bestFit="1" customWidth="1"/>
    <col min="14895" max="14895" width="13" style="58" customWidth="1"/>
    <col min="14896" max="14896" width="18.42578125" style="58" customWidth="1"/>
    <col min="14897" max="14899" width="13.140625" style="58" customWidth="1"/>
    <col min="14900" max="14900" width="16.42578125" style="58" customWidth="1"/>
    <col min="14901" max="14901" width="13.140625" style="58" customWidth="1"/>
    <col min="14902" max="14902" width="15.28515625" style="58" customWidth="1"/>
    <col min="14903" max="14903" width="14" style="58" bestFit="1" customWidth="1"/>
    <col min="14904" max="14904" width="17.140625" style="58" customWidth="1"/>
    <col min="14905" max="14926" width="16.5703125" style="58" customWidth="1"/>
    <col min="14927" max="14927" width="20.140625" style="58" customWidth="1"/>
    <col min="14928" max="14928" width="13.28515625" style="58" customWidth="1"/>
    <col min="14929" max="14929" width="14.85546875" style="58" customWidth="1"/>
    <col min="14930" max="14930" width="13.85546875" style="58" customWidth="1"/>
    <col min="14931" max="14931" width="13.5703125" style="58" customWidth="1"/>
    <col min="14932" max="14932" width="13" style="58" customWidth="1"/>
    <col min="14933" max="14933" width="13.5703125" style="58" customWidth="1"/>
    <col min="14934" max="14934" width="7.7109375" style="58" bestFit="1" customWidth="1"/>
    <col min="14935" max="15104" width="9.140625" style="58"/>
    <col min="15105" max="15105" width="4.28515625" style="58" customWidth="1"/>
    <col min="15106" max="15106" width="10.140625" style="58" customWidth="1"/>
    <col min="15107" max="15107" width="8.85546875" style="58" customWidth="1"/>
    <col min="15108" max="15108" width="11.140625" style="58" customWidth="1"/>
    <col min="15109" max="15109" width="15" style="58" bestFit="1" customWidth="1"/>
    <col min="15110" max="15110" width="13.5703125" style="58" customWidth="1"/>
    <col min="15111" max="15111" width="11.42578125" style="58" bestFit="1" customWidth="1"/>
    <col min="15112" max="15112" width="11.28515625" style="58" customWidth="1"/>
    <col min="15113" max="15113" width="15.28515625" style="58" bestFit="1" customWidth="1"/>
    <col min="15114" max="15116" width="11.85546875" style="58" customWidth="1"/>
    <col min="15117" max="15117" width="19.140625" style="58" customWidth="1"/>
    <col min="15118" max="15118" width="15" style="58" customWidth="1"/>
    <col min="15119" max="15119" width="15.28515625" style="58" customWidth="1"/>
    <col min="15120" max="15122" width="18.85546875" style="58" customWidth="1"/>
    <col min="15123" max="15123" width="12.7109375" style="58" customWidth="1"/>
    <col min="15124" max="15124" width="13.7109375" style="58" customWidth="1"/>
    <col min="15125" max="15125" width="16.140625" style="58" customWidth="1"/>
    <col min="15126" max="15126" width="17" style="58" customWidth="1"/>
    <col min="15127" max="15127" width="15" style="58" customWidth="1"/>
    <col min="15128" max="15128" width="14.28515625" style="58" customWidth="1"/>
    <col min="15129" max="15129" width="14.85546875" style="58" customWidth="1"/>
    <col min="15130" max="15130" width="17.140625" style="58" customWidth="1"/>
    <col min="15131" max="15131" width="13.5703125" style="58" customWidth="1"/>
    <col min="15132" max="15133" width="14.85546875" style="58" customWidth="1"/>
    <col min="15134" max="15134" width="18.85546875" style="58" customWidth="1"/>
    <col min="15135" max="15135" width="19.42578125" style="58" customWidth="1"/>
    <col min="15136" max="15136" width="16.140625" style="58" customWidth="1"/>
    <col min="15137" max="15137" width="14.5703125" style="58" customWidth="1"/>
    <col min="15138" max="15138" width="20.28515625" style="58" customWidth="1"/>
    <col min="15139" max="15139" width="13.85546875" style="58" customWidth="1"/>
    <col min="15140" max="15140" width="19.140625" style="58" customWidth="1"/>
    <col min="15141" max="15141" width="19.7109375" style="58" customWidth="1"/>
    <col min="15142" max="15142" width="16.5703125" style="58" customWidth="1"/>
    <col min="15143" max="15143" width="19.140625" style="58" customWidth="1"/>
    <col min="15144" max="15146" width="16.5703125" style="58" customWidth="1"/>
    <col min="15147" max="15147" width="15.7109375" style="58" customWidth="1"/>
    <col min="15148" max="15148" width="19.42578125" style="58" customWidth="1"/>
    <col min="15149" max="15149" width="14.85546875" style="58" bestFit="1" customWidth="1"/>
    <col min="15150" max="15150" width="13.7109375" style="58" bestFit="1" customWidth="1"/>
    <col min="15151" max="15151" width="13" style="58" customWidth="1"/>
    <col min="15152" max="15152" width="18.42578125" style="58" customWidth="1"/>
    <col min="15153" max="15155" width="13.140625" style="58" customWidth="1"/>
    <col min="15156" max="15156" width="16.42578125" style="58" customWidth="1"/>
    <col min="15157" max="15157" width="13.140625" style="58" customWidth="1"/>
    <col min="15158" max="15158" width="15.28515625" style="58" customWidth="1"/>
    <col min="15159" max="15159" width="14" style="58" bestFit="1" customWidth="1"/>
    <col min="15160" max="15160" width="17.140625" style="58" customWidth="1"/>
    <col min="15161" max="15182" width="16.5703125" style="58" customWidth="1"/>
    <col min="15183" max="15183" width="20.140625" style="58" customWidth="1"/>
    <col min="15184" max="15184" width="13.28515625" style="58" customWidth="1"/>
    <col min="15185" max="15185" width="14.85546875" style="58" customWidth="1"/>
    <col min="15186" max="15186" width="13.85546875" style="58" customWidth="1"/>
    <col min="15187" max="15187" width="13.5703125" style="58" customWidth="1"/>
    <col min="15188" max="15188" width="13" style="58" customWidth="1"/>
    <col min="15189" max="15189" width="13.5703125" style="58" customWidth="1"/>
    <col min="15190" max="15190" width="7.7109375" style="58" bestFit="1" customWidth="1"/>
    <col min="15191" max="15360" width="9.140625" style="58"/>
    <col min="15361" max="15361" width="4.28515625" style="58" customWidth="1"/>
    <col min="15362" max="15362" width="10.140625" style="58" customWidth="1"/>
    <col min="15363" max="15363" width="8.85546875" style="58" customWidth="1"/>
    <col min="15364" max="15364" width="11.140625" style="58" customWidth="1"/>
    <col min="15365" max="15365" width="15" style="58" bestFit="1" customWidth="1"/>
    <col min="15366" max="15366" width="13.5703125" style="58" customWidth="1"/>
    <col min="15367" max="15367" width="11.42578125" style="58" bestFit="1" customWidth="1"/>
    <col min="15368" max="15368" width="11.28515625" style="58" customWidth="1"/>
    <col min="15369" max="15369" width="15.28515625" style="58" bestFit="1" customWidth="1"/>
    <col min="15370" max="15372" width="11.85546875" style="58" customWidth="1"/>
    <col min="15373" max="15373" width="19.140625" style="58" customWidth="1"/>
    <col min="15374" max="15374" width="15" style="58" customWidth="1"/>
    <col min="15375" max="15375" width="15.28515625" style="58" customWidth="1"/>
    <col min="15376" max="15378" width="18.85546875" style="58" customWidth="1"/>
    <col min="15379" max="15379" width="12.7109375" style="58" customWidth="1"/>
    <col min="15380" max="15380" width="13.7109375" style="58" customWidth="1"/>
    <col min="15381" max="15381" width="16.140625" style="58" customWidth="1"/>
    <col min="15382" max="15382" width="17" style="58" customWidth="1"/>
    <col min="15383" max="15383" width="15" style="58" customWidth="1"/>
    <col min="15384" max="15384" width="14.28515625" style="58" customWidth="1"/>
    <col min="15385" max="15385" width="14.85546875" style="58" customWidth="1"/>
    <col min="15386" max="15386" width="17.140625" style="58" customWidth="1"/>
    <col min="15387" max="15387" width="13.5703125" style="58" customWidth="1"/>
    <col min="15388" max="15389" width="14.85546875" style="58" customWidth="1"/>
    <col min="15390" max="15390" width="18.85546875" style="58" customWidth="1"/>
    <col min="15391" max="15391" width="19.42578125" style="58" customWidth="1"/>
    <col min="15392" max="15392" width="16.140625" style="58" customWidth="1"/>
    <col min="15393" max="15393" width="14.5703125" style="58" customWidth="1"/>
    <col min="15394" max="15394" width="20.28515625" style="58" customWidth="1"/>
    <col min="15395" max="15395" width="13.85546875" style="58" customWidth="1"/>
    <col min="15396" max="15396" width="19.140625" style="58" customWidth="1"/>
    <col min="15397" max="15397" width="19.7109375" style="58" customWidth="1"/>
    <col min="15398" max="15398" width="16.5703125" style="58" customWidth="1"/>
    <col min="15399" max="15399" width="19.140625" style="58" customWidth="1"/>
    <col min="15400" max="15402" width="16.5703125" style="58" customWidth="1"/>
    <col min="15403" max="15403" width="15.7109375" style="58" customWidth="1"/>
    <col min="15404" max="15404" width="19.42578125" style="58" customWidth="1"/>
    <col min="15405" max="15405" width="14.85546875" style="58" bestFit="1" customWidth="1"/>
    <col min="15406" max="15406" width="13.7109375" style="58" bestFit="1" customWidth="1"/>
    <col min="15407" max="15407" width="13" style="58" customWidth="1"/>
    <col min="15408" max="15408" width="18.42578125" style="58" customWidth="1"/>
    <col min="15409" max="15411" width="13.140625" style="58" customWidth="1"/>
    <col min="15412" max="15412" width="16.42578125" style="58" customWidth="1"/>
    <col min="15413" max="15413" width="13.140625" style="58" customWidth="1"/>
    <col min="15414" max="15414" width="15.28515625" style="58" customWidth="1"/>
    <col min="15415" max="15415" width="14" style="58" bestFit="1" customWidth="1"/>
    <col min="15416" max="15416" width="17.140625" style="58" customWidth="1"/>
    <col min="15417" max="15438" width="16.5703125" style="58" customWidth="1"/>
    <col min="15439" max="15439" width="20.140625" style="58" customWidth="1"/>
    <col min="15440" max="15440" width="13.28515625" style="58" customWidth="1"/>
    <col min="15441" max="15441" width="14.85546875" style="58" customWidth="1"/>
    <col min="15442" max="15442" width="13.85546875" style="58" customWidth="1"/>
    <col min="15443" max="15443" width="13.5703125" style="58" customWidth="1"/>
    <col min="15444" max="15444" width="13" style="58" customWidth="1"/>
    <col min="15445" max="15445" width="13.5703125" style="58" customWidth="1"/>
    <col min="15446" max="15446" width="7.7109375" style="58" bestFit="1" customWidth="1"/>
    <col min="15447" max="15616" width="9.140625" style="58"/>
    <col min="15617" max="15617" width="4.28515625" style="58" customWidth="1"/>
    <col min="15618" max="15618" width="10.140625" style="58" customWidth="1"/>
    <col min="15619" max="15619" width="8.85546875" style="58" customWidth="1"/>
    <col min="15620" max="15620" width="11.140625" style="58" customWidth="1"/>
    <col min="15621" max="15621" width="15" style="58" bestFit="1" customWidth="1"/>
    <col min="15622" max="15622" width="13.5703125" style="58" customWidth="1"/>
    <col min="15623" max="15623" width="11.42578125" style="58" bestFit="1" customWidth="1"/>
    <col min="15624" max="15624" width="11.28515625" style="58" customWidth="1"/>
    <col min="15625" max="15625" width="15.28515625" style="58" bestFit="1" customWidth="1"/>
    <col min="15626" max="15628" width="11.85546875" style="58" customWidth="1"/>
    <col min="15629" max="15629" width="19.140625" style="58" customWidth="1"/>
    <col min="15630" max="15630" width="15" style="58" customWidth="1"/>
    <col min="15631" max="15631" width="15.28515625" style="58" customWidth="1"/>
    <col min="15632" max="15634" width="18.85546875" style="58" customWidth="1"/>
    <col min="15635" max="15635" width="12.7109375" style="58" customWidth="1"/>
    <col min="15636" max="15636" width="13.7109375" style="58" customWidth="1"/>
    <col min="15637" max="15637" width="16.140625" style="58" customWidth="1"/>
    <col min="15638" max="15638" width="17" style="58" customWidth="1"/>
    <col min="15639" max="15639" width="15" style="58" customWidth="1"/>
    <col min="15640" max="15640" width="14.28515625" style="58" customWidth="1"/>
    <col min="15641" max="15641" width="14.85546875" style="58" customWidth="1"/>
    <col min="15642" max="15642" width="17.140625" style="58" customWidth="1"/>
    <col min="15643" max="15643" width="13.5703125" style="58" customWidth="1"/>
    <col min="15644" max="15645" width="14.85546875" style="58" customWidth="1"/>
    <col min="15646" max="15646" width="18.85546875" style="58" customWidth="1"/>
    <col min="15647" max="15647" width="19.42578125" style="58" customWidth="1"/>
    <col min="15648" max="15648" width="16.140625" style="58" customWidth="1"/>
    <col min="15649" max="15649" width="14.5703125" style="58" customWidth="1"/>
    <col min="15650" max="15650" width="20.28515625" style="58" customWidth="1"/>
    <col min="15651" max="15651" width="13.85546875" style="58" customWidth="1"/>
    <col min="15652" max="15652" width="19.140625" style="58" customWidth="1"/>
    <col min="15653" max="15653" width="19.7109375" style="58" customWidth="1"/>
    <col min="15654" max="15654" width="16.5703125" style="58" customWidth="1"/>
    <col min="15655" max="15655" width="19.140625" style="58" customWidth="1"/>
    <col min="15656" max="15658" width="16.5703125" style="58" customWidth="1"/>
    <col min="15659" max="15659" width="15.7109375" style="58" customWidth="1"/>
    <col min="15660" max="15660" width="19.42578125" style="58" customWidth="1"/>
    <col min="15661" max="15661" width="14.85546875" style="58" bestFit="1" customWidth="1"/>
    <col min="15662" max="15662" width="13.7109375" style="58" bestFit="1" customWidth="1"/>
    <col min="15663" max="15663" width="13" style="58" customWidth="1"/>
    <col min="15664" max="15664" width="18.42578125" style="58" customWidth="1"/>
    <col min="15665" max="15667" width="13.140625" style="58" customWidth="1"/>
    <col min="15668" max="15668" width="16.42578125" style="58" customWidth="1"/>
    <col min="15669" max="15669" width="13.140625" style="58" customWidth="1"/>
    <col min="15670" max="15670" width="15.28515625" style="58" customWidth="1"/>
    <col min="15671" max="15671" width="14" style="58" bestFit="1" customWidth="1"/>
    <col min="15672" max="15672" width="17.140625" style="58" customWidth="1"/>
    <col min="15673" max="15694" width="16.5703125" style="58" customWidth="1"/>
    <col min="15695" max="15695" width="20.140625" style="58" customWidth="1"/>
    <col min="15696" max="15696" width="13.28515625" style="58" customWidth="1"/>
    <col min="15697" max="15697" width="14.85546875" style="58" customWidth="1"/>
    <col min="15698" max="15698" width="13.85546875" style="58" customWidth="1"/>
    <col min="15699" max="15699" width="13.5703125" style="58" customWidth="1"/>
    <col min="15700" max="15700" width="13" style="58" customWidth="1"/>
    <col min="15701" max="15701" width="13.5703125" style="58" customWidth="1"/>
    <col min="15702" max="15702" width="7.7109375" style="58" bestFit="1" customWidth="1"/>
    <col min="15703" max="15872" width="9.140625" style="58"/>
    <col min="15873" max="15873" width="4.28515625" style="58" customWidth="1"/>
    <col min="15874" max="15874" width="10.140625" style="58" customWidth="1"/>
    <col min="15875" max="15875" width="8.85546875" style="58" customWidth="1"/>
    <col min="15876" max="15876" width="11.140625" style="58" customWidth="1"/>
    <col min="15877" max="15877" width="15" style="58" bestFit="1" customWidth="1"/>
    <col min="15878" max="15878" width="13.5703125" style="58" customWidth="1"/>
    <col min="15879" max="15879" width="11.42578125" style="58" bestFit="1" customWidth="1"/>
    <col min="15880" max="15880" width="11.28515625" style="58" customWidth="1"/>
    <col min="15881" max="15881" width="15.28515625" style="58" bestFit="1" customWidth="1"/>
    <col min="15882" max="15884" width="11.85546875" style="58" customWidth="1"/>
    <col min="15885" max="15885" width="19.140625" style="58" customWidth="1"/>
    <col min="15886" max="15886" width="15" style="58" customWidth="1"/>
    <col min="15887" max="15887" width="15.28515625" style="58" customWidth="1"/>
    <col min="15888" max="15890" width="18.85546875" style="58" customWidth="1"/>
    <col min="15891" max="15891" width="12.7109375" style="58" customWidth="1"/>
    <col min="15892" max="15892" width="13.7109375" style="58" customWidth="1"/>
    <col min="15893" max="15893" width="16.140625" style="58" customWidth="1"/>
    <col min="15894" max="15894" width="17" style="58" customWidth="1"/>
    <col min="15895" max="15895" width="15" style="58" customWidth="1"/>
    <col min="15896" max="15896" width="14.28515625" style="58" customWidth="1"/>
    <col min="15897" max="15897" width="14.85546875" style="58" customWidth="1"/>
    <col min="15898" max="15898" width="17.140625" style="58" customWidth="1"/>
    <col min="15899" max="15899" width="13.5703125" style="58" customWidth="1"/>
    <col min="15900" max="15901" width="14.85546875" style="58" customWidth="1"/>
    <col min="15902" max="15902" width="18.85546875" style="58" customWidth="1"/>
    <col min="15903" max="15903" width="19.42578125" style="58" customWidth="1"/>
    <col min="15904" max="15904" width="16.140625" style="58" customWidth="1"/>
    <col min="15905" max="15905" width="14.5703125" style="58" customWidth="1"/>
    <col min="15906" max="15906" width="20.28515625" style="58" customWidth="1"/>
    <col min="15907" max="15907" width="13.85546875" style="58" customWidth="1"/>
    <col min="15908" max="15908" width="19.140625" style="58" customWidth="1"/>
    <col min="15909" max="15909" width="19.7109375" style="58" customWidth="1"/>
    <col min="15910" max="15910" width="16.5703125" style="58" customWidth="1"/>
    <col min="15911" max="15911" width="19.140625" style="58" customWidth="1"/>
    <col min="15912" max="15914" width="16.5703125" style="58" customWidth="1"/>
    <col min="15915" max="15915" width="15.7109375" style="58" customWidth="1"/>
    <col min="15916" max="15916" width="19.42578125" style="58" customWidth="1"/>
    <col min="15917" max="15917" width="14.85546875" style="58" bestFit="1" customWidth="1"/>
    <col min="15918" max="15918" width="13.7109375" style="58" bestFit="1" customWidth="1"/>
    <col min="15919" max="15919" width="13" style="58" customWidth="1"/>
    <col min="15920" max="15920" width="18.42578125" style="58" customWidth="1"/>
    <col min="15921" max="15923" width="13.140625" style="58" customWidth="1"/>
    <col min="15924" max="15924" width="16.42578125" style="58" customWidth="1"/>
    <col min="15925" max="15925" width="13.140625" style="58" customWidth="1"/>
    <col min="15926" max="15926" width="15.28515625" style="58" customWidth="1"/>
    <col min="15927" max="15927" width="14" style="58" bestFit="1" customWidth="1"/>
    <col min="15928" max="15928" width="17.140625" style="58" customWidth="1"/>
    <col min="15929" max="15950" width="16.5703125" style="58" customWidth="1"/>
    <col min="15951" max="15951" width="20.140625" style="58" customWidth="1"/>
    <col min="15952" max="15952" width="13.28515625" style="58" customWidth="1"/>
    <col min="15953" max="15953" width="14.85546875" style="58" customWidth="1"/>
    <col min="15954" max="15954" width="13.85546875" style="58" customWidth="1"/>
    <col min="15955" max="15955" width="13.5703125" style="58" customWidth="1"/>
    <col min="15956" max="15956" width="13" style="58" customWidth="1"/>
    <col min="15957" max="15957" width="13.5703125" style="58" customWidth="1"/>
    <col min="15958" max="15958" width="7.7109375" style="58" bestFit="1" customWidth="1"/>
    <col min="15959" max="16128" width="9.140625" style="58"/>
    <col min="16129" max="16129" width="4.28515625" style="58" customWidth="1"/>
    <col min="16130" max="16130" width="10.140625" style="58" customWidth="1"/>
    <col min="16131" max="16131" width="8.85546875" style="58" customWidth="1"/>
    <col min="16132" max="16132" width="11.140625" style="58" customWidth="1"/>
    <col min="16133" max="16133" width="15" style="58" bestFit="1" customWidth="1"/>
    <col min="16134" max="16134" width="13.5703125" style="58" customWidth="1"/>
    <col min="16135" max="16135" width="11.42578125" style="58" bestFit="1" customWidth="1"/>
    <col min="16136" max="16136" width="11.28515625" style="58" customWidth="1"/>
    <col min="16137" max="16137" width="15.28515625" style="58" bestFit="1" customWidth="1"/>
    <col min="16138" max="16140" width="11.85546875" style="58" customWidth="1"/>
    <col min="16141" max="16141" width="19.140625" style="58" customWidth="1"/>
    <col min="16142" max="16142" width="15" style="58" customWidth="1"/>
    <col min="16143" max="16143" width="15.28515625" style="58" customWidth="1"/>
    <col min="16144" max="16146" width="18.85546875" style="58" customWidth="1"/>
    <col min="16147" max="16147" width="12.7109375" style="58" customWidth="1"/>
    <col min="16148" max="16148" width="13.7109375" style="58" customWidth="1"/>
    <col min="16149" max="16149" width="16.140625" style="58" customWidth="1"/>
    <col min="16150" max="16150" width="17" style="58" customWidth="1"/>
    <col min="16151" max="16151" width="15" style="58" customWidth="1"/>
    <col min="16152" max="16152" width="14.28515625" style="58" customWidth="1"/>
    <col min="16153" max="16153" width="14.85546875" style="58" customWidth="1"/>
    <col min="16154" max="16154" width="17.140625" style="58" customWidth="1"/>
    <col min="16155" max="16155" width="13.5703125" style="58" customWidth="1"/>
    <col min="16156" max="16157" width="14.85546875" style="58" customWidth="1"/>
    <col min="16158" max="16158" width="18.85546875" style="58" customWidth="1"/>
    <col min="16159" max="16159" width="19.42578125" style="58" customWidth="1"/>
    <col min="16160" max="16160" width="16.140625" style="58" customWidth="1"/>
    <col min="16161" max="16161" width="14.5703125" style="58" customWidth="1"/>
    <col min="16162" max="16162" width="20.28515625" style="58" customWidth="1"/>
    <col min="16163" max="16163" width="13.85546875" style="58" customWidth="1"/>
    <col min="16164" max="16164" width="19.140625" style="58" customWidth="1"/>
    <col min="16165" max="16165" width="19.7109375" style="58" customWidth="1"/>
    <col min="16166" max="16166" width="16.5703125" style="58" customWidth="1"/>
    <col min="16167" max="16167" width="19.140625" style="58" customWidth="1"/>
    <col min="16168" max="16170" width="16.5703125" style="58" customWidth="1"/>
    <col min="16171" max="16171" width="15.7109375" style="58" customWidth="1"/>
    <col min="16172" max="16172" width="19.42578125" style="58" customWidth="1"/>
    <col min="16173" max="16173" width="14.85546875" style="58" bestFit="1" customWidth="1"/>
    <col min="16174" max="16174" width="13.7109375" style="58" bestFit="1" customWidth="1"/>
    <col min="16175" max="16175" width="13" style="58" customWidth="1"/>
    <col min="16176" max="16176" width="18.42578125" style="58" customWidth="1"/>
    <col min="16177" max="16179" width="13.140625" style="58" customWidth="1"/>
    <col min="16180" max="16180" width="16.42578125" style="58" customWidth="1"/>
    <col min="16181" max="16181" width="13.140625" style="58" customWidth="1"/>
    <col min="16182" max="16182" width="15.28515625" style="58" customWidth="1"/>
    <col min="16183" max="16183" width="14" style="58" bestFit="1" customWidth="1"/>
    <col min="16184" max="16184" width="17.140625" style="58" customWidth="1"/>
    <col min="16185" max="16206" width="16.5703125" style="58" customWidth="1"/>
    <col min="16207" max="16207" width="20.140625" style="58" customWidth="1"/>
    <col min="16208" max="16208" width="13.28515625" style="58" customWidth="1"/>
    <col min="16209" max="16209" width="14.85546875" style="58" customWidth="1"/>
    <col min="16210" max="16210" width="13.85546875" style="58" customWidth="1"/>
    <col min="16211" max="16211" width="13.5703125" style="58" customWidth="1"/>
    <col min="16212" max="16212" width="13" style="58" customWidth="1"/>
    <col min="16213" max="16213" width="13.5703125" style="58" customWidth="1"/>
    <col min="16214" max="16214" width="7.7109375" style="58" bestFit="1" customWidth="1"/>
    <col min="16215" max="16384" width="9.140625" style="58"/>
  </cols>
  <sheetData>
    <row r="1" spans="2:84" s="41" customFormat="1" ht="29.25" customHeight="1">
      <c r="B1" s="40" t="s">
        <v>82</v>
      </c>
      <c r="AS1" s="42"/>
      <c r="AT1" s="42"/>
      <c r="AU1" s="43"/>
      <c r="AV1" s="42"/>
      <c r="AW1" s="42"/>
      <c r="AX1" s="42"/>
      <c r="AY1" s="42"/>
      <c r="AZ1" s="42"/>
      <c r="BA1" s="42"/>
      <c r="BB1" s="42"/>
      <c r="BC1" s="42"/>
      <c r="BD1" s="44"/>
      <c r="BK1" s="45"/>
      <c r="BL1" s="45"/>
    </row>
    <row r="2" spans="2:84" s="41" customFormat="1" ht="15.75" customHeight="1">
      <c r="B2" s="46"/>
      <c r="C2" s="47" t="s">
        <v>83</v>
      </c>
      <c r="D2" s="48"/>
      <c r="E2" s="48"/>
      <c r="F2" s="48"/>
      <c r="G2" s="48"/>
      <c r="H2" s="48"/>
      <c r="I2" s="48"/>
      <c r="J2" s="48"/>
      <c r="K2" s="48"/>
      <c r="L2" s="48"/>
      <c r="M2" s="49"/>
      <c r="N2" s="50"/>
      <c r="O2" s="51"/>
      <c r="P2" s="503"/>
      <c r="AS2" s="42"/>
      <c r="AT2" s="42"/>
      <c r="AU2" s="43"/>
      <c r="AV2" s="42"/>
      <c r="AW2" s="42"/>
      <c r="AX2" s="42"/>
      <c r="AY2" s="42"/>
      <c r="AZ2" s="42"/>
      <c r="BA2" s="42"/>
      <c r="BB2" s="42"/>
      <c r="BC2" s="42"/>
      <c r="BD2" s="52"/>
      <c r="BK2" s="53"/>
      <c r="BL2" s="53"/>
    </row>
    <row r="3" spans="2:84" ht="15.75" customHeight="1" thickBo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5"/>
      <c r="N3" s="56"/>
      <c r="O3" s="57"/>
      <c r="BD3" s="61"/>
      <c r="BK3" s="62"/>
      <c r="BL3" s="62"/>
    </row>
    <row r="4" spans="2:84" s="71" customFormat="1" ht="18" customHeight="1" thickTop="1" thickBot="1">
      <c r="B4" s="1128" t="s">
        <v>84</v>
      </c>
      <c r="C4" s="1129"/>
      <c r="D4" s="1129"/>
      <c r="E4" s="1129"/>
      <c r="F4" s="1129"/>
      <c r="G4" s="1130"/>
      <c r="H4" s="63" t="s">
        <v>85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6"/>
      <c r="AO4" s="66"/>
      <c r="AP4" s="66"/>
      <c r="AQ4" s="66"/>
      <c r="AR4" s="66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8"/>
      <c r="BE4" s="66"/>
      <c r="BF4" s="66"/>
      <c r="BG4" s="66"/>
      <c r="BH4" s="66"/>
      <c r="BI4" s="66"/>
      <c r="BJ4" s="66"/>
      <c r="BK4" s="69"/>
      <c r="BL4" s="69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70"/>
      <c r="CB4" s="70"/>
      <c r="CC4" s="70"/>
      <c r="CD4" s="70"/>
      <c r="CE4" s="70"/>
      <c r="CF4" s="70"/>
    </row>
    <row r="5" spans="2:84" s="82" customFormat="1" ht="15.75" customHeight="1" thickTop="1" thickBot="1">
      <c r="B5" s="72" t="s">
        <v>86</v>
      </c>
      <c r="C5" s="73"/>
      <c r="D5" s="74"/>
      <c r="E5" s="1131" t="s">
        <v>87</v>
      </c>
      <c r="F5" s="1131"/>
      <c r="G5" s="1132"/>
      <c r="H5" s="1133" t="s">
        <v>88</v>
      </c>
      <c r="I5" s="1134"/>
      <c r="J5" s="1134"/>
      <c r="K5" s="75"/>
      <c r="L5" s="75"/>
      <c r="M5" s="1135" t="s">
        <v>89</v>
      </c>
      <c r="N5" s="1134"/>
      <c r="O5" s="1136"/>
      <c r="P5" s="1137" t="s">
        <v>90</v>
      </c>
      <c r="Q5" s="1137"/>
      <c r="R5" s="1137"/>
      <c r="S5" s="1135" t="s">
        <v>91</v>
      </c>
      <c r="T5" s="1134"/>
      <c r="U5" s="1134"/>
      <c r="V5" s="1134"/>
      <c r="W5" s="1136"/>
      <c r="X5" s="1137" t="s">
        <v>92</v>
      </c>
      <c r="Y5" s="1137"/>
      <c r="Z5" s="1137"/>
      <c r="AA5" s="1137"/>
      <c r="AB5" s="1137"/>
      <c r="AC5" s="76"/>
      <c r="AD5" s="1135" t="s">
        <v>93</v>
      </c>
      <c r="AE5" s="1134"/>
      <c r="AF5" s="1134"/>
      <c r="AG5" s="1134"/>
      <c r="AH5" s="1134"/>
      <c r="AI5" s="1134"/>
      <c r="AJ5" s="1134"/>
      <c r="AK5" s="1134"/>
      <c r="AL5" s="1134"/>
      <c r="AM5" s="1138"/>
      <c r="AN5" s="77"/>
      <c r="AO5" s="77"/>
      <c r="AP5" s="77"/>
      <c r="AQ5" s="77"/>
      <c r="AR5" s="77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9"/>
      <c r="BE5" s="77"/>
      <c r="BF5" s="77"/>
      <c r="BG5" s="77"/>
      <c r="BH5" s="77"/>
      <c r="BI5" s="77"/>
      <c r="BJ5" s="77"/>
      <c r="BK5" s="80"/>
      <c r="BL5" s="80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81"/>
      <c r="CB5" s="81"/>
      <c r="CC5" s="81"/>
      <c r="CD5" s="81"/>
      <c r="CE5" s="81"/>
      <c r="CF5" s="81"/>
    </row>
    <row r="6" spans="2:84" s="82" customFormat="1" ht="15.75" customHeight="1" thickTop="1">
      <c r="B6" s="83" t="s">
        <v>94</v>
      </c>
      <c r="C6" s="84"/>
      <c r="D6" s="85"/>
      <c r="E6" s="84"/>
      <c r="F6" s="84"/>
      <c r="G6" s="86"/>
      <c r="H6" s="87" t="s">
        <v>95</v>
      </c>
      <c r="I6" s="88"/>
      <c r="J6" s="89" t="e">
        <f>AG26</f>
        <v>#REF!</v>
      </c>
      <c r="K6" s="89"/>
      <c r="L6" s="89"/>
      <c r="M6" s="90" t="s">
        <v>96</v>
      </c>
      <c r="N6" s="91"/>
      <c r="O6" s="92">
        <f>300000000-27272727</f>
        <v>272727273</v>
      </c>
      <c r="P6" s="93" t="s">
        <v>97</v>
      </c>
      <c r="Q6" s="88"/>
      <c r="R6" s="94">
        <f>50000000-4545455</f>
        <v>45454545</v>
      </c>
      <c r="S6" s="1139" t="s">
        <v>98</v>
      </c>
      <c r="T6" s="1140"/>
      <c r="U6" s="1141"/>
      <c r="V6" s="95" t="s">
        <v>99</v>
      </c>
      <c r="W6" s="96" t="s">
        <v>100</v>
      </c>
      <c r="X6" s="1140" t="s">
        <v>98</v>
      </c>
      <c r="Y6" s="1140"/>
      <c r="Z6" s="1141"/>
      <c r="AA6" s="97" t="s">
        <v>99</v>
      </c>
      <c r="AB6" s="98" t="s">
        <v>100</v>
      </c>
      <c r="AC6" s="98"/>
      <c r="AD6" s="1139" t="s">
        <v>101</v>
      </c>
      <c r="AE6" s="1140"/>
      <c r="AF6" s="1141"/>
      <c r="AG6" s="99" t="s">
        <v>102</v>
      </c>
      <c r="AH6" s="100" t="s">
        <v>103</v>
      </c>
      <c r="AI6" s="1142" t="s">
        <v>104</v>
      </c>
      <c r="AJ6" s="1140"/>
      <c r="AK6" s="1140"/>
      <c r="AL6" s="1141"/>
      <c r="AM6" s="101" t="s">
        <v>103</v>
      </c>
      <c r="AN6" s="77"/>
      <c r="AO6" s="77"/>
      <c r="AP6" s="77"/>
      <c r="AQ6" s="77"/>
      <c r="AR6" s="77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9"/>
      <c r="BE6" s="77"/>
      <c r="BF6" s="77"/>
      <c r="BG6" s="77"/>
      <c r="BH6" s="77"/>
      <c r="BI6" s="77"/>
      <c r="BJ6" s="77"/>
      <c r="BK6" s="80"/>
      <c r="BL6" s="80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</row>
    <row r="7" spans="2:84" s="82" customFormat="1" ht="15.75" customHeight="1">
      <c r="B7" s="83" t="s">
        <v>105</v>
      </c>
      <c r="C7" s="102"/>
      <c r="D7" s="103"/>
      <c r="E7" s="104">
        <v>1</v>
      </c>
      <c r="F7" s="105">
        <v>5</v>
      </c>
      <c r="G7" s="106">
        <v>2018</v>
      </c>
      <c r="H7" s="107" t="s">
        <v>106</v>
      </c>
      <c r="I7" s="103"/>
      <c r="J7" s="108" t="e">
        <f>Calculation!#REF!</f>
        <v>#REF!</v>
      </c>
      <c r="K7" s="108"/>
      <c r="L7" s="108"/>
      <c r="M7" s="109" t="s">
        <v>107</v>
      </c>
      <c r="N7" s="110"/>
      <c r="O7" s="111">
        <v>0</v>
      </c>
      <c r="P7" s="102" t="s">
        <v>108</v>
      </c>
      <c r="Q7" s="103"/>
      <c r="R7" s="112"/>
      <c r="S7" s="113" t="s">
        <v>109</v>
      </c>
      <c r="T7" s="114"/>
      <c r="U7" s="115"/>
      <c r="V7" s="116">
        <v>0</v>
      </c>
      <c r="W7" s="117">
        <f>IF(V7&gt;0,V7*J7,0)</f>
        <v>0</v>
      </c>
      <c r="X7" s="118" t="s">
        <v>110</v>
      </c>
      <c r="Y7" s="118"/>
      <c r="Z7" s="119"/>
      <c r="AA7" s="120"/>
      <c r="AB7" s="121"/>
      <c r="AC7" s="122"/>
      <c r="AD7" s="123" t="s">
        <v>111</v>
      </c>
      <c r="AE7" s="118"/>
      <c r="AF7" s="119"/>
      <c r="AG7" s="124">
        <v>0</v>
      </c>
      <c r="AH7" s="125">
        <f>AG7*O8</f>
        <v>0</v>
      </c>
      <c r="AI7" s="126" t="s">
        <v>112</v>
      </c>
      <c r="AJ7" s="118"/>
      <c r="AK7" s="118"/>
      <c r="AL7" s="127"/>
      <c r="AM7" s="128"/>
      <c r="AN7" s="129"/>
      <c r="AO7" s="129"/>
      <c r="AP7" s="129"/>
      <c r="AQ7" s="129"/>
      <c r="AR7" s="129"/>
      <c r="AS7" s="130"/>
      <c r="AT7" s="130"/>
      <c r="AU7" s="78"/>
      <c r="AV7" s="130"/>
      <c r="AW7" s="130"/>
      <c r="AX7" s="130"/>
      <c r="AY7" s="130"/>
      <c r="AZ7" s="130"/>
      <c r="BA7" s="130"/>
      <c r="BB7" s="130"/>
      <c r="BC7" s="130"/>
      <c r="BD7" s="131"/>
      <c r="BE7" s="129"/>
      <c r="BF7" s="129"/>
      <c r="BG7" s="129"/>
      <c r="BH7" s="129"/>
      <c r="BI7" s="129"/>
      <c r="BJ7" s="129"/>
      <c r="BK7" s="132"/>
      <c r="BL7" s="132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</row>
    <row r="8" spans="2:84" s="82" customFormat="1" ht="15.75" customHeight="1">
      <c r="B8" s="83" t="s">
        <v>113</v>
      </c>
      <c r="C8" s="84"/>
      <c r="D8" s="133" t="s">
        <v>114</v>
      </c>
      <c r="E8" s="104">
        <v>1</v>
      </c>
      <c r="F8" s="105">
        <v>5</v>
      </c>
      <c r="G8" s="134">
        <f>G7</f>
        <v>2018</v>
      </c>
      <c r="H8" s="83" t="s">
        <v>115</v>
      </c>
      <c r="I8" s="85"/>
      <c r="J8" s="135" t="s">
        <v>116</v>
      </c>
      <c r="K8" s="135"/>
      <c r="L8" s="135"/>
      <c r="M8" s="109" t="s">
        <v>117</v>
      </c>
      <c r="N8" s="136"/>
      <c r="O8" s="137">
        <f>O6-O7</f>
        <v>272727273</v>
      </c>
      <c r="P8" s="102" t="s">
        <v>118</v>
      </c>
      <c r="Q8" s="103"/>
      <c r="R8" s="112"/>
      <c r="S8" s="138" t="s">
        <v>119</v>
      </c>
      <c r="T8" s="139"/>
      <c r="U8" s="140"/>
      <c r="V8" s="141"/>
      <c r="W8" s="142">
        <f>IF(V8&gt;0,V8*J7,0)</f>
        <v>0</v>
      </c>
      <c r="X8" s="102" t="s">
        <v>120</v>
      </c>
      <c r="Y8" s="102"/>
      <c r="Z8" s="103"/>
      <c r="AA8" s="143"/>
      <c r="AB8" s="144">
        <f>2.5%*((O6+R6)*110/100)*3</f>
        <v>26249999.985000003</v>
      </c>
      <c r="AC8" s="145"/>
      <c r="AD8" s="146" t="s">
        <v>121</v>
      </c>
      <c r="AE8" s="102"/>
      <c r="AF8" s="103"/>
      <c r="AG8" s="147">
        <v>0</v>
      </c>
      <c r="AH8" s="148">
        <f>AG8*R6</f>
        <v>0</v>
      </c>
      <c r="AI8" s="149" t="s">
        <v>122</v>
      </c>
      <c r="AJ8" s="102"/>
      <c r="AK8" s="102"/>
      <c r="AL8" s="150"/>
      <c r="AM8" s="151"/>
      <c r="AN8" s="129"/>
      <c r="AO8" s="129"/>
      <c r="AP8" s="129"/>
      <c r="AQ8" s="129"/>
      <c r="AR8" s="129"/>
      <c r="AS8" s="130"/>
      <c r="AT8" s="130"/>
      <c r="AU8" s="78"/>
      <c r="AV8" s="130"/>
      <c r="AW8" s="130"/>
      <c r="AX8" s="130"/>
      <c r="AY8" s="130"/>
      <c r="AZ8" s="130"/>
      <c r="BA8" s="130"/>
      <c r="BB8" s="130"/>
      <c r="BC8" s="130"/>
      <c r="BD8" s="131"/>
      <c r="BE8" s="129"/>
      <c r="BF8" s="129"/>
      <c r="BG8" s="129"/>
      <c r="BH8" s="129"/>
      <c r="BI8" s="129"/>
      <c r="BJ8" s="129"/>
      <c r="BK8" s="132"/>
      <c r="BL8" s="132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</row>
    <row r="9" spans="2:84" s="82" customFormat="1" ht="15.75" customHeight="1">
      <c r="B9" s="152"/>
      <c r="C9" s="153"/>
      <c r="D9" s="154"/>
      <c r="E9" s="155"/>
      <c r="F9" s="155"/>
      <c r="G9" s="156"/>
      <c r="H9" s="83" t="s">
        <v>123</v>
      </c>
      <c r="I9" s="85"/>
      <c r="J9" s="157" t="s">
        <v>124</v>
      </c>
      <c r="K9" s="135"/>
      <c r="L9" s="135"/>
      <c r="M9" s="109" t="s">
        <v>125</v>
      </c>
      <c r="N9" s="158"/>
      <c r="O9" s="159">
        <v>0</v>
      </c>
      <c r="P9" s="102"/>
      <c r="Q9" s="103"/>
      <c r="R9" s="160"/>
      <c r="S9" s="161" t="s">
        <v>126</v>
      </c>
      <c r="T9" s="162"/>
      <c r="U9" s="102"/>
      <c r="V9" s="141"/>
      <c r="W9" s="142">
        <v>1000000</v>
      </c>
      <c r="X9" s="102" t="s">
        <v>127</v>
      </c>
      <c r="Y9" s="102"/>
      <c r="Z9" s="103"/>
      <c r="AA9" s="143"/>
      <c r="AB9" s="144">
        <v>30000000</v>
      </c>
      <c r="AC9" s="145"/>
      <c r="AD9" s="146" t="s">
        <v>128</v>
      </c>
      <c r="AE9" s="102"/>
      <c r="AF9" s="103"/>
      <c r="AG9" s="163">
        <v>0</v>
      </c>
      <c r="AH9" s="148">
        <f>AG9*R7</f>
        <v>0</v>
      </c>
      <c r="AI9" s="149" t="s">
        <v>129</v>
      </c>
      <c r="AJ9" s="102"/>
      <c r="AK9" s="102"/>
      <c r="AL9" s="150"/>
      <c r="AM9" s="151"/>
      <c r="AN9" s="129"/>
      <c r="AO9" s="129"/>
      <c r="AP9" s="129"/>
      <c r="AQ9" s="129"/>
      <c r="AR9" s="129"/>
      <c r="AS9" s="130"/>
      <c r="AT9" s="130"/>
      <c r="AU9" s="78"/>
      <c r="AV9" s="130"/>
      <c r="AW9" s="130"/>
      <c r="AX9" s="130"/>
      <c r="AY9" s="130"/>
      <c r="AZ9" s="130"/>
      <c r="BA9" s="130"/>
      <c r="BB9" s="130"/>
      <c r="BC9" s="130"/>
      <c r="BD9" s="131"/>
      <c r="BE9" s="129"/>
      <c r="BF9" s="129"/>
      <c r="BG9" s="129"/>
      <c r="BH9" s="129"/>
      <c r="BI9" s="129"/>
      <c r="BJ9" s="129"/>
      <c r="BK9" s="132"/>
      <c r="BL9" s="132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</row>
    <row r="10" spans="2:84" s="82" customFormat="1" ht="15.75" customHeight="1">
      <c r="B10" s="164" t="s">
        <v>130</v>
      </c>
      <c r="C10" s="118"/>
      <c r="D10" s="118"/>
      <c r="E10" s="118"/>
      <c r="F10" s="119"/>
      <c r="G10" s="165">
        <f>G14+5%</f>
        <v>0.13240000000000002</v>
      </c>
      <c r="H10" s="83" t="s">
        <v>131</v>
      </c>
      <c r="I10" s="110"/>
      <c r="J10" s="157">
        <v>14</v>
      </c>
      <c r="K10" s="135"/>
      <c r="L10" s="135"/>
      <c r="M10" s="166" t="s">
        <v>132</v>
      </c>
      <c r="N10" s="167"/>
      <c r="O10" s="168">
        <v>0</v>
      </c>
      <c r="P10" s="102" t="s">
        <v>133</v>
      </c>
      <c r="Q10" s="103"/>
      <c r="R10" s="160">
        <f>R6+R7+R8</f>
        <v>45454545</v>
      </c>
      <c r="S10" s="161" t="s">
        <v>134</v>
      </c>
      <c r="T10" s="169"/>
      <c r="U10" s="169"/>
      <c r="V10" s="170"/>
      <c r="W10" s="142">
        <f>IF(V10&gt;0,V10*J7,0)</f>
        <v>0</v>
      </c>
      <c r="X10" s="102" t="s">
        <v>135</v>
      </c>
      <c r="Y10" s="102"/>
      <c r="Z10" s="171">
        <v>4.8611111111111112E-2</v>
      </c>
      <c r="AA10" s="143"/>
      <c r="AB10" s="144"/>
      <c r="AC10" s="145"/>
      <c r="AD10" s="146" t="s">
        <v>136</v>
      </c>
      <c r="AE10" s="102"/>
      <c r="AF10" s="172"/>
      <c r="AG10" s="150"/>
      <c r="AH10" s="141">
        <v>3</v>
      </c>
      <c r="AI10" s="149" t="s">
        <v>137</v>
      </c>
      <c r="AJ10" s="102"/>
      <c r="AK10" s="172"/>
      <c r="AL10" s="150"/>
      <c r="AM10" s="151">
        <v>1</v>
      </c>
      <c r="AN10" s="129"/>
      <c r="AO10" s="129"/>
      <c r="AP10" s="129"/>
      <c r="AQ10" s="129"/>
      <c r="AR10" s="129"/>
      <c r="AS10" s="130"/>
      <c r="AT10" s="130"/>
      <c r="AU10" s="78"/>
      <c r="AV10" s="130"/>
      <c r="AW10" s="130"/>
      <c r="AX10" s="130"/>
      <c r="AY10" s="130"/>
      <c r="AZ10" s="130"/>
      <c r="BA10" s="130"/>
      <c r="BB10" s="130"/>
      <c r="BC10" s="130"/>
      <c r="BD10" s="131"/>
      <c r="BE10" s="129"/>
      <c r="BF10" s="129"/>
      <c r="BG10" s="129"/>
      <c r="BH10" s="129"/>
      <c r="BI10" s="129"/>
      <c r="BJ10" s="129"/>
      <c r="BK10" s="132"/>
      <c r="BL10" s="132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</row>
    <row r="11" spans="2:84" s="82" customFormat="1" ht="15.75" customHeight="1">
      <c r="B11" s="173" t="s">
        <v>138</v>
      </c>
      <c r="C11" s="174"/>
      <c r="D11" s="174"/>
      <c r="E11" s="174"/>
      <c r="F11" s="175"/>
      <c r="G11" s="176" t="e">
        <f>IRR(AQ21:AQ90,0.001)*12</f>
        <v>#VALUE!</v>
      </c>
      <c r="H11" s="177"/>
      <c r="I11" s="178"/>
      <c r="J11" s="179"/>
      <c r="K11" s="179"/>
      <c r="L11" s="179"/>
      <c r="M11" s="180" t="s">
        <v>139</v>
      </c>
      <c r="N11" s="181"/>
      <c r="O11" s="182"/>
      <c r="P11" s="102" t="s">
        <v>140</v>
      </c>
      <c r="Q11" s="103"/>
      <c r="R11" s="112">
        <v>0</v>
      </c>
      <c r="S11" s="161" t="s">
        <v>141</v>
      </c>
      <c r="T11" s="169"/>
      <c r="U11" s="169"/>
      <c r="V11" s="170">
        <v>0</v>
      </c>
      <c r="W11" s="142">
        <f>IF(V11&gt;0,V11*J7,0)</f>
        <v>0</v>
      </c>
      <c r="X11" s="82" t="s">
        <v>142</v>
      </c>
      <c r="Z11" s="183"/>
      <c r="AA11" s="184"/>
      <c r="AB11" s="185">
        <f>AB8*25%</f>
        <v>6562499.9962500008</v>
      </c>
      <c r="AC11" s="129"/>
      <c r="AD11" s="146" t="s">
        <v>143</v>
      </c>
      <c r="AE11" s="102"/>
      <c r="AF11" s="102"/>
      <c r="AG11" s="150"/>
      <c r="AH11" s="141">
        <v>3</v>
      </c>
      <c r="AI11" s="149" t="s">
        <v>144</v>
      </c>
      <c r="AJ11" s="102"/>
      <c r="AK11" s="102"/>
      <c r="AL11" s="150"/>
      <c r="AM11" s="151">
        <v>1</v>
      </c>
      <c r="AN11" s="129"/>
      <c r="AO11" s="129"/>
      <c r="AP11" s="129"/>
      <c r="AQ11" s="129"/>
      <c r="AR11" s="129"/>
      <c r="AS11" s="130"/>
      <c r="AT11" s="130"/>
      <c r="AU11" s="78"/>
      <c r="AV11" s="130"/>
      <c r="AW11" s="130"/>
      <c r="AX11" s="130"/>
      <c r="AY11" s="130"/>
      <c r="AZ11" s="130"/>
      <c r="BA11" s="130"/>
      <c r="BB11" s="130"/>
      <c r="BC11" s="130"/>
      <c r="BD11" s="131"/>
      <c r="BE11" s="129"/>
      <c r="BF11" s="129"/>
      <c r="BG11" s="129"/>
      <c r="BH11" s="129"/>
      <c r="BI11" s="129"/>
      <c r="BJ11" s="129"/>
      <c r="BK11" s="132"/>
      <c r="BL11" s="132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</row>
    <row r="12" spans="2:84" s="82" customFormat="1" ht="15.75" customHeight="1">
      <c r="B12" s="186" t="s">
        <v>145</v>
      </c>
      <c r="C12" s="187"/>
      <c r="D12" s="187"/>
      <c r="E12" s="187"/>
      <c r="F12" s="188"/>
      <c r="G12" s="189" t="e">
        <f>IRR(AR21:AR90,0.001)*12</f>
        <v>#VALUE!</v>
      </c>
      <c r="H12" s="190" t="s">
        <v>146</v>
      </c>
      <c r="I12" s="191"/>
      <c r="J12" s="192"/>
      <c r="K12" s="192"/>
      <c r="L12" s="192"/>
      <c r="M12" s="109" t="s">
        <v>147</v>
      </c>
      <c r="N12" s="158"/>
      <c r="O12" s="193">
        <f>O11*10%</f>
        <v>0</v>
      </c>
      <c r="P12" s="102" t="s">
        <v>148</v>
      </c>
      <c r="Q12" s="194"/>
      <c r="R12" s="195"/>
      <c r="S12" s="196"/>
      <c r="T12" s="197"/>
      <c r="U12" s="198"/>
      <c r="V12" s="199"/>
      <c r="W12" s="142"/>
      <c r="Z12" s="183"/>
      <c r="AA12" s="184"/>
      <c r="AB12" s="185"/>
      <c r="AC12" s="129"/>
      <c r="AD12" s="146" t="s">
        <v>149</v>
      </c>
      <c r="AE12" s="102"/>
      <c r="AF12" s="102"/>
      <c r="AG12" s="150"/>
      <c r="AH12" s="141">
        <v>3</v>
      </c>
      <c r="AI12" s="149" t="s">
        <v>150</v>
      </c>
      <c r="AJ12" s="102"/>
      <c r="AK12" s="102"/>
      <c r="AL12" s="150"/>
      <c r="AM12" s="200">
        <v>1</v>
      </c>
      <c r="AN12" s="129"/>
      <c r="AO12" s="129"/>
      <c r="AP12" s="129"/>
      <c r="AQ12" s="129"/>
      <c r="AR12" s="129"/>
      <c r="AS12" s="130"/>
      <c r="AT12" s="130"/>
      <c r="AU12" s="78"/>
      <c r="AV12" s="130"/>
      <c r="AW12" s="130"/>
      <c r="AX12" s="130"/>
      <c r="AY12" s="130"/>
      <c r="AZ12" s="130"/>
      <c r="BA12" s="130"/>
      <c r="BB12" s="130"/>
      <c r="BC12" s="130"/>
      <c r="BD12" s="131"/>
      <c r="BE12" s="129"/>
      <c r="BF12" s="129"/>
      <c r="BG12" s="129"/>
      <c r="BH12" s="129"/>
      <c r="BI12" s="129"/>
      <c r="BJ12" s="129"/>
      <c r="BK12" s="132"/>
      <c r="BL12" s="132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</row>
    <row r="13" spans="2:84" s="82" customFormat="1" ht="15.75" customHeight="1">
      <c r="B13" s="201" t="s">
        <v>151</v>
      </c>
      <c r="C13" s="202"/>
      <c r="D13" s="202"/>
      <c r="E13" s="202"/>
      <c r="F13" s="203"/>
      <c r="G13" s="204" t="e">
        <f>Calculation!#REF!</f>
        <v>#REF!</v>
      </c>
      <c r="H13" s="177"/>
      <c r="I13" s="191"/>
      <c r="J13" s="205"/>
      <c r="K13" s="205"/>
      <c r="L13" s="205"/>
      <c r="M13" s="206" t="s">
        <v>152</v>
      </c>
      <c r="N13" s="103"/>
      <c r="O13" s="193">
        <f>O11*15%</f>
        <v>0</v>
      </c>
      <c r="P13" s="102" t="s">
        <v>153</v>
      </c>
      <c r="Q13" s="207"/>
      <c r="R13" s="195"/>
      <c r="S13" s="1148" t="s">
        <v>154</v>
      </c>
      <c r="T13" s="1149"/>
      <c r="U13" s="1150"/>
      <c r="V13" s="208"/>
      <c r="W13" s="209"/>
      <c r="Z13" s="183"/>
      <c r="AA13" s="184"/>
      <c r="AB13" s="185"/>
      <c r="AC13" s="129"/>
      <c r="AD13" s="210"/>
      <c r="AF13" s="183"/>
      <c r="AG13" s="211"/>
      <c r="AH13" s="185"/>
      <c r="AI13" s="212"/>
      <c r="AL13" s="211"/>
      <c r="AM13" s="213"/>
      <c r="AN13" s="129"/>
      <c r="AO13" s="129"/>
      <c r="AP13" s="129"/>
      <c r="AQ13" s="129"/>
      <c r="AR13" s="129"/>
      <c r="AS13" s="130"/>
      <c r="AT13" s="130"/>
      <c r="AU13" s="78"/>
      <c r="AV13" s="130"/>
      <c r="AW13" s="130"/>
      <c r="AX13" s="130"/>
      <c r="AY13" s="130"/>
      <c r="AZ13" s="130"/>
      <c r="BA13" s="130"/>
      <c r="BB13" s="130"/>
      <c r="BC13" s="130"/>
      <c r="BD13" s="131"/>
      <c r="BE13" s="129"/>
      <c r="BF13" s="129"/>
      <c r="BG13" s="129"/>
      <c r="BH13" s="129"/>
      <c r="BI13" s="129"/>
      <c r="BJ13" s="129"/>
      <c r="BK13" s="132"/>
      <c r="BL13" s="132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</row>
    <row r="14" spans="2:84" s="82" customFormat="1" ht="15.75" customHeight="1">
      <c r="B14" s="201" t="s">
        <v>155</v>
      </c>
      <c r="C14" s="202"/>
      <c r="D14" s="202"/>
      <c r="E14" s="214"/>
      <c r="F14" s="203"/>
      <c r="G14" s="189">
        <v>8.2400000000000001E-2</v>
      </c>
      <c r="H14" s="177"/>
      <c r="I14" s="215"/>
      <c r="J14" s="216"/>
      <c r="K14" s="216"/>
      <c r="L14" s="216"/>
      <c r="M14" s="180" t="s">
        <v>156</v>
      </c>
      <c r="N14" s="181"/>
      <c r="O14" s="182" t="e">
        <f>(Calculation!#REF!*(O6+R6))*110/100</f>
        <v>#REF!</v>
      </c>
      <c r="P14" s="202" t="s">
        <v>157</v>
      </c>
      <c r="Q14" s="217"/>
      <c r="R14" s="218">
        <v>0</v>
      </c>
      <c r="S14" s="1151"/>
      <c r="T14" s="1152"/>
      <c r="U14" s="1153"/>
      <c r="V14" s="219"/>
      <c r="W14" s="220">
        <v>1</v>
      </c>
      <c r="Z14" s="183"/>
      <c r="AA14" s="184"/>
      <c r="AB14" s="185"/>
      <c r="AC14" s="129"/>
      <c r="AD14" s="210"/>
      <c r="AF14" s="183"/>
      <c r="AG14" s="211"/>
      <c r="AH14" s="185"/>
      <c r="AI14" s="212"/>
      <c r="AL14" s="211"/>
      <c r="AM14" s="213"/>
      <c r="AN14" s="129"/>
      <c r="AO14" s="129"/>
      <c r="AP14" s="129"/>
      <c r="AQ14" s="129"/>
      <c r="AR14" s="129"/>
      <c r="AS14" s="130"/>
      <c r="AT14" s="130"/>
      <c r="AU14" s="78"/>
      <c r="AV14" s="130"/>
      <c r="AW14" s="130"/>
      <c r="AX14" s="130"/>
      <c r="AY14" s="130"/>
      <c r="AZ14" s="130"/>
      <c r="BA14" s="130"/>
      <c r="BB14" s="130"/>
      <c r="BC14" s="130"/>
      <c r="BD14" s="131"/>
      <c r="BE14" s="129"/>
      <c r="BF14" s="129"/>
      <c r="BG14" s="129"/>
      <c r="BH14" s="129"/>
      <c r="BI14" s="129"/>
      <c r="BJ14" s="129"/>
      <c r="BK14" s="132"/>
      <c r="BL14" s="132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</row>
    <row r="15" spans="2:84" s="82" customFormat="1" ht="15.75" customHeight="1" thickBot="1">
      <c r="B15" s="221" t="s">
        <v>158</v>
      </c>
      <c r="C15" s="222"/>
      <c r="D15" s="222"/>
      <c r="E15" s="222"/>
      <c r="F15" s="223"/>
      <c r="G15" s="478">
        <f>14%-8.24%</f>
        <v>5.7600000000000012E-2</v>
      </c>
      <c r="H15" s="224"/>
      <c r="I15" s="225"/>
      <c r="J15" s="226"/>
      <c r="K15" s="226"/>
      <c r="L15" s="226"/>
      <c r="M15" s="227" t="s">
        <v>159</v>
      </c>
      <c r="N15" s="228"/>
      <c r="O15" s="229" t="e">
        <f>O14*10%</f>
        <v>#REF!</v>
      </c>
      <c r="P15" s="230"/>
      <c r="Q15" s="231"/>
      <c r="R15" s="232"/>
      <c r="S15" s="233"/>
      <c r="T15" s="234"/>
      <c r="U15" s="230"/>
      <c r="V15" s="235"/>
      <c r="W15" s="236"/>
      <c r="X15" s="230"/>
      <c r="Y15" s="230"/>
      <c r="Z15" s="237"/>
      <c r="AA15" s="238"/>
      <c r="AB15" s="239"/>
      <c r="AC15" s="240"/>
      <c r="AD15" s="233"/>
      <c r="AE15" s="230"/>
      <c r="AF15" s="237"/>
      <c r="AG15" s="241"/>
      <c r="AH15" s="239"/>
      <c r="AI15" s="242"/>
      <c r="AJ15" s="230"/>
      <c r="AK15" s="230"/>
      <c r="AL15" s="241"/>
      <c r="AM15" s="243"/>
      <c r="AN15" s="129"/>
      <c r="AO15" s="129"/>
      <c r="AP15" s="129"/>
      <c r="AQ15" s="129"/>
      <c r="AR15" s="129"/>
      <c r="AS15" s="130"/>
      <c r="AT15" s="130"/>
      <c r="AU15" s="78"/>
      <c r="AV15" s="130"/>
      <c r="AW15" s="130"/>
      <c r="AX15" s="130"/>
      <c r="AY15" s="130"/>
      <c r="AZ15" s="130"/>
      <c r="BA15" s="130"/>
      <c r="BB15" s="130"/>
      <c r="BC15" s="130"/>
      <c r="BD15" s="131"/>
      <c r="BE15" s="129"/>
      <c r="BF15" s="129"/>
      <c r="BG15" s="129"/>
      <c r="BH15" s="129"/>
      <c r="BI15" s="129"/>
      <c r="BJ15" s="129"/>
      <c r="BK15" s="132"/>
      <c r="BL15" s="132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</row>
    <row r="16" spans="2:84" ht="15.75" customHeight="1" thickTop="1" thickBot="1">
      <c r="B16" s="54"/>
      <c r="C16" s="54"/>
      <c r="D16" s="54"/>
      <c r="E16" s="244"/>
      <c r="F16" s="244"/>
      <c r="G16" s="54"/>
      <c r="H16" s="54"/>
      <c r="I16" s="54"/>
      <c r="J16" s="54"/>
      <c r="K16" s="54"/>
      <c r="L16" s="54"/>
      <c r="O16" s="245"/>
      <c r="U16" s="246"/>
    </row>
    <row r="17" spans="1:88" s="249" customFormat="1" ht="21.95" customHeight="1" thickTop="1" thickBot="1">
      <c r="B17" s="1359" t="s">
        <v>160</v>
      </c>
      <c r="C17" s="1360" t="s">
        <v>161</v>
      </c>
      <c r="D17" s="1361" t="s">
        <v>162</v>
      </c>
      <c r="E17" s="1154" t="s">
        <v>163</v>
      </c>
      <c r="F17" s="1155"/>
      <c r="G17" s="1155"/>
      <c r="H17" s="1155"/>
      <c r="I17" s="1155"/>
      <c r="J17" s="1155"/>
      <c r="K17" s="1155"/>
      <c r="L17" s="1155"/>
      <c r="M17" s="1155"/>
      <c r="N17" s="1155"/>
      <c r="O17" s="1155"/>
      <c r="P17" s="1155"/>
      <c r="Q17" s="1155"/>
      <c r="R17" s="1155"/>
      <c r="S17" s="1155"/>
      <c r="T17" s="1155"/>
      <c r="U17" s="1155"/>
      <c r="V17" s="1156"/>
      <c r="W17" s="1157" t="s">
        <v>164</v>
      </c>
      <c r="X17" s="1160" t="s">
        <v>165</v>
      </c>
      <c r="Y17" s="1161"/>
      <c r="Z17" s="1161"/>
      <c r="AA17" s="1161"/>
      <c r="AB17" s="1161"/>
      <c r="AC17" s="250"/>
      <c r="AD17" s="1162" t="s">
        <v>166</v>
      </c>
      <c r="AE17" s="1165" t="s">
        <v>167</v>
      </c>
      <c r="AF17" s="1176" t="s">
        <v>168</v>
      </c>
      <c r="AG17" s="1154" t="s">
        <v>169</v>
      </c>
      <c r="AH17" s="1155"/>
      <c r="AI17" s="1155"/>
      <c r="AJ17" s="1155"/>
      <c r="AK17" s="1179"/>
      <c r="AL17" s="1154" t="s">
        <v>170</v>
      </c>
      <c r="AM17" s="1155"/>
      <c r="AN17" s="1155"/>
      <c r="AO17" s="1179"/>
      <c r="AP17" s="1180" t="s">
        <v>171</v>
      </c>
      <c r="AQ17" s="1183" t="s">
        <v>172</v>
      </c>
      <c r="AR17" s="1186" t="s">
        <v>173</v>
      </c>
      <c r="AS17" s="1173" t="s">
        <v>174</v>
      </c>
      <c r="AU17" s="251" t="s">
        <v>175</v>
      </c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252"/>
      <c r="BL17" s="252"/>
    </row>
    <row r="18" spans="1:88" s="249" customFormat="1" ht="18" customHeight="1" thickTop="1">
      <c r="B18" s="253"/>
      <c r="C18" s="254"/>
      <c r="D18" s="255"/>
      <c r="E18" s="1362" t="s">
        <v>176</v>
      </c>
      <c r="F18" s="1363"/>
      <c r="G18" s="1363" t="s">
        <v>177</v>
      </c>
      <c r="H18" s="1363"/>
      <c r="I18" s="1363" t="s">
        <v>178</v>
      </c>
      <c r="J18" s="1363"/>
      <c r="K18" s="1364"/>
      <c r="L18" s="1365"/>
      <c r="M18" s="1363" t="s">
        <v>179</v>
      </c>
      <c r="N18" s="1363"/>
      <c r="O18" s="1366" t="s">
        <v>180</v>
      </c>
      <c r="P18" s="1366" t="s">
        <v>181</v>
      </c>
      <c r="Q18" s="1366" t="s">
        <v>182</v>
      </c>
      <c r="R18" s="1363" t="s">
        <v>183</v>
      </c>
      <c r="S18" s="1367"/>
      <c r="T18" s="1368" t="s">
        <v>184</v>
      </c>
      <c r="U18" s="1368" t="s">
        <v>185</v>
      </c>
      <c r="V18" s="1369" t="s">
        <v>186</v>
      </c>
      <c r="W18" s="1158"/>
      <c r="X18" s="1370" t="s">
        <v>187</v>
      </c>
      <c r="Y18" s="1371"/>
      <c r="Z18" s="1371" t="s">
        <v>188</v>
      </c>
      <c r="AA18" s="1371"/>
      <c r="AB18" s="1371"/>
      <c r="AC18" s="256"/>
      <c r="AD18" s="1163"/>
      <c r="AE18" s="1166"/>
      <c r="AF18" s="1177"/>
      <c r="AG18" s="1372" t="s">
        <v>189</v>
      </c>
      <c r="AH18" s="1373" t="s">
        <v>190</v>
      </c>
      <c r="AI18" s="1373" t="s">
        <v>191</v>
      </c>
      <c r="AJ18" s="1373" t="s">
        <v>192</v>
      </c>
      <c r="AK18" s="1374" t="s">
        <v>193</v>
      </c>
      <c r="AL18" s="1375" t="s">
        <v>194</v>
      </c>
      <c r="AM18" s="1376" t="s">
        <v>195</v>
      </c>
      <c r="AN18" s="1366" t="s">
        <v>196</v>
      </c>
      <c r="AO18" s="1377" t="s">
        <v>197</v>
      </c>
      <c r="AP18" s="1181"/>
      <c r="AQ18" s="1184"/>
      <c r="AR18" s="1187"/>
      <c r="AS18" s="1174"/>
      <c r="AU18" s="257" t="s">
        <v>198</v>
      </c>
      <c r="AV18" s="1189" t="s">
        <v>199</v>
      </c>
      <c r="AW18" s="1190"/>
      <c r="AX18" s="1190"/>
      <c r="AY18" s="1190"/>
      <c r="AZ18" s="1190"/>
      <c r="BA18" s="1190"/>
      <c r="BB18" s="1190"/>
      <c r="BC18" s="1191"/>
      <c r="BD18" s="1189" t="s">
        <v>200</v>
      </c>
      <c r="BE18" s="1190"/>
      <c r="BF18" s="1190"/>
      <c r="BG18" s="1191"/>
      <c r="BH18" s="1192" t="s">
        <v>201</v>
      </c>
      <c r="BI18" s="1193"/>
      <c r="BJ18" s="1194"/>
      <c r="BK18" s="258" t="s">
        <v>202</v>
      </c>
      <c r="BL18" s="259" t="s">
        <v>203</v>
      </c>
      <c r="BM18" s="260"/>
      <c r="BN18" s="260"/>
      <c r="BO18" s="260"/>
      <c r="BP18" s="260"/>
      <c r="BQ18" s="260"/>
      <c r="BR18" s="260"/>
      <c r="BS18" s="260"/>
      <c r="BT18" s="260"/>
      <c r="BU18" s="260"/>
      <c r="BV18" s="260"/>
      <c r="BW18" s="260"/>
      <c r="BX18" s="260"/>
      <c r="BY18" s="260"/>
      <c r="BZ18" s="260"/>
      <c r="CA18" s="260"/>
      <c r="CB18" s="260"/>
      <c r="CC18" s="260"/>
      <c r="CD18" s="260"/>
      <c r="CE18" s="260"/>
      <c r="CF18" s="260"/>
      <c r="CG18" s="260"/>
      <c r="CH18" s="260"/>
      <c r="CI18" s="260"/>
      <c r="CJ18" s="260"/>
    </row>
    <row r="19" spans="1:88" s="249" customFormat="1" ht="18" customHeight="1">
      <c r="B19" s="253"/>
      <c r="C19" s="254"/>
      <c r="E19" s="1378" t="s">
        <v>204</v>
      </c>
      <c r="F19" s="1379" t="s">
        <v>205</v>
      </c>
      <c r="G19" s="1379" t="s">
        <v>204</v>
      </c>
      <c r="H19" s="1379" t="s">
        <v>205</v>
      </c>
      <c r="I19" s="1379" t="s">
        <v>204</v>
      </c>
      <c r="J19" s="1379" t="s">
        <v>205</v>
      </c>
      <c r="K19" s="1359"/>
      <c r="L19" s="1359"/>
      <c r="M19" s="1379" t="s">
        <v>206</v>
      </c>
      <c r="N19" s="1379" t="s">
        <v>205</v>
      </c>
      <c r="O19" s="1146"/>
      <c r="P19" s="1146"/>
      <c r="Q19" s="1146"/>
      <c r="R19" s="1379" t="s">
        <v>206</v>
      </c>
      <c r="S19" s="1379" t="s">
        <v>205</v>
      </c>
      <c r="T19" s="1168"/>
      <c r="U19" s="1168"/>
      <c r="V19" s="1170"/>
      <c r="W19" s="1158"/>
      <c r="X19" s="1370" t="s">
        <v>207</v>
      </c>
      <c r="Y19" s="1371" t="s">
        <v>192</v>
      </c>
      <c r="Z19" s="1371" t="s">
        <v>208</v>
      </c>
      <c r="AA19" s="1363" t="s">
        <v>192</v>
      </c>
      <c r="AB19" s="1363" t="s">
        <v>193</v>
      </c>
      <c r="AC19" s="255" t="s">
        <v>209</v>
      </c>
      <c r="AD19" s="1163"/>
      <c r="AE19" s="1166"/>
      <c r="AF19" s="1177"/>
      <c r="AG19" s="1195"/>
      <c r="AH19" s="1197"/>
      <c r="AI19" s="1197"/>
      <c r="AJ19" s="1197"/>
      <c r="AK19" s="1199"/>
      <c r="AL19" s="1143"/>
      <c r="AM19" s="1376"/>
      <c r="AN19" s="1146"/>
      <c r="AO19" s="261"/>
      <c r="AP19" s="1181"/>
      <c r="AQ19" s="1184"/>
      <c r="AR19" s="1187"/>
      <c r="AS19" s="1174"/>
      <c r="AU19" s="262"/>
      <c r="AV19" s="1380" t="s">
        <v>189</v>
      </c>
      <c r="AW19" s="1381"/>
      <c r="AX19" s="1382" t="s">
        <v>210</v>
      </c>
      <c r="AY19" s="1381"/>
      <c r="AZ19" s="1382" t="s">
        <v>188</v>
      </c>
      <c r="BA19" s="1381"/>
      <c r="BB19" s="1383" t="s">
        <v>211</v>
      </c>
      <c r="BC19" s="1384" t="s">
        <v>74</v>
      </c>
      <c r="BD19" s="1385" t="s">
        <v>212</v>
      </c>
      <c r="BE19" s="1386" t="s">
        <v>213</v>
      </c>
      <c r="BF19" s="1387" t="s">
        <v>214</v>
      </c>
      <c r="BG19" s="1384" t="s">
        <v>74</v>
      </c>
      <c r="BH19" s="263" t="s">
        <v>215</v>
      </c>
      <c r="BI19" s="1387" t="s">
        <v>216</v>
      </c>
      <c r="BJ19" s="1388" t="s">
        <v>217</v>
      </c>
      <c r="BK19" s="264"/>
      <c r="BL19" s="264"/>
      <c r="BM19" s="260"/>
      <c r="BN19" s="260"/>
      <c r="BO19" s="260"/>
      <c r="BP19" s="260"/>
      <c r="BQ19" s="260"/>
      <c r="BR19" s="260"/>
      <c r="BS19" s="260"/>
      <c r="BT19" s="260"/>
      <c r="BU19" s="260"/>
      <c r="BV19" s="260"/>
      <c r="BW19" s="260"/>
      <c r="BX19" s="260"/>
      <c r="BY19" s="260"/>
      <c r="BZ19" s="260"/>
      <c r="CA19" s="260"/>
      <c r="CB19" s="260"/>
      <c r="CC19" s="260"/>
      <c r="CD19" s="260"/>
      <c r="CE19" s="260"/>
      <c r="CF19" s="260"/>
      <c r="CG19" s="260"/>
      <c r="CH19" s="260"/>
      <c r="CI19" s="260"/>
      <c r="CJ19" s="260"/>
    </row>
    <row r="20" spans="1:88" s="249" customFormat="1" ht="30.75" customHeight="1" thickBot="1">
      <c r="B20" s="265"/>
      <c r="C20" s="266"/>
      <c r="D20" s="267"/>
      <c r="E20" s="1389"/>
      <c r="F20" s="1390"/>
      <c r="G20" s="1390"/>
      <c r="H20" s="1390"/>
      <c r="I20" s="1390"/>
      <c r="J20" s="1390"/>
      <c r="K20" s="268"/>
      <c r="L20" s="268"/>
      <c r="M20" s="1390"/>
      <c r="N20" s="1390"/>
      <c r="O20" s="1147"/>
      <c r="P20" s="1147"/>
      <c r="Q20" s="1147"/>
      <c r="R20" s="1390"/>
      <c r="S20" s="1390"/>
      <c r="T20" s="1169"/>
      <c r="U20" s="1169"/>
      <c r="V20" s="1171"/>
      <c r="W20" s="1159"/>
      <c r="X20" s="1204"/>
      <c r="Y20" s="1205"/>
      <c r="Z20" s="1205"/>
      <c r="AA20" s="1172"/>
      <c r="AB20" s="1172"/>
      <c r="AC20" s="269"/>
      <c r="AD20" s="1164"/>
      <c r="AE20" s="1167"/>
      <c r="AF20" s="1178"/>
      <c r="AG20" s="1196"/>
      <c r="AH20" s="1198"/>
      <c r="AI20" s="1198"/>
      <c r="AJ20" s="1198"/>
      <c r="AK20" s="1200"/>
      <c r="AL20" s="1144"/>
      <c r="AM20" s="1145"/>
      <c r="AN20" s="1147"/>
      <c r="AO20" s="270"/>
      <c r="AP20" s="1182"/>
      <c r="AQ20" s="1185"/>
      <c r="AR20" s="1188"/>
      <c r="AS20" s="1175"/>
      <c r="AU20" s="271"/>
      <c r="AV20" s="272" t="s">
        <v>218</v>
      </c>
      <c r="AW20" s="273" t="s">
        <v>192</v>
      </c>
      <c r="AX20" s="273" t="s">
        <v>219</v>
      </c>
      <c r="AY20" s="273" t="s">
        <v>192</v>
      </c>
      <c r="AZ20" s="273" t="s">
        <v>219</v>
      </c>
      <c r="BA20" s="273" t="s">
        <v>192</v>
      </c>
      <c r="BB20" s="274"/>
      <c r="BC20" s="275"/>
      <c r="BD20" s="1202"/>
      <c r="BE20" s="274"/>
      <c r="BF20" s="1203"/>
      <c r="BG20" s="275"/>
      <c r="BH20" s="276"/>
      <c r="BI20" s="1203"/>
      <c r="BJ20" s="1201"/>
      <c r="BK20" s="277"/>
      <c r="BL20" s="277"/>
      <c r="BM20" s="260"/>
      <c r="BN20" s="260"/>
      <c r="BO20" s="260"/>
      <c r="BP20" s="260"/>
      <c r="BQ20" s="260"/>
      <c r="BR20" s="260"/>
      <c r="BS20" s="260"/>
      <c r="BT20" s="260"/>
      <c r="BU20" s="260"/>
      <c r="BV20" s="260"/>
      <c r="BW20" s="260"/>
      <c r="BX20" s="260"/>
      <c r="BY20" s="260"/>
      <c r="BZ20" s="260"/>
      <c r="CA20" s="260"/>
      <c r="CB20" s="260"/>
      <c r="CC20" s="260"/>
      <c r="CD20" s="260"/>
      <c r="CE20" s="260"/>
      <c r="CF20" s="260"/>
      <c r="CG20" s="260"/>
      <c r="CH20" s="260"/>
      <c r="CI20" s="260"/>
      <c r="CJ20" s="260"/>
    </row>
    <row r="21" spans="1:88" s="278" customFormat="1" ht="15.75" customHeight="1" thickTop="1" thickBot="1">
      <c r="B21" s="1391"/>
      <c r="C21" s="1392"/>
      <c r="D21" s="1392"/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80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Q21" s="279"/>
      <c r="AR21" s="279"/>
      <c r="AS21" s="279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281"/>
      <c r="BI21" s="281"/>
      <c r="BJ21" s="281"/>
      <c r="BK21" s="282"/>
      <c r="BL21" s="282"/>
    </row>
    <row r="22" spans="1:88" s="278" customFormat="1" ht="15.75" customHeight="1" thickTop="1">
      <c r="A22" s="283">
        <v>-3</v>
      </c>
      <c r="B22" s="284" t="str">
        <f>IF(E22+G22+I22&lt;0,0,"  ")</f>
        <v xml:space="preserve">  </v>
      </c>
      <c r="C22" s="285">
        <f>IF($C23=1,12,$C23-1)</f>
        <v>2</v>
      </c>
      <c r="D22" s="286" t="str">
        <f>IF($C25=1,$D$25-1,"             ")</f>
        <v xml:space="preserve">             </v>
      </c>
      <c r="E22" s="287">
        <f>IF($AH$10=$A22*-1,$AH$7*-1,0)</f>
        <v>0</v>
      </c>
      <c r="F22" s="288">
        <v>0</v>
      </c>
      <c r="G22" s="288">
        <f>IF($AH$11=$A22*-1,$AH$8*-1,0)</f>
        <v>0</v>
      </c>
      <c r="H22" s="288">
        <v>0</v>
      </c>
      <c r="I22" s="288">
        <f>IF($A22*-1=$AH$12,$AH$9*-1,0)</f>
        <v>0</v>
      </c>
      <c r="J22" s="288">
        <v>0</v>
      </c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>
        <f>(E22+F22+G22+H22+I22+J22)*G14*1/12</f>
        <v>0</v>
      </c>
      <c r="V22" s="288"/>
      <c r="W22" s="289">
        <f>SUM(E22:V22)</f>
        <v>0</v>
      </c>
      <c r="X22" s="290"/>
      <c r="Y22" s="291"/>
      <c r="Z22" s="291"/>
      <c r="AA22" s="291"/>
      <c r="AB22" s="291"/>
      <c r="AC22" s="292"/>
      <c r="AD22" s="293">
        <v>0</v>
      </c>
      <c r="AE22" s="294">
        <f t="shared" ref="AE22:AE85" si="0">W22+AD22</f>
        <v>0</v>
      </c>
      <c r="AF22" s="294">
        <f>IF(AE22&lt;0,PV($G$14/12,$B22,0,$AE22*-1,0),0)</f>
        <v>0</v>
      </c>
      <c r="AG22" s="290"/>
      <c r="AH22" s="291"/>
      <c r="AI22" s="291"/>
      <c r="AJ22" s="291"/>
      <c r="AK22" s="295"/>
      <c r="AL22" s="296"/>
      <c r="AM22" s="297"/>
      <c r="AN22" s="297"/>
      <c r="AO22" s="298"/>
      <c r="AP22" s="299"/>
      <c r="AQ22" s="300">
        <f>AE22+AG22+AK22+AP22</f>
        <v>0</v>
      </c>
      <c r="AR22" s="300">
        <f>AE22+Y22+AA22+AJ22+AN22+AP22</f>
        <v>0</v>
      </c>
      <c r="AS22" s="301">
        <v>-3</v>
      </c>
      <c r="AU22" s="302" t="str">
        <f>B22</f>
        <v xml:space="preserve">  </v>
      </c>
      <c r="AV22" s="303">
        <f>AI22-AK22</f>
        <v>0</v>
      </c>
      <c r="AW22" s="304">
        <f>AJ22</f>
        <v>0</v>
      </c>
      <c r="AX22" s="304">
        <f>X22</f>
        <v>0</v>
      </c>
      <c r="AY22" s="304">
        <f>Y22</f>
        <v>0</v>
      </c>
      <c r="AZ22" s="304">
        <f>Z22</f>
        <v>0</v>
      </c>
      <c r="BA22" s="304">
        <f>AA22</f>
        <v>0</v>
      </c>
      <c r="BB22" s="304">
        <f>AP22</f>
        <v>0</v>
      </c>
      <c r="BC22" s="305">
        <f>AV22+AW22+AX22+AY22+AZ22+BA22+BB22</f>
        <v>0</v>
      </c>
      <c r="BD22" s="303">
        <f>W22</f>
        <v>0</v>
      </c>
      <c r="BE22" s="304">
        <f>AN22</f>
        <v>0</v>
      </c>
      <c r="BF22" s="304">
        <v>0</v>
      </c>
      <c r="BG22" s="305">
        <f>BD22+BE22+BF22</f>
        <v>0</v>
      </c>
      <c r="BH22" s="306">
        <f>BC22+BG22</f>
        <v>0</v>
      </c>
      <c r="BI22" s="307">
        <v>0</v>
      </c>
      <c r="BJ22" s="308">
        <f>BH22+BI22</f>
        <v>0</v>
      </c>
      <c r="BK22" s="309">
        <f>IF($BJ22&lt;0,$BJ22*-1,0)</f>
        <v>0</v>
      </c>
      <c r="BL22" s="309">
        <f t="shared" ref="BL22:BL85" si="1">$BK22*$G$14*1/12</f>
        <v>0</v>
      </c>
    </row>
    <row r="23" spans="1:88" s="278" customFormat="1" ht="15.75" customHeight="1">
      <c r="A23" s="283">
        <v>-2</v>
      </c>
      <c r="B23" s="310" t="str">
        <f>IF(B22=0,1,IF(E23+G23+I23&lt;0,0,"  "))</f>
        <v xml:space="preserve">  </v>
      </c>
      <c r="C23" s="311">
        <f>IF($C24=1,12,$C24-1)</f>
        <v>3</v>
      </c>
      <c r="D23" s="312"/>
      <c r="E23" s="313">
        <f>IF($AH$10=$A23*-1,$AH$7*-1,0)</f>
        <v>0</v>
      </c>
      <c r="F23" s="314">
        <v>0</v>
      </c>
      <c r="G23" s="314">
        <f>IF($AH$11*-1=$A23,$AH$8*-1,0)</f>
        <v>0</v>
      </c>
      <c r="H23" s="314">
        <v>0</v>
      </c>
      <c r="I23" s="314">
        <f>IF($A23*-1=$AH$12,$AH$9*-1,0)</f>
        <v>0</v>
      </c>
      <c r="J23" s="314">
        <v>0</v>
      </c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>
        <f>SUM(E22:J23)*G14*1/12</f>
        <v>0</v>
      </c>
      <c r="V23" s="314"/>
      <c r="W23" s="315">
        <f t="shared" ref="W23:W85" si="2">SUM(E23:V23)</f>
        <v>0</v>
      </c>
      <c r="X23" s="316"/>
      <c r="Y23" s="310"/>
      <c r="Z23" s="310"/>
      <c r="AA23" s="310"/>
      <c r="AB23" s="310"/>
      <c r="AC23" s="317"/>
      <c r="AD23" s="318">
        <v>0</v>
      </c>
      <c r="AE23" s="319">
        <f t="shared" si="0"/>
        <v>0</v>
      </c>
      <c r="AF23" s="320">
        <f>IF(AE23&lt;0,PV($G$14/12,$B23,0,$AE23*-1,0),0)</f>
        <v>0</v>
      </c>
      <c r="AG23" s="316"/>
      <c r="AH23" s="310"/>
      <c r="AI23" s="310"/>
      <c r="AJ23" s="310"/>
      <c r="AK23" s="321"/>
      <c r="AL23" s="322"/>
      <c r="AM23" s="323"/>
      <c r="AN23" s="323"/>
      <c r="AO23" s="324"/>
      <c r="AP23" s="325"/>
      <c r="AQ23" s="326">
        <f>AE23+AG23+AK23+AP23</f>
        <v>0</v>
      </c>
      <c r="AR23" s="326">
        <f>AE23+Y23+AA23+AJ23+AN23+AP23</f>
        <v>0</v>
      </c>
      <c r="AS23" s="327">
        <v>-2</v>
      </c>
      <c r="AU23" s="328" t="str">
        <f>B23</f>
        <v xml:space="preserve">  </v>
      </c>
      <c r="AV23" s="329">
        <f>AI23-AK23</f>
        <v>0</v>
      </c>
      <c r="AW23" s="330">
        <f t="shared" ref="AW23:AW86" si="3">AJ23</f>
        <v>0</v>
      </c>
      <c r="AX23" s="330">
        <f t="shared" ref="AX23:BA86" si="4">X23</f>
        <v>0</v>
      </c>
      <c r="AY23" s="330">
        <f t="shared" si="4"/>
        <v>0</v>
      </c>
      <c r="AZ23" s="330">
        <f t="shared" si="4"/>
        <v>0</v>
      </c>
      <c r="BA23" s="330">
        <f t="shared" si="4"/>
        <v>0</v>
      </c>
      <c r="BB23" s="330">
        <f t="shared" ref="BB23:BB86" si="5">AP23</f>
        <v>0</v>
      </c>
      <c r="BC23" s="331">
        <f t="shared" ref="BC23:BC86" si="6">AV23+AW23+AX23+AY23+AZ23+BA23+BB23</f>
        <v>0</v>
      </c>
      <c r="BD23" s="329">
        <f t="shared" ref="BD23:BD86" si="7">W23</f>
        <v>0</v>
      </c>
      <c r="BE23" s="330">
        <f t="shared" ref="BE23:BE86" si="8">AN23</f>
        <v>0</v>
      </c>
      <c r="BF23" s="330">
        <f>BL22*-1</f>
        <v>0</v>
      </c>
      <c r="BG23" s="331">
        <f t="shared" ref="BG23:BG86" si="9">BD23+BE23+BF23</f>
        <v>0</v>
      </c>
      <c r="BH23" s="332">
        <f>BC23+BG23</f>
        <v>0</v>
      </c>
      <c r="BI23" s="333">
        <f>BJ22</f>
        <v>0</v>
      </c>
      <c r="BJ23" s="334">
        <f>BH23+BI23</f>
        <v>0</v>
      </c>
      <c r="BK23" s="335">
        <f>IF($BJ23&lt;0,$BJ23*-1,0)</f>
        <v>0</v>
      </c>
      <c r="BL23" s="335">
        <f t="shared" si="1"/>
        <v>0</v>
      </c>
    </row>
    <row r="24" spans="1:88" s="278" customFormat="1" ht="15.75" customHeight="1">
      <c r="A24" s="283">
        <v>-1</v>
      </c>
      <c r="B24" s="310" t="str">
        <f>IF(B22=0,2,IF(B23=0,1,IF(E24+G24+I24&lt;0,0,"  ")))</f>
        <v xml:space="preserve">  </v>
      </c>
      <c r="C24" s="311">
        <f>IF($C25=1,12,$C25-1)</f>
        <v>4</v>
      </c>
      <c r="D24" s="312"/>
      <c r="E24" s="313">
        <f>(IF($AH$10=$A24*-1,$AH$7*-1,0))+(AM7*-1)+(IF(AM7&gt;0,O9,0))</f>
        <v>0</v>
      </c>
      <c r="F24" s="314">
        <f>IF(AM7&gt;0,O9*-1,0)</f>
        <v>0</v>
      </c>
      <c r="G24" s="314">
        <f>(IF($AH$11*-1=$A24,$AH$8*-1,0))+(AM8*-1)+(IF(AM8&gt;0,R11,0))</f>
        <v>0</v>
      </c>
      <c r="H24" s="314">
        <f>IF(AM8&gt;0,R11*-1,0)</f>
        <v>0</v>
      </c>
      <c r="I24" s="314">
        <f>(IF($A24*-1=$AH$12,$AH$9*-1,0))+(AM9*-1)+(IF(AM9&gt;0,R12,0))</f>
        <v>0</v>
      </c>
      <c r="J24" s="314">
        <f>IF(AM9&gt;0,R12*-1,0)</f>
        <v>0</v>
      </c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>
        <f>SUM(E22:J24)*G14*1/12</f>
        <v>0</v>
      </c>
      <c r="V24" s="314"/>
      <c r="W24" s="315">
        <f>SUM(E24:V24)</f>
        <v>0</v>
      </c>
      <c r="X24" s="316"/>
      <c r="Y24" s="310"/>
      <c r="Z24" s="310"/>
      <c r="AA24" s="310"/>
      <c r="AB24" s="310"/>
      <c r="AC24" s="317"/>
      <c r="AD24" s="318">
        <v>0</v>
      </c>
      <c r="AE24" s="319">
        <f>W24+AD24</f>
        <v>0</v>
      </c>
      <c r="AF24" s="320">
        <f>IF(AE24&lt;0,PV($G$14/12,$B24,0,$AE24*-1,0),0)</f>
        <v>0</v>
      </c>
      <c r="AG24" s="316"/>
      <c r="AH24" s="310"/>
      <c r="AI24" s="310"/>
      <c r="AJ24" s="310"/>
      <c r="AK24" s="321"/>
      <c r="AL24" s="322"/>
      <c r="AM24" s="336">
        <f>($F24*$O$10)+($H24*$R$14)+($J24*$R$14)+($N24*$R$14)+($S24*$W$14)</f>
        <v>0</v>
      </c>
      <c r="AN24" s="337">
        <v>0</v>
      </c>
      <c r="AO24" s="338">
        <f t="shared" ref="AO24:AO87" si="10">IF(($AL24+$AO23+$AM24)&lt;0,($AL24+$AO23+$AM24),0)</f>
        <v>0</v>
      </c>
      <c r="AP24" s="325"/>
      <c r="AQ24" s="326">
        <f>AE24+AG24+AK24+AP24</f>
        <v>0</v>
      </c>
      <c r="AR24" s="326">
        <f>AE24+Y24+AA24+AJ24+AN24+AP24</f>
        <v>0</v>
      </c>
      <c r="AS24" s="327">
        <v>-1</v>
      </c>
      <c r="AU24" s="328" t="str">
        <f>B24</f>
        <v xml:space="preserve">  </v>
      </c>
      <c r="AV24" s="329">
        <f>AI24-AK24</f>
        <v>0</v>
      </c>
      <c r="AW24" s="330">
        <f t="shared" si="3"/>
        <v>0</v>
      </c>
      <c r="AX24" s="330">
        <f t="shared" si="4"/>
        <v>0</v>
      </c>
      <c r="AY24" s="330">
        <f t="shared" si="4"/>
        <v>0</v>
      </c>
      <c r="AZ24" s="330">
        <f t="shared" si="4"/>
        <v>0</v>
      </c>
      <c r="BA24" s="330">
        <f t="shared" si="4"/>
        <v>0</v>
      </c>
      <c r="BB24" s="330">
        <f t="shared" si="5"/>
        <v>0</v>
      </c>
      <c r="BC24" s="331">
        <f t="shared" si="6"/>
        <v>0</v>
      </c>
      <c r="BD24" s="329">
        <f t="shared" si="7"/>
        <v>0</v>
      </c>
      <c r="BE24" s="330">
        <f t="shared" si="8"/>
        <v>0</v>
      </c>
      <c r="BF24" s="330">
        <f>BL23*-1</f>
        <v>0</v>
      </c>
      <c r="BG24" s="331">
        <f t="shared" si="9"/>
        <v>0</v>
      </c>
      <c r="BH24" s="332">
        <f t="shared" ref="BH24:BH86" si="11">BC24+BG24</f>
        <v>0</v>
      </c>
      <c r="BI24" s="333">
        <f t="shared" ref="BI24:BI87" si="12">BJ23</f>
        <v>0</v>
      </c>
      <c r="BJ24" s="334">
        <f>BH24+BI24</f>
        <v>0</v>
      </c>
      <c r="BK24" s="335">
        <f>IF($BJ24&lt;0,$BJ24*-1,0)</f>
        <v>0</v>
      </c>
      <c r="BL24" s="335">
        <f t="shared" si="1"/>
        <v>0</v>
      </c>
    </row>
    <row r="25" spans="1:88" ht="15.75" customHeight="1">
      <c r="B25" s="310">
        <f>IF(B22=0,3,IF(B23=0,2,IF(B24=0,1,IF(E25+G25+I25&lt;0,0,"  "))))</f>
        <v>0</v>
      </c>
      <c r="C25" s="285">
        <f>$F$7</f>
        <v>5</v>
      </c>
      <c r="D25" s="339">
        <f>$G$7</f>
        <v>2018</v>
      </c>
      <c r="E25" s="340">
        <f>(-O8+O9)-E23-E24-E22</f>
        <v>-272727273</v>
      </c>
      <c r="F25" s="341">
        <f>-O9-F24</f>
        <v>0</v>
      </c>
      <c r="G25" s="341">
        <f>(-R6+R11)-G22-G23-G24</f>
        <v>-45454545</v>
      </c>
      <c r="H25" s="341">
        <f>-R11-H24</f>
        <v>0</v>
      </c>
      <c r="I25" s="341">
        <f>(-R7+R12)-I22-I23-I24</f>
        <v>0</v>
      </c>
      <c r="J25" s="341">
        <f>-R12-J24</f>
        <v>0</v>
      </c>
      <c r="K25" s="341"/>
      <c r="L25" s="341"/>
      <c r="M25" s="341">
        <f>-R8+R13</f>
        <v>0</v>
      </c>
      <c r="N25" s="341">
        <f>-R13</f>
        <v>0</v>
      </c>
      <c r="O25" s="341"/>
      <c r="P25" s="341">
        <f>AB8*-1</f>
        <v>-26249999.985000003</v>
      </c>
      <c r="Q25" s="341">
        <f>-AB7</f>
        <v>0</v>
      </c>
      <c r="R25" s="341"/>
      <c r="S25" s="352"/>
      <c r="T25" s="341">
        <f>(SUM(E25:S25)+V25+W22+W23+W24)*G14*J10/360</f>
        <v>-1103712.6256319333</v>
      </c>
      <c r="U25" s="341"/>
      <c r="V25" s="341">
        <f>-AB10</f>
        <v>0</v>
      </c>
      <c r="W25" s="342">
        <f>SUM(E25:V25)</f>
        <v>-345535530.61063194</v>
      </c>
      <c r="X25" s="343" t="e">
        <f t="shared" ref="X25:X88" si="13">IF($AS25=$J$7+1,$O$14,0)</f>
        <v>#REF!</v>
      </c>
      <c r="Y25" s="341" t="e">
        <f t="shared" ref="Y25:Y88" si="14">IF($AS25=$J$7+1,$O$15,0)</f>
        <v>#REF!</v>
      </c>
      <c r="Z25" s="341"/>
      <c r="AA25" s="341"/>
      <c r="AB25" s="341"/>
      <c r="AC25" s="344">
        <f>AB11</f>
        <v>6562499.9962500008</v>
      </c>
      <c r="AD25" s="342" t="e">
        <f>SUM(X25:AC25)-Y25-AA25</f>
        <v>#REF!</v>
      </c>
      <c r="AE25" s="345" t="e">
        <f>W25+AD25</f>
        <v>#REF!</v>
      </c>
      <c r="AF25" s="320" t="e">
        <f t="shared" ref="AF25:AF88" si="15">PV($G$14/12,$B25,0,$AE25*-1,0)</f>
        <v>#REF!</v>
      </c>
      <c r="AG25" s="343">
        <v>0</v>
      </c>
      <c r="AH25" s="341">
        <v>0</v>
      </c>
      <c r="AI25" s="341">
        <v>0</v>
      </c>
      <c r="AJ25" s="341">
        <v>0</v>
      </c>
      <c r="AK25" s="346">
        <v>0</v>
      </c>
      <c r="AL25" s="347" t="e">
        <f>Y25+AA25+AJ25</f>
        <v>#REF!</v>
      </c>
      <c r="AM25" s="336">
        <f>($F25*$O$10)+($H25*$R$14)+($J25*$R$14)+($N25*$R$14)+($S25*$W$14)</f>
        <v>0</v>
      </c>
      <c r="AN25" s="348">
        <v>0</v>
      </c>
      <c r="AO25" s="338" t="e">
        <f t="shared" si="10"/>
        <v>#REF!</v>
      </c>
      <c r="AP25" s="349">
        <v>0</v>
      </c>
      <c r="AQ25" s="326" t="e">
        <f>AE25+AG25+AK25+AP25</f>
        <v>#REF!</v>
      </c>
      <c r="AR25" s="326" t="e">
        <f>AE25+Y25+AA25+AJ25+AN25+AP25</f>
        <v>#REF!</v>
      </c>
      <c r="AS25" s="350">
        <v>0</v>
      </c>
      <c r="AT25" s="58"/>
      <c r="AU25" s="351">
        <f>B25</f>
        <v>0</v>
      </c>
      <c r="AV25" s="329">
        <f>AI25-AK25</f>
        <v>0</v>
      </c>
      <c r="AW25" s="330">
        <f t="shared" si="3"/>
        <v>0</v>
      </c>
      <c r="AX25" s="330" t="e">
        <f t="shared" si="4"/>
        <v>#REF!</v>
      </c>
      <c r="AY25" s="330" t="e">
        <f t="shared" si="4"/>
        <v>#REF!</v>
      </c>
      <c r="AZ25" s="330">
        <f t="shared" si="4"/>
        <v>0</v>
      </c>
      <c r="BA25" s="330">
        <f t="shared" si="4"/>
        <v>0</v>
      </c>
      <c r="BB25" s="330">
        <f t="shared" si="5"/>
        <v>0</v>
      </c>
      <c r="BC25" s="331" t="e">
        <f t="shared" si="6"/>
        <v>#REF!</v>
      </c>
      <c r="BD25" s="329" t="e">
        <f>AF25</f>
        <v>#REF!</v>
      </c>
      <c r="BE25" s="330">
        <f t="shared" si="8"/>
        <v>0</v>
      </c>
      <c r="BF25" s="330">
        <f t="shared" ref="BF25:BF88" si="16">BL24*-1</f>
        <v>0</v>
      </c>
      <c r="BG25" s="331" t="e">
        <f>BD25+BE25+BF25</f>
        <v>#REF!</v>
      </c>
      <c r="BH25" s="332" t="e">
        <f>BC25+BG25</f>
        <v>#REF!</v>
      </c>
      <c r="BI25" s="333">
        <f>BJ24</f>
        <v>0</v>
      </c>
      <c r="BJ25" s="334" t="e">
        <f>BH25+BI25</f>
        <v>#REF!</v>
      </c>
      <c r="BK25" s="335" t="e">
        <f>IF($BJ25&lt;0,$BJ25*-1,0)</f>
        <v>#REF!</v>
      </c>
      <c r="BL25" s="335" t="e">
        <f>$BK25*$G$14*1/12</f>
        <v>#REF!</v>
      </c>
    </row>
    <row r="26" spans="1:88" ht="15.75" customHeight="1">
      <c r="B26" s="310">
        <f>B25+1</f>
        <v>1</v>
      </c>
      <c r="C26" s="311">
        <f t="shared" ref="C26:C89" si="17">IF($C25=12,1,$C25+1)</f>
        <v>6</v>
      </c>
      <c r="D26" s="312" t="str">
        <f t="shared" ref="D26:D37" si="18">IF($C25=12,$D$25+1,"             ")</f>
        <v xml:space="preserve">             </v>
      </c>
      <c r="E26" s="340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>
        <f>-W9</f>
        <v>-1000000</v>
      </c>
      <c r="S26" s="352"/>
      <c r="T26" s="352"/>
      <c r="U26" s="352"/>
      <c r="V26" s="352"/>
      <c r="W26" s="331">
        <f>SUM(E26:V26)</f>
        <v>-1000000</v>
      </c>
      <c r="X26" s="352"/>
      <c r="Y26" s="341" t="e">
        <f t="shared" si="14"/>
        <v>#REF!</v>
      </c>
      <c r="Z26" s="341">
        <f>O11</f>
        <v>0</v>
      </c>
      <c r="AA26" s="341">
        <f>O12</f>
        <v>0</v>
      </c>
      <c r="AB26" s="341">
        <f>-O13</f>
        <v>0</v>
      </c>
      <c r="AD26" s="331" t="e">
        <f>SUM(X26:AC26)-Y26-AA26</f>
        <v>#REF!</v>
      </c>
      <c r="AE26" s="345" t="e">
        <f>W26+AD26</f>
        <v>#REF!</v>
      </c>
      <c r="AF26" s="345" t="e">
        <f t="shared" si="15"/>
        <v>#REF!</v>
      </c>
      <c r="AG26" s="340" t="e">
        <f>PMT($G$13/12,$J$7,$AF$91,0,0)</f>
        <v>#REF!</v>
      </c>
      <c r="AH26" s="352" t="e">
        <f t="shared" ref="AH26:AH89" si="19">IF($AS26&lt;=$J$7,$V$10,0)</f>
        <v>#REF!</v>
      </c>
      <c r="AI26" s="353" t="e">
        <f>AG26+AH26</f>
        <v>#REF!</v>
      </c>
      <c r="AJ26" s="352" t="e">
        <f>AI26*10%</f>
        <v>#REF!</v>
      </c>
      <c r="AK26" s="354" t="e">
        <f>-AI26*2%</f>
        <v>#REF!</v>
      </c>
      <c r="AL26" s="355" t="e">
        <f>Y26+AA26+AJ26</f>
        <v>#REF!</v>
      </c>
      <c r="AM26" s="356">
        <f>($F26*$O$12)+($H26*$R$14)+($J26*$R$14)+($N26*$R$14)+($S26*$W$14)</f>
        <v>0</v>
      </c>
      <c r="AN26" s="357" t="e">
        <f>IF(($AL26+$AO25+$AM26)&gt;0,($AL26+$AO25+$AM26)*-1,0)</f>
        <v>#REF!</v>
      </c>
      <c r="AO26" s="338" t="e">
        <f t="shared" si="10"/>
        <v>#REF!</v>
      </c>
      <c r="AP26" s="349">
        <f>IF($C26=3,SUM(AK25:AK26),0)*-1</f>
        <v>0</v>
      </c>
      <c r="AQ26" s="358" t="e">
        <f>AE26+AI26+AK26+AP26</f>
        <v>#REF!</v>
      </c>
      <c r="AR26" s="358" t="e">
        <f>AQ26+Y26+AA26+AJ26+AN26</f>
        <v>#REF!</v>
      </c>
      <c r="AS26" s="327">
        <v>1</v>
      </c>
      <c r="AT26" s="58"/>
      <c r="AU26" s="351">
        <f t="shared" ref="AU26:AU89" si="20">B26</f>
        <v>1</v>
      </c>
      <c r="AV26" s="329" t="e">
        <f>AI26+AK26</f>
        <v>#REF!</v>
      </c>
      <c r="AW26" s="330" t="e">
        <f t="shared" si="3"/>
        <v>#REF!</v>
      </c>
      <c r="AX26" s="330">
        <f t="shared" si="4"/>
        <v>0</v>
      </c>
      <c r="AY26" s="330" t="e">
        <f t="shared" si="4"/>
        <v>#REF!</v>
      </c>
      <c r="AZ26" s="330">
        <f t="shared" si="4"/>
        <v>0</v>
      </c>
      <c r="BA26" s="330">
        <f t="shared" si="4"/>
        <v>0</v>
      </c>
      <c r="BB26" s="330">
        <f t="shared" si="5"/>
        <v>0</v>
      </c>
      <c r="BC26" s="331" t="e">
        <f t="shared" si="6"/>
        <v>#REF!</v>
      </c>
      <c r="BD26" s="329">
        <f t="shared" si="7"/>
        <v>-1000000</v>
      </c>
      <c r="BE26" s="330" t="e">
        <f t="shared" si="8"/>
        <v>#REF!</v>
      </c>
      <c r="BF26" s="330" t="e">
        <f t="shared" si="16"/>
        <v>#REF!</v>
      </c>
      <c r="BG26" s="331" t="e">
        <f t="shared" si="9"/>
        <v>#REF!</v>
      </c>
      <c r="BH26" s="332" t="e">
        <f t="shared" si="11"/>
        <v>#REF!</v>
      </c>
      <c r="BI26" s="333" t="e">
        <f t="shared" si="12"/>
        <v>#REF!</v>
      </c>
      <c r="BJ26" s="334" t="e">
        <f t="shared" ref="BJ26:BJ87" si="21">BH26+BI26</f>
        <v>#REF!</v>
      </c>
      <c r="BK26" s="335" t="e">
        <f t="shared" ref="BK26:BK87" si="22">IF($BJ26&lt;0,$BJ26*-1,0)</f>
        <v>#REF!</v>
      </c>
      <c r="BL26" s="335" t="e">
        <f t="shared" si="1"/>
        <v>#REF!</v>
      </c>
    </row>
    <row r="27" spans="1:88" ht="15.75" customHeight="1">
      <c r="B27" s="310">
        <f t="shared" ref="B27:B90" si="23">B26+1</f>
        <v>2</v>
      </c>
      <c r="C27" s="311">
        <f t="shared" si="17"/>
        <v>7</v>
      </c>
      <c r="D27" s="312" t="str">
        <f t="shared" si="18"/>
        <v xml:space="preserve">             </v>
      </c>
      <c r="E27" s="340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>
        <f t="shared" ref="R27:R60" si="24">R26</f>
        <v>-1000000</v>
      </c>
      <c r="S27" s="352"/>
      <c r="T27" s="352"/>
      <c r="U27" s="352"/>
      <c r="V27" s="352"/>
      <c r="W27" s="331">
        <f t="shared" si="2"/>
        <v>-1000000</v>
      </c>
      <c r="X27" s="352"/>
      <c r="Y27" s="341" t="e">
        <f t="shared" si="14"/>
        <v>#REF!</v>
      </c>
      <c r="Z27" s="341"/>
      <c r="AA27" s="341"/>
      <c r="AB27" s="341"/>
      <c r="AC27" s="359"/>
      <c r="AD27" s="331" t="e">
        <f>SUM(X27:AB27)-Y27-AA27</f>
        <v>#REF!</v>
      </c>
      <c r="AE27" s="345" t="e">
        <f t="shared" si="0"/>
        <v>#REF!</v>
      </c>
      <c r="AF27" s="345" t="e">
        <f t="shared" si="15"/>
        <v>#REF!</v>
      </c>
      <c r="AG27" s="340" t="e">
        <f>IF(AS27&lt;=$J$7,AG26,0)</f>
        <v>#REF!</v>
      </c>
      <c r="AH27" s="352" t="e">
        <f t="shared" si="19"/>
        <v>#REF!</v>
      </c>
      <c r="AI27" s="352" t="e">
        <f t="shared" ref="AI27:AI90" si="25">AG27+AH27</f>
        <v>#REF!</v>
      </c>
      <c r="AJ27" s="352" t="e">
        <f t="shared" ref="AJ27:AJ90" si="26">AI27*10%</f>
        <v>#REF!</v>
      </c>
      <c r="AK27" s="354" t="e">
        <f>-AI27*2%</f>
        <v>#REF!</v>
      </c>
      <c r="AL27" s="355" t="e">
        <f t="shared" ref="AL27:AL90" si="27">Y27+AA27+AJ27</f>
        <v>#REF!</v>
      </c>
      <c r="AM27" s="356">
        <f t="shared" ref="AM27:AM89" si="28">($F27*$O$12)+($H27*$R$14)+($J27*$R$14)+($N27*$R$14)+($S27*$W$14)</f>
        <v>0</v>
      </c>
      <c r="AN27" s="357" t="e">
        <f>IF(($AL27+$AO26+$AM27)&gt;0,($AL27+$AO26+$AM27)*-1,0)</f>
        <v>#REF!</v>
      </c>
      <c r="AO27" s="338" t="e">
        <f t="shared" si="10"/>
        <v>#REF!</v>
      </c>
      <c r="AP27" s="349">
        <f>IF($C27=3,SUM(AK24:AK24),0)*-1</f>
        <v>0</v>
      </c>
      <c r="AQ27" s="358" t="e">
        <f>AE27+AI27+AK27+AP27</f>
        <v>#REF!</v>
      </c>
      <c r="AR27" s="358" t="e">
        <f>AQ27+Y27+AA27+AJ27+AN27</f>
        <v>#REF!</v>
      </c>
      <c r="AS27" s="327">
        <v>2</v>
      </c>
      <c r="AT27" s="58"/>
      <c r="AU27" s="351">
        <f t="shared" si="20"/>
        <v>2</v>
      </c>
      <c r="AV27" s="329" t="e">
        <f>AI27+AK27</f>
        <v>#REF!</v>
      </c>
      <c r="AW27" s="330" t="e">
        <f t="shared" si="3"/>
        <v>#REF!</v>
      </c>
      <c r="AX27" s="330">
        <f t="shared" si="4"/>
        <v>0</v>
      </c>
      <c r="AY27" s="330" t="e">
        <f t="shared" si="4"/>
        <v>#REF!</v>
      </c>
      <c r="AZ27" s="330">
        <f t="shared" si="4"/>
        <v>0</v>
      </c>
      <c r="BA27" s="330">
        <f t="shared" si="4"/>
        <v>0</v>
      </c>
      <c r="BB27" s="330">
        <f t="shared" si="5"/>
        <v>0</v>
      </c>
      <c r="BC27" s="331" t="e">
        <f t="shared" si="6"/>
        <v>#REF!</v>
      </c>
      <c r="BD27" s="329">
        <f t="shared" si="7"/>
        <v>-1000000</v>
      </c>
      <c r="BE27" s="330" t="e">
        <f t="shared" si="8"/>
        <v>#REF!</v>
      </c>
      <c r="BF27" s="330" t="e">
        <f t="shared" si="16"/>
        <v>#REF!</v>
      </c>
      <c r="BG27" s="331" t="e">
        <f t="shared" si="9"/>
        <v>#REF!</v>
      </c>
      <c r="BH27" s="332" t="e">
        <f>BC27+BG27</f>
        <v>#REF!</v>
      </c>
      <c r="BI27" s="333" t="e">
        <f>BJ26</f>
        <v>#REF!</v>
      </c>
      <c r="BJ27" s="334" t="e">
        <f>BH27+BI27</f>
        <v>#REF!</v>
      </c>
      <c r="BK27" s="335" t="e">
        <f t="shared" si="22"/>
        <v>#REF!</v>
      </c>
      <c r="BL27" s="335" t="e">
        <f t="shared" si="1"/>
        <v>#REF!</v>
      </c>
    </row>
    <row r="28" spans="1:88" ht="15.75" customHeight="1">
      <c r="B28" s="310">
        <f t="shared" si="23"/>
        <v>3</v>
      </c>
      <c r="C28" s="311">
        <f t="shared" si="17"/>
        <v>8</v>
      </c>
      <c r="D28" s="312" t="str">
        <f t="shared" si="18"/>
        <v xml:space="preserve">             </v>
      </c>
      <c r="E28" s="340"/>
      <c r="F28" s="352"/>
      <c r="G28" s="352"/>
      <c r="H28" s="352"/>
      <c r="I28" s="352"/>
      <c r="J28" s="352"/>
      <c r="K28" s="352"/>
      <c r="L28" s="352"/>
      <c r="M28" s="352"/>
      <c r="N28" s="352"/>
      <c r="O28" s="352"/>
      <c r="P28" s="352"/>
      <c r="Q28" s="352"/>
      <c r="R28" s="352">
        <f t="shared" si="24"/>
        <v>-1000000</v>
      </c>
      <c r="S28" s="352"/>
      <c r="T28" s="352"/>
      <c r="U28" s="352"/>
      <c r="V28" s="352"/>
      <c r="W28" s="331">
        <f t="shared" si="2"/>
        <v>-1000000</v>
      </c>
      <c r="X28" s="352"/>
      <c r="Y28" s="341" t="e">
        <f t="shared" si="14"/>
        <v>#REF!</v>
      </c>
      <c r="Z28" s="341"/>
      <c r="AA28" s="341"/>
      <c r="AB28" s="341"/>
      <c r="AC28" s="359"/>
      <c r="AD28" s="331" t="e">
        <f t="shared" ref="AD28:AD90" si="29">SUM(X28:AB28)-Y28-AA28</f>
        <v>#REF!</v>
      </c>
      <c r="AE28" s="345" t="e">
        <f t="shared" si="0"/>
        <v>#REF!</v>
      </c>
      <c r="AF28" s="345" t="e">
        <f t="shared" si="15"/>
        <v>#REF!</v>
      </c>
      <c r="AG28" s="340" t="e">
        <f>IF(AS28&lt;=$J$7,AG27,0)</f>
        <v>#REF!</v>
      </c>
      <c r="AH28" s="352" t="e">
        <f t="shared" si="19"/>
        <v>#REF!</v>
      </c>
      <c r="AI28" s="352" t="e">
        <f>AG28+AH28</f>
        <v>#REF!</v>
      </c>
      <c r="AJ28" s="352" t="e">
        <f t="shared" si="26"/>
        <v>#REF!</v>
      </c>
      <c r="AK28" s="354" t="e">
        <f t="shared" ref="AK28:AK90" si="30">-AI28*2%</f>
        <v>#REF!</v>
      </c>
      <c r="AL28" s="355" t="e">
        <f t="shared" si="27"/>
        <v>#REF!</v>
      </c>
      <c r="AM28" s="356">
        <f t="shared" si="28"/>
        <v>0</v>
      </c>
      <c r="AN28" s="357" t="e">
        <f>IF(($AL28+$AO27+$AM28)&gt;0,($AL28+$AO27+$AM28)*-1,0)</f>
        <v>#REF!</v>
      </c>
      <c r="AO28" s="338" t="e">
        <f t="shared" si="10"/>
        <v>#REF!</v>
      </c>
      <c r="AP28" s="349">
        <f>IF($C28=3,SUM(AK25:AK25),0)*-1</f>
        <v>0</v>
      </c>
      <c r="AQ28" s="358" t="e">
        <f>AE28+AI28+AK28+AP28</f>
        <v>#REF!</v>
      </c>
      <c r="AR28" s="358" t="e">
        <f>AQ28+Y28+AA28+AJ28+AN28</f>
        <v>#REF!</v>
      </c>
      <c r="AS28" s="327">
        <f>AS27+1</f>
        <v>3</v>
      </c>
      <c r="AT28" s="58"/>
      <c r="AU28" s="351">
        <f t="shared" si="20"/>
        <v>3</v>
      </c>
      <c r="AV28" s="329" t="e">
        <f t="shared" ref="AV28:AV75" si="31">AI28+AK28</f>
        <v>#REF!</v>
      </c>
      <c r="AW28" s="330" t="e">
        <f t="shared" si="3"/>
        <v>#REF!</v>
      </c>
      <c r="AX28" s="330">
        <f t="shared" si="4"/>
        <v>0</v>
      </c>
      <c r="AY28" s="330" t="e">
        <f t="shared" si="4"/>
        <v>#REF!</v>
      </c>
      <c r="AZ28" s="330">
        <f t="shared" si="4"/>
        <v>0</v>
      </c>
      <c r="BA28" s="330">
        <f t="shared" si="4"/>
        <v>0</v>
      </c>
      <c r="BB28" s="330">
        <f t="shared" si="5"/>
        <v>0</v>
      </c>
      <c r="BC28" s="331" t="e">
        <f t="shared" si="6"/>
        <v>#REF!</v>
      </c>
      <c r="BD28" s="329">
        <f t="shared" si="7"/>
        <v>-1000000</v>
      </c>
      <c r="BE28" s="330" t="e">
        <f t="shared" si="8"/>
        <v>#REF!</v>
      </c>
      <c r="BF28" s="330" t="e">
        <f t="shared" si="16"/>
        <v>#REF!</v>
      </c>
      <c r="BG28" s="331" t="e">
        <f t="shared" si="9"/>
        <v>#REF!</v>
      </c>
      <c r="BH28" s="332" t="e">
        <f t="shared" si="11"/>
        <v>#REF!</v>
      </c>
      <c r="BI28" s="333" t="e">
        <f t="shared" si="12"/>
        <v>#REF!</v>
      </c>
      <c r="BJ28" s="334" t="e">
        <f t="shared" si="21"/>
        <v>#REF!</v>
      </c>
      <c r="BK28" s="335" t="e">
        <f t="shared" si="22"/>
        <v>#REF!</v>
      </c>
      <c r="BL28" s="335" t="e">
        <f t="shared" si="1"/>
        <v>#REF!</v>
      </c>
    </row>
    <row r="29" spans="1:88" ht="15.75" customHeight="1">
      <c r="B29" s="310">
        <f t="shared" si="23"/>
        <v>4</v>
      </c>
      <c r="C29" s="311">
        <f t="shared" si="17"/>
        <v>9</v>
      </c>
      <c r="D29" s="312" t="str">
        <f t="shared" si="18"/>
        <v xml:space="preserve">             </v>
      </c>
      <c r="E29" s="340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  <c r="Q29" s="352"/>
      <c r="R29" s="352">
        <f t="shared" si="24"/>
        <v>-1000000</v>
      </c>
      <c r="S29" s="352"/>
      <c r="T29" s="352"/>
      <c r="U29" s="352"/>
      <c r="V29" s="352"/>
      <c r="W29" s="331">
        <f t="shared" si="2"/>
        <v>-1000000</v>
      </c>
      <c r="X29" s="352"/>
      <c r="Y29" s="341" t="e">
        <f t="shared" si="14"/>
        <v>#REF!</v>
      </c>
      <c r="Z29" s="341"/>
      <c r="AA29" s="341"/>
      <c r="AB29" s="341"/>
      <c r="AC29" s="359"/>
      <c r="AD29" s="331" t="e">
        <f t="shared" si="29"/>
        <v>#REF!</v>
      </c>
      <c r="AE29" s="345" t="e">
        <f t="shared" si="0"/>
        <v>#REF!</v>
      </c>
      <c r="AF29" s="345" t="e">
        <f t="shared" si="15"/>
        <v>#REF!</v>
      </c>
      <c r="AG29" s="340" t="e">
        <f>IF(AS29&lt;=$J$7,AG28,0)</f>
        <v>#REF!</v>
      </c>
      <c r="AH29" s="352" t="e">
        <f t="shared" si="19"/>
        <v>#REF!</v>
      </c>
      <c r="AI29" s="352" t="e">
        <f t="shared" si="25"/>
        <v>#REF!</v>
      </c>
      <c r="AJ29" s="352" t="e">
        <f t="shared" si="26"/>
        <v>#REF!</v>
      </c>
      <c r="AK29" s="354" t="e">
        <f t="shared" si="30"/>
        <v>#REF!</v>
      </c>
      <c r="AL29" s="355" t="e">
        <f t="shared" si="27"/>
        <v>#REF!</v>
      </c>
      <c r="AM29" s="356">
        <f t="shared" si="28"/>
        <v>0</v>
      </c>
      <c r="AN29" s="357" t="e">
        <f t="shared" ref="AN29:AN90" si="32">IF(($AL29+$AO28+$AM29)&gt;0,($AL29+$AO28+$AM29)*-1,0)</f>
        <v>#REF!</v>
      </c>
      <c r="AO29" s="338" t="e">
        <f t="shared" si="10"/>
        <v>#REF!</v>
      </c>
      <c r="AP29" s="349">
        <f>IF($C29=3,SUM(AK25:AK26),0)*-1</f>
        <v>0</v>
      </c>
      <c r="AQ29" s="358" t="e">
        <f>AE29+AI29+AK29+AP29</f>
        <v>#REF!</v>
      </c>
      <c r="AR29" s="358" t="e">
        <f>AQ29+Y29+AA29+AJ29+AN29</f>
        <v>#REF!</v>
      </c>
      <c r="AS29" s="327">
        <f t="shared" ref="AS29:AS90" si="33">AS28+1</f>
        <v>4</v>
      </c>
      <c r="AT29" s="58"/>
      <c r="AU29" s="351">
        <f t="shared" si="20"/>
        <v>4</v>
      </c>
      <c r="AV29" s="329" t="e">
        <f t="shared" si="31"/>
        <v>#REF!</v>
      </c>
      <c r="AW29" s="330" t="e">
        <f t="shared" si="3"/>
        <v>#REF!</v>
      </c>
      <c r="AX29" s="330">
        <f t="shared" si="4"/>
        <v>0</v>
      </c>
      <c r="AY29" s="330" t="e">
        <f t="shared" si="4"/>
        <v>#REF!</v>
      </c>
      <c r="AZ29" s="330">
        <f t="shared" si="4"/>
        <v>0</v>
      </c>
      <c r="BA29" s="330">
        <f t="shared" si="4"/>
        <v>0</v>
      </c>
      <c r="BB29" s="330">
        <f t="shared" si="5"/>
        <v>0</v>
      </c>
      <c r="BC29" s="331" t="e">
        <f t="shared" si="6"/>
        <v>#REF!</v>
      </c>
      <c r="BD29" s="329">
        <f t="shared" si="7"/>
        <v>-1000000</v>
      </c>
      <c r="BE29" s="330" t="e">
        <f t="shared" si="8"/>
        <v>#REF!</v>
      </c>
      <c r="BF29" s="330" t="e">
        <f t="shared" si="16"/>
        <v>#REF!</v>
      </c>
      <c r="BG29" s="331" t="e">
        <f t="shared" si="9"/>
        <v>#REF!</v>
      </c>
      <c r="BH29" s="332" t="e">
        <f t="shared" si="11"/>
        <v>#REF!</v>
      </c>
      <c r="BI29" s="333" t="e">
        <f>BJ28</f>
        <v>#REF!</v>
      </c>
      <c r="BJ29" s="334" t="e">
        <f t="shared" si="21"/>
        <v>#REF!</v>
      </c>
      <c r="BK29" s="335" t="e">
        <f t="shared" si="22"/>
        <v>#REF!</v>
      </c>
      <c r="BL29" s="335" t="e">
        <f t="shared" si="1"/>
        <v>#REF!</v>
      </c>
    </row>
    <row r="30" spans="1:88" ht="15.75" customHeight="1">
      <c r="B30" s="310">
        <f t="shared" si="23"/>
        <v>5</v>
      </c>
      <c r="C30" s="311">
        <f t="shared" si="17"/>
        <v>10</v>
      </c>
      <c r="D30" s="312" t="str">
        <f t="shared" si="18"/>
        <v xml:space="preserve">             </v>
      </c>
      <c r="E30" s="340"/>
      <c r="F30" s="352"/>
      <c r="G30" s="352"/>
      <c r="H30" s="352"/>
      <c r="I30" s="352"/>
      <c r="J30" s="352"/>
      <c r="K30" s="352"/>
      <c r="L30" s="352"/>
      <c r="M30" s="352"/>
      <c r="N30" s="352"/>
      <c r="O30" s="352"/>
      <c r="P30" s="352"/>
      <c r="Q30" s="352"/>
      <c r="R30" s="352">
        <f t="shared" si="24"/>
        <v>-1000000</v>
      </c>
      <c r="S30" s="352"/>
      <c r="T30" s="352"/>
      <c r="U30" s="352"/>
      <c r="V30" s="352"/>
      <c r="W30" s="331">
        <f t="shared" si="2"/>
        <v>-1000000</v>
      </c>
      <c r="X30" s="352"/>
      <c r="Y30" s="341" t="e">
        <f t="shared" si="14"/>
        <v>#REF!</v>
      </c>
      <c r="Z30" s="341"/>
      <c r="AA30" s="341"/>
      <c r="AB30" s="341"/>
      <c r="AC30" s="359"/>
      <c r="AD30" s="331" t="e">
        <f t="shared" si="29"/>
        <v>#REF!</v>
      </c>
      <c r="AE30" s="345" t="e">
        <f t="shared" si="0"/>
        <v>#REF!</v>
      </c>
      <c r="AF30" s="345" t="e">
        <f t="shared" si="15"/>
        <v>#REF!</v>
      </c>
      <c r="AG30" s="340" t="e">
        <f t="shared" ref="AG30:AG90" si="34">IF(AS30&lt;=$J$7,AG29,0)</f>
        <v>#REF!</v>
      </c>
      <c r="AH30" s="352" t="e">
        <f t="shared" si="19"/>
        <v>#REF!</v>
      </c>
      <c r="AI30" s="352" t="e">
        <f t="shared" si="25"/>
        <v>#REF!</v>
      </c>
      <c r="AJ30" s="352" t="e">
        <f t="shared" si="26"/>
        <v>#REF!</v>
      </c>
      <c r="AK30" s="354" t="e">
        <f t="shared" si="30"/>
        <v>#REF!</v>
      </c>
      <c r="AL30" s="355" t="e">
        <f t="shared" si="27"/>
        <v>#REF!</v>
      </c>
      <c r="AM30" s="356">
        <f t="shared" si="28"/>
        <v>0</v>
      </c>
      <c r="AN30" s="357" t="e">
        <f t="shared" si="32"/>
        <v>#REF!</v>
      </c>
      <c r="AO30" s="338" t="e">
        <f t="shared" si="10"/>
        <v>#REF!</v>
      </c>
      <c r="AP30" s="349">
        <f>IF($C30=3,SUM(AK25:AK27),0)*-1</f>
        <v>0</v>
      </c>
      <c r="AQ30" s="358" t="e">
        <f t="shared" ref="AQ30:AQ90" si="35">AE30+AI30+AK30+AP30</f>
        <v>#REF!</v>
      </c>
      <c r="AR30" s="358" t="e">
        <f>AQ30+Y30+AA30+AJ30+AN30</f>
        <v>#REF!</v>
      </c>
      <c r="AS30" s="327">
        <f t="shared" si="33"/>
        <v>5</v>
      </c>
      <c r="AT30" s="58"/>
      <c r="AU30" s="351">
        <f t="shared" si="20"/>
        <v>5</v>
      </c>
      <c r="AV30" s="329" t="e">
        <f t="shared" si="31"/>
        <v>#REF!</v>
      </c>
      <c r="AW30" s="330" t="e">
        <f t="shared" si="3"/>
        <v>#REF!</v>
      </c>
      <c r="AX30" s="330">
        <f t="shared" si="4"/>
        <v>0</v>
      </c>
      <c r="AY30" s="330" t="e">
        <f t="shared" si="4"/>
        <v>#REF!</v>
      </c>
      <c r="AZ30" s="330">
        <f t="shared" si="4"/>
        <v>0</v>
      </c>
      <c r="BA30" s="330">
        <f t="shared" si="4"/>
        <v>0</v>
      </c>
      <c r="BB30" s="330">
        <f t="shared" si="5"/>
        <v>0</v>
      </c>
      <c r="BC30" s="331" t="e">
        <f t="shared" si="6"/>
        <v>#REF!</v>
      </c>
      <c r="BD30" s="329">
        <f t="shared" si="7"/>
        <v>-1000000</v>
      </c>
      <c r="BE30" s="330" t="e">
        <f t="shared" si="8"/>
        <v>#REF!</v>
      </c>
      <c r="BF30" s="330" t="e">
        <f t="shared" si="16"/>
        <v>#REF!</v>
      </c>
      <c r="BG30" s="331" t="e">
        <f t="shared" si="9"/>
        <v>#REF!</v>
      </c>
      <c r="BH30" s="332" t="e">
        <f t="shared" si="11"/>
        <v>#REF!</v>
      </c>
      <c r="BI30" s="333" t="e">
        <f t="shared" si="12"/>
        <v>#REF!</v>
      </c>
      <c r="BJ30" s="334" t="e">
        <f>BH30+BI30</f>
        <v>#REF!</v>
      </c>
      <c r="BK30" s="335" t="e">
        <f t="shared" si="22"/>
        <v>#REF!</v>
      </c>
      <c r="BL30" s="335" t="e">
        <f t="shared" si="1"/>
        <v>#REF!</v>
      </c>
    </row>
    <row r="31" spans="1:88" ht="15.75" customHeight="1">
      <c r="B31" s="310">
        <f t="shared" si="23"/>
        <v>6</v>
      </c>
      <c r="C31" s="311">
        <f t="shared" si="17"/>
        <v>11</v>
      </c>
      <c r="D31" s="312" t="str">
        <f t="shared" si="18"/>
        <v xml:space="preserve">             </v>
      </c>
      <c r="E31" s="340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352"/>
      <c r="Q31" s="352"/>
      <c r="R31" s="352">
        <f t="shared" si="24"/>
        <v>-1000000</v>
      </c>
      <c r="S31" s="352"/>
      <c r="T31" s="352"/>
      <c r="U31" s="352"/>
      <c r="V31" s="352"/>
      <c r="W31" s="331">
        <f t="shared" si="2"/>
        <v>-1000000</v>
      </c>
      <c r="X31" s="352"/>
      <c r="Y31" s="341" t="e">
        <f t="shared" si="14"/>
        <v>#REF!</v>
      </c>
      <c r="Z31" s="341"/>
      <c r="AA31" s="341"/>
      <c r="AB31" s="341"/>
      <c r="AC31" s="359"/>
      <c r="AD31" s="331" t="e">
        <f t="shared" si="29"/>
        <v>#REF!</v>
      </c>
      <c r="AE31" s="345" t="e">
        <f t="shared" si="0"/>
        <v>#REF!</v>
      </c>
      <c r="AF31" s="345" t="e">
        <f t="shared" si="15"/>
        <v>#REF!</v>
      </c>
      <c r="AG31" s="340" t="e">
        <f t="shared" si="34"/>
        <v>#REF!</v>
      </c>
      <c r="AH31" s="352" t="e">
        <f t="shared" si="19"/>
        <v>#REF!</v>
      </c>
      <c r="AI31" s="352" t="e">
        <f t="shared" si="25"/>
        <v>#REF!</v>
      </c>
      <c r="AJ31" s="352" t="e">
        <f t="shared" si="26"/>
        <v>#REF!</v>
      </c>
      <c r="AK31" s="354" t="e">
        <f t="shared" si="30"/>
        <v>#REF!</v>
      </c>
      <c r="AL31" s="355" t="e">
        <f t="shared" si="27"/>
        <v>#REF!</v>
      </c>
      <c r="AM31" s="356">
        <f t="shared" si="28"/>
        <v>0</v>
      </c>
      <c r="AN31" s="357" t="e">
        <f t="shared" si="32"/>
        <v>#REF!</v>
      </c>
      <c r="AO31" s="338" t="e">
        <f t="shared" si="10"/>
        <v>#REF!</v>
      </c>
      <c r="AP31" s="349">
        <f>IF($C31=3,SUM(AK25:AK28),0)*-1</f>
        <v>0</v>
      </c>
      <c r="AQ31" s="358" t="e">
        <f t="shared" si="35"/>
        <v>#REF!</v>
      </c>
      <c r="AR31" s="358" t="e">
        <f t="shared" ref="AR31:AR90" si="36">AQ31+Y31+AA31+AJ31+AN31</f>
        <v>#REF!</v>
      </c>
      <c r="AS31" s="327">
        <f t="shared" si="33"/>
        <v>6</v>
      </c>
      <c r="AT31" s="58"/>
      <c r="AU31" s="351">
        <f t="shared" si="20"/>
        <v>6</v>
      </c>
      <c r="AV31" s="329" t="e">
        <f t="shared" si="31"/>
        <v>#REF!</v>
      </c>
      <c r="AW31" s="330" t="e">
        <f t="shared" si="3"/>
        <v>#REF!</v>
      </c>
      <c r="AX31" s="330">
        <f t="shared" si="4"/>
        <v>0</v>
      </c>
      <c r="AY31" s="330" t="e">
        <f t="shared" si="4"/>
        <v>#REF!</v>
      </c>
      <c r="AZ31" s="330">
        <f t="shared" si="4"/>
        <v>0</v>
      </c>
      <c r="BA31" s="330">
        <f t="shared" si="4"/>
        <v>0</v>
      </c>
      <c r="BB31" s="330">
        <f t="shared" si="5"/>
        <v>0</v>
      </c>
      <c r="BC31" s="331" t="e">
        <f t="shared" si="6"/>
        <v>#REF!</v>
      </c>
      <c r="BD31" s="329">
        <f t="shared" si="7"/>
        <v>-1000000</v>
      </c>
      <c r="BE31" s="330" t="e">
        <f t="shared" si="8"/>
        <v>#REF!</v>
      </c>
      <c r="BF31" s="330" t="e">
        <f t="shared" si="16"/>
        <v>#REF!</v>
      </c>
      <c r="BG31" s="331" t="e">
        <f t="shared" si="9"/>
        <v>#REF!</v>
      </c>
      <c r="BH31" s="332" t="e">
        <f t="shared" si="11"/>
        <v>#REF!</v>
      </c>
      <c r="BI31" s="333" t="e">
        <f t="shared" si="12"/>
        <v>#REF!</v>
      </c>
      <c r="BJ31" s="334" t="e">
        <f t="shared" si="21"/>
        <v>#REF!</v>
      </c>
      <c r="BK31" s="335" t="e">
        <f t="shared" si="22"/>
        <v>#REF!</v>
      </c>
      <c r="BL31" s="335" t="e">
        <f t="shared" si="1"/>
        <v>#REF!</v>
      </c>
    </row>
    <row r="32" spans="1:88" ht="15.75" customHeight="1">
      <c r="B32" s="310">
        <f t="shared" si="23"/>
        <v>7</v>
      </c>
      <c r="C32" s="311">
        <f t="shared" si="17"/>
        <v>12</v>
      </c>
      <c r="D32" s="312" t="str">
        <f t="shared" si="18"/>
        <v xml:space="preserve">             </v>
      </c>
      <c r="E32" s="340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>
        <f t="shared" si="24"/>
        <v>-1000000</v>
      </c>
      <c r="S32" s="352"/>
      <c r="T32" s="352"/>
      <c r="U32" s="352"/>
      <c r="V32" s="352"/>
      <c r="W32" s="331">
        <f t="shared" si="2"/>
        <v>-1000000</v>
      </c>
      <c r="X32" s="352"/>
      <c r="Y32" s="341" t="e">
        <f t="shared" si="14"/>
        <v>#REF!</v>
      </c>
      <c r="Z32" s="341"/>
      <c r="AA32" s="341"/>
      <c r="AB32" s="341"/>
      <c r="AC32" s="359"/>
      <c r="AD32" s="331" t="e">
        <f t="shared" si="29"/>
        <v>#REF!</v>
      </c>
      <c r="AE32" s="345" t="e">
        <f t="shared" si="0"/>
        <v>#REF!</v>
      </c>
      <c r="AF32" s="345" t="e">
        <f t="shared" si="15"/>
        <v>#REF!</v>
      </c>
      <c r="AG32" s="340" t="e">
        <f t="shared" si="34"/>
        <v>#REF!</v>
      </c>
      <c r="AH32" s="352" t="e">
        <f t="shared" si="19"/>
        <v>#REF!</v>
      </c>
      <c r="AI32" s="352" t="e">
        <f t="shared" si="25"/>
        <v>#REF!</v>
      </c>
      <c r="AJ32" s="352" t="e">
        <f t="shared" si="26"/>
        <v>#REF!</v>
      </c>
      <c r="AK32" s="354" t="e">
        <f t="shared" si="30"/>
        <v>#REF!</v>
      </c>
      <c r="AL32" s="355" t="e">
        <f t="shared" si="27"/>
        <v>#REF!</v>
      </c>
      <c r="AM32" s="356">
        <f t="shared" si="28"/>
        <v>0</v>
      </c>
      <c r="AN32" s="357" t="e">
        <f t="shared" si="32"/>
        <v>#REF!</v>
      </c>
      <c r="AO32" s="338" t="e">
        <f t="shared" si="10"/>
        <v>#REF!</v>
      </c>
      <c r="AP32" s="349">
        <f>IF($C32=3,SUM(AK25:AK29),0)*-1</f>
        <v>0</v>
      </c>
      <c r="AQ32" s="358" t="e">
        <f t="shared" si="35"/>
        <v>#REF!</v>
      </c>
      <c r="AR32" s="358" t="e">
        <f t="shared" si="36"/>
        <v>#REF!</v>
      </c>
      <c r="AS32" s="327">
        <f t="shared" si="33"/>
        <v>7</v>
      </c>
      <c r="AT32" s="58"/>
      <c r="AU32" s="351">
        <f t="shared" si="20"/>
        <v>7</v>
      </c>
      <c r="AV32" s="329" t="e">
        <f t="shared" si="31"/>
        <v>#REF!</v>
      </c>
      <c r="AW32" s="330" t="e">
        <f t="shared" si="3"/>
        <v>#REF!</v>
      </c>
      <c r="AX32" s="330">
        <f t="shared" si="4"/>
        <v>0</v>
      </c>
      <c r="AY32" s="330" t="e">
        <f t="shared" si="4"/>
        <v>#REF!</v>
      </c>
      <c r="AZ32" s="330">
        <f t="shared" si="4"/>
        <v>0</v>
      </c>
      <c r="BA32" s="330">
        <f t="shared" si="4"/>
        <v>0</v>
      </c>
      <c r="BB32" s="330">
        <f t="shared" si="5"/>
        <v>0</v>
      </c>
      <c r="BC32" s="331" t="e">
        <f t="shared" si="6"/>
        <v>#REF!</v>
      </c>
      <c r="BD32" s="329">
        <f t="shared" si="7"/>
        <v>-1000000</v>
      </c>
      <c r="BE32" s="330" t="e">
        <f t="shared" si="8"/>
        <v>#REF!</v>
      </c>
      <c r="BF32" s="330" t="e">
        <f t="shared" si="16"/>
        <v>#REF!</v>
      </c>
      <c r="BG32" s="331" t="e">
        <f t="shared" si="9"/>
        <v>#REF!</v>
      </c>
      <c r="BH32" s="332" t="e">
        <f t="shared" si="11"/>
        <v>#REF!</v>
      </c>
      <c r="BI32" s="333" t="e">
        <f t="shared" si="12"/>
        <v>#REF!</v>
      </c>
      <c r="BJ32" s="334" t="e">
        <f t="shared" si="21"/>
        <v>#REF!</v>
      </c>
      <c r="BK32" s="335" t="e">
        <f t="shared" si="22"/>
        <v>#REF!</v>
      </c>
      <c r="BL32" s="335" t="e">
        <f t="shared" si="1"/>
        <v>#REF!</v>
      </c>
    </row>
    <row r="33" spans="2:64" ht="15.75" customHeight="1">
      <c r="B33" s="310">
        <f t="shared" si="23"/>
        <v>8</v>
      </c>
      <c r="C33" s="311">
        <f t="shared" si="17"/>
        <v>1</v>
      </c>
      <c r="D33" s="312">
        <f t="shared" si="18"/>
        <v>2019</v>
      </c>
      <c r="E33" s="340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>
        <f t="shared" si="24"/>
        <v>-1000000</v>
      </c>
      <c r="S33" s="352"/>
      <c r="T33" s="352"/>
      <c r="U33" s="352"/>
      <c r="V33" s="352"/>
      <c r="W33" s="331">
        <f>SUM(E33:V33)</f>
        <v>-1000000</v>
      </c>
      <c r="X33" s="352"/>
      <c r="Y33" s="341" t="e">
        <f t="shared" si="14"/>
        <v>#REF!</v>
      </c>
      <c r="Z33" s="341"/>
      <c r="AA33" s="341"/>
      <c r="AB33" s="341"/>
      <c r="AC33" s="359"/>
      <c r="AD33" s="331" t="e">
        <f t="shared" si="29"/>
        <v>#REF!</v>
      </c>
      <c r="AE33" s="345" t="e">
        <f t="shared" si="0"/>
        <v>#REF!</v>
      </c>
      <c r="AF33" s="345" t="e">
        <f t="shared" si="15"/>
        <v>#REF!</v>
      </c>
      <c r="AG33" s="340" t="e">
        <f t="shared" si="34"/>
        <v>#REF!</v>
      </c>
      <c r="AH33" s="352" t="e">
        <f t="shared" si="19"/>
        <v>#REF!</v>
      </c>
      <c r="AI33" s="352" t="e">
        <f t="shared" si="25"/>
        <v>#REF!</v>
      </c>
      <c r="AJ33" s="352" t="e">
        <f t="shared" si="26"/>
        <v>#REF!</v>
      </c>
      <c r="AK33" s="354" t="e">
        <f t="shared" si="30"/>
        <v>#REF!</v>
      </c>
      <c r="AL33" s="355" t="e">
        <f t="shared" si="27"/>
        <v>#REF!</v>
      </c>
      <c r="AM33" s="356">
        <f t="shared" si="28"/>
        <v>0</v>
      </c>
      <c r="AN33" s="357" t="e">
        <f t="shared" si="32"/>
        <v>#REF!</v>
      </c>
      <c r="AO33" s="338" t="e">
        <f t="shared" si="10"/>
        <v>#REF!</v>
      </c>
      <c r="AP33" s="349">
        <f>IF($C33=3,SUM(AK25:AK30),0)*-1</f>
        <v>0</v>
      </c>
      <c r="AQ33" s="358" t="e">
        <f t="shared" si="35"/>
        <v>#REF!</v>
      </c>
      <c r="AR33" s="358" t="e">
        <f t="shared" si="36"/>
        <v>#REF!</v>
      </c>
      <c r="AS33" s="327">
        <f t="shared" si="33"/>
        <v>8</v>
      </c>
      <c r="AT33" s="58"/>
      <c r="AU33" s="351">
        <f t="shared" si="20"/>
        <v>8</v>
      </c>
      <c r="AV33" s="329" t="e">
        <f t="shared" si="31"/>
        <v>#REF!</v>
      </c>
      <c r="AW33" s="330" t="e">
        <f t="shared" si="3"/>
        <v>#REF!</v>
      </c>
      <c r="AX33" s="330">
        <f t="shared" si="4"/>
        <v>0</v>
      </c>
      <c r="AY33" s="330" t="e">
        <f t="shared" si="4"/>
        <v>#REF!</v>
      </c>
      <c r="AZ33" s="330">
        <f t="shared" si="4"/>
        <v>0</v>
      </c>
      <c r="BA33" s="330">
        <f t="shared" si="4"/>
        <v>0</v>
      </c>
      <c r="BB33" s="330">
        <f t="shared" si="5"/>
        <v>0</v>
      </c>
      <c r="BC33" s="331" t="e">
        <f t="shared" si="6"/>
        <v>#REF!</v>
      </c>
      <c r="BD33" s="329">
        <f t="shared" si="7"/>
        <v>-1000000</v>
      </c>
      <c r="BE33" s="330" t="e">
        <f t="shared" si="8"/>
        <v>#REF!</v>
      </c>
      <c r="BF33" s="330" t="e">
        <f t="shared" si="16"/>
        <v>#REF!</v>
      </c>
      <c r="BG33" s="331" t="e">
        <f t="shared" si="9"/>
        <v>#REF!</v>
      </c>
      <c r="BH33" s="332" t="e">
        <f t="shared" si="11"/>
        <v>#REF!</v>
      </c>
      <c r="BI33" s="333" t="e">
        <f t="shared" si="12"/>
        <v>#REF!</v>
      </c>
      <c r="BJ33" s="334" t="e">
        <f t="shared" si="21"/>
        <v>#REF!</v>
      </c>
      <c r="BK33" s="335" t="e">
        <f t="shared" si="22"/>
        <v>#REF!</v>
      </c>
      <c r="BL33" s="335" t="e">
        <f t="shared" si="1"/>
        <v>#REF!</v>
      </c>
    </row>
    <row r="34" spans="2:64" ht="15.75" customHeight="1">
      <c r="B34" s="310">
        <f t="shared" si="23"/>
        <v>9</v>
      </c>
      <c r="C34" s="311">
        <f t="shared" si="17"/>
        <v>2</v>
      </c>
      <c r="D34" s="312" t="str">
        <f t="shared" si="18"/>
        <v xml:space="preserve">             </v>
      </c>
      <c r="E34" s="340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  <c r="Q34" s="352"/>
      <c r="R34" s="352">
        <f t="shared" si="24"/>
        <v>-1000000</v>
      </c>
      <c r="S34" s="352"/>
      <c r="T34" s="352"/>
      <c r="U34" s="352"/>
      <c r="V34" s="352"/>
      <c r="W34" s="331">
        <f t="shared" si="2"/>
        <v>-1000000</v>
      </c>
      <c r="X34" s="352"/>
      <c r="Y34" s="341" t="e">
        <f t="shared" si="14"/>
        <v>#REF!</v>
      </c>
      <c r="Z34" s="341"/>
      <c r="AA34" s="341"/>
      <c r="AB34" s="341"/>
      <c r="AC34" s="359"/>
      <c r="AD34" s="331" t="e">
        <f t="shared" si="29"/>
        <v>#REF!</v>
      </c>
      <c r="AE34" s="345" t="e">
        <f t="shared" si="0"/>
        <v>#REF!</v>
      </c>
      <c r="AF34" s="345" t="e">
        <f t="shared" si="15"/>
        <v>#REF!</v>
      </c>
      <c r="AG34" s="340" t="e">
        <f t="shared" si="34"/>
        <v>#REF!</v>
      </c>
      <c r="AH34" s="352" t="e">
        <f t="shared" si="19"/>
        <v>#REF!</v>
      </c>
      <c r="AI34" s="352" t="e">
        <f t="shared" si="25"/>
        <v>#REF!</v>
      </c>
      <c r="AJ34" s="352" t="e">
        <f t="shared" si="26"/>
        <v>#REF!</v>
      </c>
      <c r="AK34" s="354" t="e">
        <f t="shared" si="30"/>
        <v>#REF!</v>
      </c>
      <c r="AL34" s="355" t="e">
        <f t="shared" si="27"/>
        <v>#REF!</v>
      </c>
      <c r="AM34" s="356">
        <f t="shared" si="28"/>
        <v>0</v>
      </c>
      <c r="AN34" s="357" t="e">
        <f t="shared" si="32"/>
        <v>#REF!</v>
      </c>
      <c r="AO34" s="338" t="e">
        <f t="shared" si="10"/>
        <v>#REF!</v>
      </c>
      <c r="AP34" s="349">
        <f>IF($C34=3,SUM(AK25:AK31),0)*-1</f>
        <v>0</v>
      </c>
      <c r="AQ34" s="358" t="e">
        <f t="shared" si="35"/>
        <v>#REF!</v>
      </c>
      <c r="AR34" s="358" t="e">
        <f t="shared" si="36"/>
        <v>#REF!</v>
      </c>
      <c r="AS34" s="327">
        <f t="shared" si="33"/>
        <v>9</v>
      </c>
      <c r="AT34" s="58"/>
      <c r="AU34" s="351">
        <f t="shared" si="20"/>
        <v>9</v>
      </c>
      <c r="AV34" s="329" t="e">
        <f t="shared" si="31"/>
        <v>#REF!</v>
      </c>
      <c r="AW34" s="330" t="e">
        <f t="shared" si="3"/>
        <v>#REF!</v>
      </c>
      <c r="AX34" s="330">
        <f t="shared" si="4"/>
        <v>0</v>
      </c>
      <c r="AY34" s="330" t="e">
        <f t="shared" si="4"/>
        <v>#REF!</v>
      </c>
      <c r="AZ34" s="330">
        <f t="shared" si="4"/>
        <v>0</v>
      </c>
      <c r="BA34" s="330">
        <f t="shared" si="4"/>
        <v>0</v>
      </c>
      <c r="BB34" s="330">
        <f t="shared" si="5"/>
        <v>0</v>
      </c>
      <c r="BC34" s="331" t="e">
        <f t="shared" si="6"/>
        <v>#REF!</v>
      </c>
      <c r="BD34" s="329">
        <f t="shared" si="7"/>
        <v>-1000000</v>
      </c>
      <c r="BE34" s="330" t="e">
        <f t="shared" si="8"/>
        <v>#REF!</v>
      </c>
      <c r="BF34" s="330" t="e">
        <f t="shared" si="16"/>
        <v>#REF!</v>
      </c>
      <c r="BG34" s="331" t="e">
        <f t="shared" si="9"/>
        <v>#REF!</v>
      </c>
      <c r="BH34" s="332" t="e">
        <f t="shared" si="11"/>
        <v>#REF!</v>
      </c>
      <c r="BI34" s="333" t="e">
        <f t="shared" si="12"/>
        <v>#REF!</v>
      </c>
      <c r="BJ34" s="334" t="e">
        <f t="shared" si="21"/>
        <v>#REF!</v>
      </c>
      <c r="BK34" s="335" t="e">
        <f t="shared" si="22"/>
        <v>#REF!</v>
      </c>
      <c r="BL34" s="335" t="e">
        <f t="shared" si="1"/>
        <v>#REF!</v>
      </c>
    </row>
    <row r="35" spans="2:64" ht="15.75" customHeight="1">
      <c r="B35" s="310">
        <f t="shared" si="23"/>
        <v>10</v>
      </c>
      <c r="C35" s="311">
        <f t="shared" si="17"/>
        <v>3</v>
      </c>
      <c r="D35" s="312" t="str">
        <f t="shared" si="18"/>
        <v xml:space="preserve">             </v>
      </c>
      <c r="E35" s="340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>
        <f t="shared" si="24"/>
        <v>-1000000</v>
      </c>
      <c r="S35" s="352"/>
      <c r="T35" s="352"/>
      <c r="U35" s="352"/>
      <c r="V35" s="352"/>
      <c r="W35" s="331">
        <f t="shared" si="2"/>
        <v>-1000000</v>
      </c>
      <c r="X35" s="352"/>
      <c r="Y35" s="341" t="e">
        <f t="shared" si="14"/>
        <v>#REF!</v>
      </c>
      <c r="Z35" s="341"/>
      <c r="AA35" s="341"/>
      <c r="AB35" s="341"/>
      <c r="AC35" s="359"/>
      <c r="AD35" s="331" t="e">
        <f t="shared" si="29"/>
        <v>#REF!</v>
      </c>
      <c r="AE35" s="345" t="e">
        <f t="shared" si="0"/>
        <v>#REF!</v>
      </c>
      <c r="AF35" s="345" t="e">
        <f t="shared" si="15"/>
        <v>#REF!</v>
      </c>
      <c r="AG35" s="340" t="e">
        <f t="shared" si="34"/>
        <v>#REF!</v>
      </c>
      <c r="AH35" s="352" t="e">
        <f t="shared" si="19"/>
        <v>#REF!</v>
      </c>
      <c r="AI35" s="352" t="e">
        <f t="shared" si="25"/>
        <v>#REF!</v>
      </c>
      <c r="AJ35" s="352" t="e">
        <f t="shared" si="26"/>
        <v>#REF!</v>
      </c>
      <c r="AK35" s="354" t="e">
        <f t="shared" si="30"/>
        <v>#REF!</v>
      </c>
      <c r="AL35" s="355" t="e">
        <f t="shared" si="27"/>
        <v>#REF!</v>
      </c>
      <c r="AM35" s="356">
        <f t="shared" si="28"/>
        <v>0</v>
      </c>
      <c r="AN35" s="357" t="e">
        <f t="shared" si="32"/>
        <v>#REF!</v>
      </c>
      <c r="AO35" s="338" t="e">
        <f t="shared" si="10"/>
        <v>#REF!</v>
      </c>
      <c r="AP35" s="349" t="e">
        <f>IF($C35=3,SUM(AK25:AK32),0)*-1</f>
        <v>#REF!</v>
      </c>
      <c r="AQ35" s="358" t="e">
        <f t="shared" si="35"/>
        <v>#REF!</v>
      </c>
      <c r="AR35" s="358" t="e">
        <f t="shared" si="36"/>
        <v>#REF!</v>
      </c>
      <c r="AS35" s="327">
        <f t="shared" si="33"/>
        <v>10</v>
      </c>
      <c r="AT35" s="58"/>
      <c r="AU35" s="351">
        <f t="shared" si="20"/>
        <v>10</v>
      </c>
      <c r="AV35" s="329" t="e">
        <f t="shared" si="31"/>
        <v>#REF!</v>
      </c>
      <c r="AW35" s="330" t="e">
        <f t="shared" si="3"/>
        <v>#REF!</v>
      </c>
      <c r="AX35" s="330">
        <f t="shared" si="4"/>
        <v>0</v>
      </c>
      <c r="AY35" s="330" t="e">
        <f t="shared" si="4"/>
        <v>#REF!</v>
      </c>
      <c r="AZ35" s="330">
        <f t="shared" si="4"/>
        <v>0</v>
      </c>
      <c r="BA35" s="330">
        <f t="shared" si="4"/>
        <v>0</v>
      </c>
      <c r="BB35" s="330">
        <v>0</v>
      </c>
      <c r="BC35" s="331" t="e">
        <f t="shared" si="6"/>
        <v>#REF!</v>
      </c>
      <c r="BD35" s="329">
        <f t="shared" si="7"/>
        <v>-1000000</v>
      </c>
      <c r="BE35" s="330" t="e">
        <f t="shared" si="8"/>
        <v>#REF!</v>
      </c>
      <c r="BF35" s="330" t="e">
        <f t="shared" si="16"/>
        <v>#REF!</v>
      </c>
      <c r="BG35" s="331" t="e">
        <f t="shared" si="9"/>
        <v>#REF!</v>
      </c>
      <c r="BH35" s="332" t="e">
        <f t="shared" si="11"/>
        <v>#REF!</v>
      </c>
      <c r="BI35" s="333" t="e">
        <f t="shared" si="12"/>
        <v>#REF!</v>
      </c>
      <c r="BJ35" s="334" t="e">
        <f t="shared" si="21"/>
        <v>#REF!</v>
      </c>
      <c r="BK35" s="335" t="e">
        <f t="shared" si="22"/>
        <v>#REF!</v>
      </c>
      <c r="BL35" s="335" t="e">
        <f t="shared" si="1"/>
        <v>#REF!</v>
      </c>
    </row>
    <row r="36" spans="2:64" s="379" customFormat="1" ht="15.75" customHeight="1">
      <c r="B36" s="360">
        <f t="shared" si="23"/>
        <v>11</v>
      </c>
      <c r="C36" s="361">
        <f t="shared" si="17"/>
        <v>4</v>
      </c>
      <c r="D36" s="362" t="str">
        <f t="shared" si="18"/>
        <v xml:space="preserve">             </v>
      </c>
      <c r="E36" s="363"/>
      <c r="F36" s="364"/>
      <c r="G36" s="364"/>
      <c r="H36" s="364"/>
      <c r="I36" s="364"/>
      <c r="J36" s="364"/>
      <c r="K36" s="364"/>
      <c r="L36" s="364"/>
      <c r="M36" s="364"/>
      <c r="N36" s="364"/>
      <c r="O36" s="364">
        <f>(AB9/3)*-1</f>
        <v>-10000000</v>
      </c>
      <c r="P36" s="364"/>
      <c r="Q36" s="364"/>
      <c r="R36" s="352">
        <f t="shared" si="24"/>
        <v>-1000000</v>
      </c>
      <c r="S36" s="352"/>
      <c r="T36" s="364"/>
      <c r="U36" s="364"/>
      <c r="V36" s="364"/>
      <c r="W36" s="365">
        <f t="shared" si="2"/>
        <v>-11000000</v>
      </c>
      <c r="X36" s="352"/>
      <c r="Y36" s="367" t="e">
        <f t="shared" si="14"/>
        <v>#REF!</v>
      </c>
      <c r="Z36" s="367"/>
      <c r="AA36" s="367"/>
      <c r="AB36" s="367"/>
      <c r="AC36" s="368"/>
      <c r="AD36" s="365" t="e">
        <f t="shared" si="29"/>
        <v>#REF!</v>
      </c>
      <c r="AE36" s="369" t="e">
        <f>W36+AD36</f>
        <v>#REF!</v>
      </c>
      <c r="AF36" s="370" t="e">
        <f t="shared" si="15"/>
        <v>#REF!</v>
      </c>
      <c r="AG36" s="363" t="e">
        <f t="shared" si="34"/>
        <v>#REF!</v>
      </c>
      <c r="AH36" s="364" t="e">
        <f t="shared" si="19"/>
        <v>#REF!</v>
      </c>
      <c r="AI36" s="364" t="e">
        <f t="shared" si="25"/>
        <v>#REF!</v>
      </c>
      <c r="AJ36" s="364" t="e">
        <f t="shared" si="26"/>
        <v>#REF!</v>
      </c>
      <c r="AK36" s="371" t="e">
        <f t="shared" si="30"/>
        <v>#REF!</v>
      </c>
      <c r="AL36" s="372" t="e">
        <f t="shared" si="27"/>
        <v>#REF!</v>
      </c>
      <c r="AM36" s="373">
        <f t="shared" si="28"/>
        <v>0</v>
      </c>
      <c r="AN36" s="374" t="e">
        <f t="shared" si="32"/>
        <v>#REF!</v>
      </c>
      <c r="AO36" s="375" t="e">
        <f t="shared" si="10"/>
        <v>#REF!</v>
      </c>
      <c r="AP36" s="376">
        <f>IF($C36=3,SUM(AK25:AK33),0)*-1</f>
        <v>0</v>
      </c>
      <c r="AQ36" s="377" t="e">
        <f t="shared" si="35"/>
        <v>#REF!</v>
      </c>
      <c r="AR36" s="377" t="e">
        <f>AQ36+Y36+AA36+AJ36+AN36</f>
        <v>#REF!</v>
      </c>
      <c r="AS36" s="378">
        <f t="shared" si="33"/>
        <v>11</v>
      </c>
      <c r="AU36" s="380">
        <f t="shared" si="20"/>
        <v>11</v>
      </c>
      <c r="AV36" s="381" t="e">
        <f t="shared" si="31"/>
        <v>#REF!</v>
      </c>
      <c r="AW36" s="382" t="e">
        <f t="shared" si="3"/>
        <v>#REF!</v>
      </c>
      <c r="AX36" s="382">
        <f t="shared" si="4"/>
        <v>0</v>
      </c>
      <c r="AY36" s="382" t="e">
        <f t="shared" si="4"/>
        <v>#REF!</v>
      </c>
      <c r="AZ36" s="382">
        <f t="shared" si="4"/>
        <v>0</v>
      </c>
      <c r="BA36" s="382">
        <f t="shared" si="4"/>
        <v>0</v>
      </c>
      <c r="BB36" s="382">
        <f t="shared" si="5"/>
        <v>0</v>
      </c>
      <c r="BC36" s="365" t="e">
        <f t="shared" si="6"/>
        <v>#REF!</v>
      </c>
      <c r="BD36" s="381">
        <f t="shared" si="7"/>
        <v>-11000000</v>
      </c>
      <c r="BE36" s="382" t="e">
        <f t="shared" si="8"/>
        <v>#REF!</v>
      </c>
      <c r="BF36" s="382" t="e">
        <f t="shared" si="16"/>
        <v>#REF!</v>
      </c>
      <c r="BG36" s="365" t="e">
        <f t="shared" si="9"/>
        <v>#REF!</v>
      </c>
      <c r="BH36" s="383" t="e">
        <f t="shared" si="11"/>
        <v>#REF!</v>
      </c>
      <c r="BI36" s="384" t="e">
        <f t="shared" si="12"/>
        <v>#REF!</v>
      </c>
      <c r="BJ36" s="385" t="e">
        <f t="shared" si="21"/>
        <v>#REF!</v>
      </c>
      <c r="BK36" s="386" t="e">
        <f t="shared" si="22"/>
        <v>#REF!</v>
      </c>
      <c r="BL36" s="386" t="e">
        <f t="shared" si="1"/>
        <v>#REF!</v>
      </c>
    </row>
    <row r="37" spans="2:64" ht="15.75" customHeight="1">
      <c r="B37" s="310">
        <f t="shared" si="23"/>
        <v>12</v>
      </c>
      <c r="C37" s="311">
        <f t="shared" si="17"/>
        <v>5</v>
      </c>
      <c r="D37" s="312" t="str">
        <f t="shared" si="18"/>
        <v xml:space="preserve">             </v>
      </c>
      <c r="E37" s="340"/>
      <c r="F37" s="352"/>
      <c r="G37" s="352"/>
      <c r="H37" s="352"/>
      <c r="I37" s="352"/>
      <c r="J37" s="352"/>
      <c r="K37" s="352"/>
      <c r="L37" s="352"/>
      <c r="M37" s="352"/>
      <c r="N37" s="352"/>
      <c r="P37" s="352"/>
      <c r="Q37" s="352"/>
      <c r="R37" s="352">
        <f t="shared" si="24"/>
        <v>-1000000</v>
      </c>
      <c r="S37" s="352"/>
      <c r="T37" s="352"/>
      <c r="U37" s="352"/>
      <c r="V37" s="352"/>
      <c r="W37" s="331">
        <f t="shared" si="2"/>
        <v>-1000000</v>
      </c>
      <c r="X37" s="352"/>
      <c r="Y37" s="341" t="e">
        <f t="shared" si="14"/>
        <v>#REF!</v>
      </c>
      <c r="Z37" s="341"/>
      <c r="AA37" s="341"/>
      <c r="AB37" s="341"/>
      <c r="AC37" s="359"/>
      <c r="AD37" s="331" t="e">
        <f t="shared" si="29"/>
        <v>#REF!</v>
      </c>
      <c r="AE37" s="345" t="e">
        <f t="shared" si="0"/>
        <v>#REF!</v>
      </c>
      <c r="AF37" s="345" t="e">
        <f t="shared" si="15"/>
        <v>#REF!</v>
      </c>
      <c r="AG37" s="340" t="e">
        <f t="shared" si="34"/>
        <v>#REF!</v>
      </c>
      <c r="AH37" s="352" t="e">
        <f t="shared" si="19"/>
        <v>#REF!</v>
      </c>
      <c r="AI37" s="352" t="e">
        <f t="shared" si="25"/>
        <v>#REF!</v>
      </c>
      <c r="AJ37" s="352" t="e">
        <f t="shared" si="26"/>
        <v>#REF!</v>
      </c>
      <c r="AK37" s="354" t="e">
        <f t="shared" si="30"/>
        <v>#REF!</v>
      </c>
      <c r="AL37" s="355" t="e">
        <f t="shared" si="27"/>
        <v>#REF!</v>
      </c>
      <c r="AM37" s="356">
        <f t="shared" si="28"/>
        <v>0</v>
      </c>
      <c r="AN37" s="357" t="e">
        <f t="shared" si="32"/>
        <v>#REF!</v>
      </c>
      <c r="AO37" s="338" t="e">
        <f t="shared" si="10"/>
        <v>#REF!</v>
      </c>
      <c r="AP37" s="349">
        <f>IF($C37=3,SUM(AK25:AK34),0)*-1</f>
        <v>0</v>
      </c>
      <c r="AQ37" s="358" t="e">
        <f t="shared" si="35"/>
        <v>#REF!</v>
      </c>
      <c r="AR37" s="358" t="e">
        <f t="shared" si="36"/>
        <v>#REF!</v>
      </c>
      <c r="AS37" s="327">
        <f t="shared" si="33"/>
        <v>12</v>
      </c>
      <c r="AT37" s="58"/>
      <c r="AU37" s="351">
        <f t="shared" si="20"/>
        <v>12</v>
      </c>
      <c r="AV37" s="329" t="e">
        <f t="shared" si="31"/>
        <v>#REF!</v>
      </c>
      <c r="AW37" s="330" t="e">
        <f t="shared" si="3"/>
        <v>#REF!</v>
      </c>
      <c r="AX37" s="330">
        <f t="shared" si="4"/>
        <v>0</v>
      </c>
      <c r="AY37" s="330" t="e">
        <f t="shared" si="4"/>
        <v>#REF!</v>
      </c>
      <c r="AZ37" s="330">
        <f t="shared" si="4"/>
        <v>0</v>
      </c>
      <c r="BA37" s="330">
        <f t="shared" si="4"/>
        <v>0</v>
      </c>
      <c r="BB37" s="330">
        <f t="shared" si="5"/>
        <v>0</v>
      </c>
      <c r="BC37" s="331" t="e">
        <f t="shared" si="6"/>
        <v>#REF!</v>
      </c>
      <c r="BD37" s="329">
        <f t="shared" si="7"/>
        <v>-1000000</v>
      </c>
      <c r="BE37" s="330" t="e">
        <f t="shared" si="8"/>
        <v>#REF!</v>
      </c>
      <c r="BF37" s="330" t="e">
        <f t="shared" si="16"/>
        <v>#REF!</v>
      </c>
      <c r="BG37" s="331" t="e">
        <f t="shared" si="9"/>
        <v>#REF!</v>
      </c>
      <c r="BH37" s="332" t="e">
        <f t="shared" si="11"/>
        <v>#REF!</v>
      </c>
      <c r="BI37" s="333" t="e">
        <f t="shared" si="12"/>
        <v>#REF!</v>
      </c>
      <c r="BJ37" s="334" t="e">
        <f t="shared" si="21"/>
        <v>#REF!</v>
      </c>
      <c r="BK37" s="335" t="e">
        <f t="shared" si="22"/>
        <v>#REF!</v>
      </c>
      <c r="BL37" s="335" t="e">
        <f t="shared" si="1"/>
        <v>#REF!</v>
      </c>
    </row>
    <row r="38" spans="2:64" ht="16.5" customHeight="1">
      <c r="B38" s="310">
        <f t="shared" si="23"/>
        <v>13</v>
      </c>
      <c r="C38" s="311">
        <f t="shared" si="17"/>
        <v>6</v>
      </c>
      <c r="D38" s="312" t="str">
        <f>IF($C37=12,$D$37+1,"             ")</f>
        <v xml:space="preserve">             </v>
      </c>
      <c r="E38" s="340"/>
      <c r="F38" s="352"/>
      <c r="G38" s="352"/>
      <c r="H38" s="352"/>
      <c r="I38" s="352"/>
      <c r="J38" s="352"/>
      <c r="K38" s="352"/>
      <c r="L38" s="352"/>
      <c r="M38" s="352"/>
      <c r="N38" s="352"/>
      <c r="O38" s="352"/>
      <c r="P38" s="352"/>
      <c r="Q38" s="352"/>
      <c r="R38" s="352">
        <f t="shared" si="24"/>
        <v>-1000000</v>
      </c>
      <c r="S38" s="352"/>
      <c r="T38" s="352"/>
      <c r="U38" s="352"/>
      <c r="V38" s="352"/>
      <c r="W38" s="331">
        <f t="shared" si="2"/>
        <v>-1000000</v>
      </c>
      <c r="X38" s="352"/>
      <c r="Y38" s="341" t="e">
        <f t="shared" si="14"/>
        <v>#REF!</v>
      </c>
      <c r="Z38" s="341"/>
      <c r="AA38" s="341"/>
      <c r="AB38" s="341"/>
      <c r="AC38" s="359"/>
      <c r="AD38" s="331" t="e">
        <f t="shared" si="29"/>
        <v>#REF!</v>
      </c>
      <c r="AE38" s="345" t="e">
        <f t="shared" si="0"/>
        <v>#REF!</v>
      </c>
      <c r="AF38" s="345" t="e">
        <f t="shared" si="15"/>
        <v>#REF!</v>
      </c>
      <c r="AG38" s="340" t="e">
        <f t="shared" si="34"/>
        <v>#REF!</v>
      </c>
      <c r="AH38" s="352" t="e">
        <f t="shared" si="19"/>
        <v>#REF!</v>
      </c>
      <c r="AI38" s="352" t="e">
        <f t="shared" si="25"/>
        <v>#REF!</v>
      </c>
      <c r="AJ38" s="352" t="e">
        <f t="shared" si="26"/>
        <v>#REF!</v>
      </c>
      <c r="AK38" s="354" t="e">
        <f t="shared" si="30"/>
        <v>#REF!</v>
      </c>
      <c r="AL38" s="355" t="e">
        <f t="shared" si="27"/>
        <v>#REF!</v>
      </c>
      <c r="AM38" s="356">
        <f t="shared" si="28"/>
        <v>0</v>
      </c>
      <c r="AN38" s="357" t="e">
        <f t="shared" si="32"/>
        <v>#REF!</v>
      </c>
      <c r="AO38" s="338" t="e">
        <f t="shared" si="10"/>
        <v>#REF!</v>
      </c>
      <c r="AP38" s="349">
        <f>IF($C38=3,SUM(AK25:AK35),0)*-1</f>
        <v>0</v>
      </c>
      <c r="AQ38" s="358" t="e">
        <f>AE38+AI38+AK38+AP38</f>
        <v>#REF!</v>
      </c>
      <c r="AR38" s="358" t="e">
        <f t="shared" si="36"/>
        <v>#REF!</v>
      </c>
      <c r="AS38" s="327">
        <f t="shared" si="33"/>
        <v>13</v>
      </c>
      <c r="AT38" s="58"/>
      <c r="AU38" s="351">
        <f t="shared" si="20"/>
        <v>13</v>
      </c>
      <c r="AV38" s="329" t="e">
        <f t="shared" si="31"/>
        <v>#REF!</v>
      </c>
      <c r="AW38" s="330" t="e">
        <f t="shared" si="3"/>
        <v>#REF!</v>
      </c>
      <c r="AX38" s="330">
        <f t="shared" si="4"/>
        <v>0</v>
      </c>
      <c r="AY38" s="330" t="e">
        <f t="shared" si="4"/>
        <v>#REF!</v>
      </c>
      <c r="AZ38" s="330">
        <f t="shared" si="4"/>
        <v>0</v>
      </c>
      <c r="BA38" s="330">
        <f t="shared" si="4"/>
        <v>0</v>
      </c>
      <c r="BB38" s="330">
        <f t="shared" si="5"/>
        <v>0</v>
      </c>
      <c r="BC38" s="331" t="e">
        <f t="shared" si="6"/>
        <v>#REF!</v>
      </c>
      <c r="BD38" s="329">
        <f t="shared" si="7"/>
        <v>-1000000</v>
      </c>
      <c r="BE38" s="330" t="e">
        <f t="shared" si="8"/>
        <v>#REF!</v>
      </c>
      <c r="BF38" s="330" t="e">
        <f t="shared" si="16"/>
        <v>#REF!</v>
      </c>
      <c r="BG38" s="331" t="e">
        <f t="shared" si="9"/>
        <v>#REF!</v>
      </c>
      <c r="BH38" s="332" t="e">
        <f t="shared" si="11"/>
        <v>#REF!</v>
      </c>
      <c r="BI38" s="333" t="e">
        <f t="shared" si="12"/>
        <v>#REF!</v>
      </c>
      <c r="BJ38" s="334" t="e">
        <f t="shared" si="21"/>
        <v>#REF!</v>
      </c>
      <c r="BK38" s="335" t="e">
        <f t="shared" si="22"/>
        <v>#REF!</v>
      </c>
      <c r="BL38" s="335" t="e">
        <f t="shared" si="1"/>
        <v>#REF!</v>
      </c>
    </row>
    <row r="39" spans="2:64" ht="15.75" customHeight="1">
      <c r="B39" s="310">
        <f t="shared" si="23"/>
        <v>14</v>
      </c>
      <c r="C39" s="311">
        <f t="shared" si="17"/>
        <v>7</v>
      </c>
      <c r="D39" s="312" t="str">
        <f t="shared" ref="D39:D49" si="37">IF($C38=12,$D$37+1,"             ")</f>
        <v xml:space="preserve">             </v>
      </c>
      <c r="E39" s="340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>
        <f t="shared" si="24"/>
        <v>-1000000</v>
      </c>
      <c r="S39" s="352"/>
      <c r="T39" s="352"/>
      <c r="U39" s="352"/>
      <c r="V39" s="352"/>
      <c r="W39" s="331">
        <f t="shared" si="2"/>
        <v>-1000000</v>
      </c>
      <c r="X39" s="352"/>
      <c r="Y39" s="341" t="e">
        <f t="shared" si="14"/>
        <v>#REF!</v>
      </c>
      <c r="Z39" s="341"/>
      <c r="AA39" s="341"/>
      <c r="AB39" s="341"/>
      <c r="AC39" s="359"/>
      <c r="AD39" s="331" t="e">
        <f t="shared" si="29"/>
        <v>#REF!</v>
      </c>
      <c r="AE39" s="345" t="e">
        <f t="shared" si="0"/>
        <v>#REF!</v>
      </c>
      <c r="AF39" s="345" t="e">
        <f t="shared" si="15"/>
        <v>#REF!</v>
      </c>
      <c r="AG39" s="340" t="e">
        <f t="shared" si="34"/>
        <v>#REF!</v>
      </c>
      <c r="AH39" s="352" t="e">
        <f t="shared" si="19"/>
        <v>#REF!</v>
      </c>
      <c r="AI39" s="352" t="e">
        <f t="shared" si="25"/>
        <v>#REF!</v>
      </c>
      <c r="AJ39" s="352" t="e">
        <f t="shared" si="26"/>
        <v>#REF!</v>
      </c>
      <c r="AK39" s="354" t="e">
        <f t="shared" si="30"/>
        <v>#REF!</v>
      </c>
      <c r="AL39" s="355" t="e">
        <f t="shared" si="27"/>
        <v>#REF!</v>
      </c>
      <c r="AM39" s="356">
        <f t="shared" si="28"/>
        <v>0</v>
      </c>
      <c r="AN39" s="357" t="e">
        <f t="shared" si="32"/>
        <v>#REF!</v>
      </c>
      <c r="AO39" s="338" t="e">
        <f t="shared" si="10"/>
        <v>#REF!</v>
      </c>
      <c r="AP39" s="349">
        <f>IF($C39=3,SUM(AK25:AK36),0)*-1</f>
        <v>0</v>
      </c>
      <c r="AQ39" s="358" t="e">
        <f>AE39+AI39+AK39+AP39</f>
        <v>#REF!</v>
      </c>
      <c r="AR39" s="358" t="e">
        <f t="shared" si="36"/>
        <v>#REF!</v>
      </c>
      <c r="AS39" s="327">
        <f t="shared" si="33"/>
        <v>14</v>
      </c>
      <c r="AT39" s="58"/>
      <c r="AU39" s="351">
        <f t="shared" si="20"/>
        <v>14</v>
      </c>
      <c r="AV39" s="329" t="e">
        <f t="shared" si="31"/>
        <v>#REF!</v>
      </c>
      <c r="AW39" s="330" t="e">
        <f t="shared" si="3"/>
        <v>#REF!</v>
      </c>
      <c r="AX39" s="330">
        <f t="shared" si="4"/>
        <v>0</v>
      </c>
      <c r="AY39" s="330" t="e">
        <f t="shared" si="4"/>
        <v>#REF!</v>
      </c>
      <c r="AZ39" s="330">
        <f t="shared" si="4"/>
        <v>0</v>
      </c>
      <c r="BA39" s="330">
        <f t="shared" si="4"/>
        <v>0</v>
      </c>
      <c r="BB39" s="330">
        <f t="shared" si="5"/>
        <v>0</v>
      </c>
      <c r="BC39" s="331" t="e">
        <f t="shared" si="6"/>
        <v>#REF!</v>
      </c>
      <c r="BD39" s="329">
        <f t="shared" si="7"/>
        <v>-1000000</v>
      </c>
      <c r="BE39" s="330" t="e">
        <f t="shared" si="8"/>
        <v>#REF!</v>
      </c>
      <c r="BF39" s="330" t="e">
        <f t="shared" si="16"/>
        <v>#REF!</v>
      </c>
      <c r="BG39" s="331" t="e">
        <f t="shared" si="9"/>
        <v>#REF!</v>
      </c>
      <c r="BH39" s="332" t="e">
        <f t="shared" si="11"/>
        <v>#REF!</v>
      </c>
      <c r="BI39" s="333" t="e">
        <f t="shared" si="12"/>
        <v>#REF!</v>
      </c>
      <c r="BJ39" s="334" t="e">
        <f t="shared" si="21"/>
        <v>#REF!</v>
      </c>
      <c r="BK39" s="335" t="e">
        <f t="shared" si="22"/>
        <v>#REF!</v>
      </c>
      <c r="BL39" s="335" t="e">
        <f t="shared" si="1"/>
        <v>#REF!</v>
      </c>
    </row>
    <row r="40" spans="2:64" ht="15.75" customHeight="1">
      <c r="B40" s="310">
        <f t="shared" si="23"/>
        <v>15</v>
      </c>
      <c r="C40" s="311">
        <f t="shared" si="17"/>
        <v>8</v>
      </c>
      <c r="D40" s="312" t="str">
        <f t="shared" si="37"/>
        <v xml:space="preserve">             </v>
      </c>
      <c r="E40" s="340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>
        <f t="shared" si="24"/>
        <v>-1000000</v>
      </c>
      <c r="S40" s="352"/>
      <c r="T40" s="352"/>
      <c r="U40" s="352"/>
      <c r="V40" s="352"/>
      <c r="W40" s="331">
        <f t="shared" si="2"/>
        <v>-1000000</v>
      </c>
      <c r="X40" s="352"/>
      <c r="Y40" s="341" t="e">
        <f t="shared" si="14"/>
        <v>#REF!</v>
      </c>
      <c r="Z40" s="341"/>
      <c r="AA40" s="341"/>
      <c r="AB40" s="341"/>
      <c r="AC40" s="359"/>
      <c r="AD40" s="331" t="e">
        <f t="shared" si="29"/>
        <v>#REF!</v>
      </c>
      <c r="AE40" s="345" t="e">
        <f t="shared" si="0"/>
        <v>#REF!</v>
      </c>
      <c r="AF40" s="345" t="e">
        <f t="shared" si="15"/>
        <v>#REF!</v>
      </c>
      <c r="AG40" s="340" t="e">
        <f t="shared" si="34"/>
        <v>#REF!</v>
      </c>
      <c r="AH40" s="352" t="e">
        <f t="shared" si="19"/>
        <v>#REF!</v>
      </c>
      <c r="AI40" s="352" t="e">
        <f t="shared" si="25"/>
        <v>#REF!</v>
      </c>
      <c r="AJ40" s="352" t="e">
        <f t="shared" si="26"/>
        <v>#REF!</v>
      </c>
      <c r="AK40" s="354" t="e">
        <f t="shared" si="30"/>
        <v>#REF!</v>
      </c>
      <c r="AL40" s="355" t="e">
        <f t="shared" si="27"/>
        <v>#REF!</v>
      </c>
      <c r="AM40" s="356">
        <f t="shared" si="28"/>
        <v>0</v>
      </c>
      <c r="AN40" s="357" t="e">
        <f t="shared" si="32"/>
        <v>#REF!</v>
      </c>
      <c r="AO40" s="338" t="e">
        <f t="shared" si="10"/>
        <v>#REF!</v>
      </c>
      <c r="AP40" s="349">
        <f t="shared" ref="AP40:AP90" si="38">IF($C40=3,SUM(AK26:AK37),0)*-1</f>
        <v>0</v>
      </c>
      <c r="AQ40" s="358" t="e">
        <f>AE40+AI40+AK40+AP40</f>
        <v>#REF!</v>
      </c>
      <c r="AR40" s="358" t="e">
        <f t="shared" si="36"/>
        <v>#REF!</v>
      </c>
      <c r="AS40" s="327">
        <f t="shared" si="33"/>
        <v>15</v>
      </c>
      <c r="AT40" s="58"/>
      <c r="AU40" s="351">
        <f t="shared" si="20"/>
        <v>15</v>
      </c>
      <c r="AV40" s="329" t="e">
        <f t="shared" si="31"/>
        <v>#REF!</v>
      </c>
      <c r="AW40" s="330" t="e">
        <f t="shared" si="3"/>
        <v>#REF!</v>
      </c>
      <c r="AX40" s="330">
        <f t="shared" si="4"/>
        <v>0</v>
      </c>
      <c r="AY40" s="330" t="e">
        <f t="shared" si="4"/>
        <v>#REF!</v>
      </c>
      <c r="AZ40" s="330">
        <f t="shared" si="4"/>
        <v>0</v>
      </c>
      <c r="BA40" s="330">
        <f t="shared" si="4"/>
        <v>0</v>
      </c>
      <c r="BB40" s="330">
        <f t="shared" si="5"/>
        <v>0</v>
      </c>
      <c r="BC40" s="331" t="e">
        <f t="shared" si="6"/>
        <v>#REF!</v>
      </c>
      <c r="BD40" s="329">
        <f t="shared" si="7"/>
        <v>-1000000</v>
      </c>
      <c r="BE40" s="330" t="e">
        <f t="shared" si="8"/>
        <v>#REF!</v>
      </c>
      <c r="BF40" s="330" t="e">
        <f t="shared" si="16"/>
        <v>#REF!</v>
      </c>
      <c r="BG40" s="331" t="e">
        <f t="shared" si="9"/>
        <v>#REF!</v>
      </c>
      <c r="BH40" s="332" t="e">
        <f t="shared" si="11"/>
        <v>#REF!</v>
      </c>
      <c r="BI40" s="333" t="e">
        <f t="shared" si="12"/>
        <v>#REF!</v>
      </c>
      <c r="BJ40" s="334" t="e">
        <f t="shared" si="21"/>
        <v>#REF!</v>
      </c>
      <c r="BK40" s="335" t="e">
        <f t="shared" si="22"/>
        <v>#REF!</v>
      </c>
      <c r="BL40" s="335" t="e">
        <f t="shared" si="1"/>
        <v>#REF!</v>
      </c>
    </row>
    <row r="41" spans="2:64" ht="15.75" customHeight="1">
      <c r="B41" s="310">
        <f t="shared" si="23"/>
        <v>16</v>
      </c>
      <c r="C41" s="311">
        <f t="shared" si="17"/>
        <v>9</v>
      </c>
      <c r="D41" s="312" t="str">
        <f t="shared" si="37"/>
        <v xml:space="preserve">             </v>
      </c>
      <c r="E41" s="340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>
        <f t="shared" si="24"/>
        <v>-1000000</v>
      </c>
      <c r="S41" s="352"/>
      <c r="T41" s="352"/>
      <c r="U41" s="352"/>
      <c r="V41" s="352"/>
      <c r="W41" s="331">
        <f t="shared" si="2"/>
        <v>-1000000</v>
      </c>
      <c r="X41" s="352"/>
      <c r="Y41" s="341" t="e">
        <f t="shared" si="14"/>
        <v>#REF!</v>
      </c>
      <c r="Z41" s="341"/>
      <c r="AA41" s="341"/>
      <c r="AB41" s="341"/>
      <c r="AC41" s="359"/>
      <c r="AD41" s="331" t="e">
        <f t="shared" si="29"/>
        <v>#REF!</v>
      </c>
      <c r="AE41" s="345" t="e">
        <f t="shared" si="0"/>
        <v>#REF!</v>
      </c>
      <c r="AF41" s="345" t="e">
        <f t="shared" si="15"/>
        <v>#REF!</v>
      </c>
      <c r="AG41" s="340" t="e">
        <f t="shared" si="34"/>
        <v>#REF!</v>
      </c>
      <c r="AH41" s="352" t="e">
        <f t="shared" si="19"/>
        <v>#REF!</v>
      </c>
      <c r="AI41" s="352" t="e">
        <f t="shared" si="25"/>
        <v>#REF!</v>
      </c>
      <c r="AJ41" s="352" t="e">
        <f t="shared" si="26"/>
        <v>#REF!</v>
      </c>
      <c r="AK41" s="354" t="e">
        <f t="shared" si="30"/>
        <v>#REF!</v>
      </c>
      <c r="AL41" s="355" t="e">
        <f t="shared" si="27"/>
        <v>#REF!</v>
      </c>
      <c r="AM41" s="356">
        <f t="shared" si="28"/>
        <v>0</v>
      </c>
      <c r="AN41" s="357" t="e">
        <f t="shared" si="32"/>
        <v>#REF!</v>
      </c>
      <c r="AO41" s="338" t="e">
        <f t="shared" si="10"/>
        <v>#REF!</v>
      </c>
      <c r="AP41" s="349">
        <f t="shared" si="38"/>
        <v>0</v>
      </c>
      <c r="AQ41" s="358" t="e">
        <f t="shared" si="35"/>
        <v>#REF!</v>
      </c>
      <c r="AR41" s="358" t="e">
        <f t="shared" si="36"/>
        <v>#REF!</v>
      </c>
      <c r="AS41" s="327">
        <f t="shared" si="33"/>
        <v>16</v>
      </c>
      <c r="AT41" s="58"/>
      <c r="AU41" s="351">
        <f t="shared" si="20"/>
        <v>16</v>
      </c>
      <c r="AV41" s="329" t="e">
        <f t="shared" si="31"/>
        <v>#REF!</v>
      </c>
      <c r="AW41" s="330" t="e">
        <f t="shared" si="3"/>
        <v>#REF!</v>
      </c>
      <c r="AX41" s="330">
        <f t="shared" si="4"/>
        <v>0</v>
      </c>
      <c r="AY41" s="330" t="e">
        <f t="shared" si="4"/>
        <v>#REF!</v>
      </c>
      <c r="AZ41" s="330">
        <f t="shared" si="4"/>
        <v>0</v>
      </c>
      <c r="BA41" s="330">
        <f t="shared" si="4"/>
        <v>0</v>
      </c>
      <c r="BB41" s="330">
        <f t="shared" si="5"/>
        <v>0</v>
      </c>
      <c r="BC41" s="331" t="e">
        <f t="shared" si="6"/>
        <v>#REF!</v>
      </c>
      <c r="BD41" s="329">
        <f t="shared" si="7"/>
        <v>-1000000</v>
      </c>
      <c r="BE41" s="330" t="e">
        <f t="shared" si="8"/>
        <v>#REF!</v>
      </c>
      <c r="BF41" s="330" t="e">
        <f t="shared" si="16"/>
        <v>#REF!</v>
      </c>
      <c r="BG41" s="331" t="e">
        <f t="shared" si="9"/>
        <v>#REF!</v>
      </c>
      <c r="BH41" s="332" t="e">
        <f t="shared" si="11"/>
        <v>#REF!</v>
      </c>
      <c r="BI41" s="333" t="e">
        <f t="shared" si="12"/>
        <v>#REF!</v>
      </c>
      <c r="BJ41" s="334" t="e">
        <f t="shared" si="21"/>
        <v>#REF!</v>
      </c>
      <c r="BK41" s="335" t="e">
        <f t="shared" si="22"/>
        <v>#REF!</v>
      </c>
      <c r="BL41" s="335" t="e">
        <f t="shared" si="1"/>
        <v>#REF!</v>
      </c>
    </row>
    <row r="42" spans="2:64" ht="15.75" customHeight="1">
      <c r="B42" s="310">
        <f t="shared" si="23"/>
        <v>17</v>
      </c>
      <c r="C42" s="311">
        <f t="shared" si="17"/>
        <v>10</v>
      </c>
      <c r="D42" s="312" t="str">
        <f t="shared" si="37"/>
        <v xml:space="preserve">             </v>
      </c>
      <c r="E42" s="340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52"/>
      <c r="R42" s="352">
        <f t="shared" si="24"/>
        <v>-1000000</v>
      </c>
      <c r="S42" s="352"/>
      <c r="T42" s="352"/>
      <c r="U42" s="352"/>
      <c r="V42" s="352"/>
      <c r="W42" s="331">
        <f t="shared" si="2"/>
        <v>-1000000</v>
      </c>
      <c r="X42" s="352"/>
      <c r="Y42" s="341" t="e">
        <f t="shared" si="14"/>
        <v>#REF!</v>
      </c>
      <c r="Z42" s="341"/>
      <c r="AA42" s="341"/>
      <c r="AB42" s="341"/>
      <c r="AC42" s="359"/>
      <c r="AD42" s="331" t="e">
        <f t="shared" si="29"/>
        <v>#REF!</v>
      </c>
      <c r="AE42" s="345" t="e">
        <f t="shared" si="0"/>
        <v>#REF!</v>
      </c>
      <c r="AF42" s="345" t="e">
        <f t="shared" si="15"/>
        <v>#REF!</v>
      </c>
      <c r="AG42" s="340" t="e">
        <f t="shared" si="34"/>
        <v>#REF!</v>
      </c>
      <c r="AH42" s="352" t="e">
        <f t="shared" si="19"/>
        <v>#REF!</v>
      </c>
      <c r="AI42" s="352" t="e">
        <f t="shared" si="25"/>
        <v>#REF!</v>
      </c>
      <c r="AJ42" s="352" t="e">
        <f t="shared" si="26"/>
        <v>#REF!</v>
      </c>
      <c r="AK42" s="354" t="e">
        <f t="shared" si="30"/>
        <v>#REF!</v>
      </c>
      <c r="AL42" s="355" t="e">
        <f t="shared" si="27"/>
        <v>#REF!</v>
      </c>
      <c r="AM42" s="356">
        <f t="shared" si="28"/>
        <v>0</v>
      </c>
      <c r="AN42" s="357" t="e">
        <f t="shared" si="32"/>
        <v>#REF!</v>
      </c>
      <c r="AO42" s="338" t="e">
        <f t="shared" si="10"/>
        <v>#REF!</v>
      </c>
      <c r="AP42" s="349">
        <f t="shared" si="38"/>
        <v>0</v>
      </c>
      <c r="AQ42" s="358" t="e">
        <f t="shared" si="35"/>
        <v>#REF!</v>
      </c>
      <c r="AR42" s="358" t="e">
        <f t="shared" si="36"/>
        <v>#REF!</v>
      </c>
      <c r="AS42" s="327">
        <f t="shared" si="33"/>
        <v>17</v>
      </c>
      <c r="AT42" s="58"/>
      <c r="AU42" s="351">
        <f t="shared" si="20"/>
        <v>17</v>
      </c>
      <c r="AV42" s="329" t="e">
        <f t="shared" si="31"/>
        <v>#REF!</v>
      </c>
      <c r="AW42" s="330" t="e">
        <f t="shared" si="3"/>
        <v>#REF!</v>
      </c>
      <c r="AX42" s="330">
        <f t="shared" si="4"/>
        <v>0</v>
      </c>
      <c r="AY42" s="330" t="e">
        <f t="shared" si="4"/>
        <v>#REF!</v>
      </c>
      <c r="AZ42" s="330">
        <f t="shared" si="4"/>
        <v>0</v>
      </c>
      <c r="BA42" s="330">
        <f t="shared" si="4"/>
        <v>0</v>
      </c>
      <c r="BB42" s="330">
        <f t="shared" si="5"/>
        <v>0</v>
      </c>
      <c r="BC42" s="331" t="e">
        <f t="shared" si="6"/>
        <v>#REF!</v>
      </c>
      <c r="BD42" s="329">
        <f t="shared" si="7"/>
        <v>-1000000</v>
      </c>
      <c r="BE42" s="330" t="e">
        <f t="shared" si="8"/>
        <v>#REF!</v>
      </c>
      <c r="BF42" s="330" t="e">
        <f t="shared" si="16"/>
        <v>#REF!</v>
      </c>
      <c r="BG42" s="331" t="e">
        <f t="shared" si="9"/>
        <v>#REF!</v>
      </c>
      <c r="BH42" s="332" t="e">
        <f t="shared" si="11"/>
        <v>#REF!</v>
      </c>
      <c r="BI42" s="333" t="e">
        <f t="shared" si="12"/>
        <v>#REF!</v>
      </c>
      <c r="BJ42" s="334" t="e">
        <f t="shared" si="21"/>
        <v>#REF!</v>
      </c>
      <c r="BK42" s="335" t="e">
        <f t="shared" si="22"/>
        <v>#REF!</v>
      </c>
      <c r="BL42" s="335" t="e">
        <f t="shared" si="1"/>
        <v>#REF!</v>
      </c>
    </row>
    <row r="43" spans="2:64" ht="15.75" customHeight="1">
      <c r="B43" s="310">
        <f t="shared" si="23"/>
        <v>18</v>
      </c>
      <c r="C43" s="311">
        <f t="shared" si="17"/>
        <v>11</v>
      </c>
      <c r="D43" s="312" t="str">
        <f t="shared" si="37"/>
        <v xml:space="preserve">             </v>
      </c>
      <c r="E43" s="340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2"/>
      <c r="Q43" s="352"/>
      <c r="R43" s="352">
        <f t="shared" si="24"/>
        <v>-1000000</v>
      </c>
      <c r="S43" s="352"/>
      <c r="T43" s="352"/>
      <c r="U43" s="352"/>
      <c r="V43" s="352"/>
      <c r="W43" s="331">
        <f t="shared" si="2"/>
        <v>-1000000</v>
      </c>
      <c r="X43" s="352"/>
      <c r="Y43" s="341" t="e">
        <f t="shared" si="14"/>
        <v>#REF!</v>
      </c>
      <c r="Z43" s="341"/>
      <c r="AA43" s="341"/>
      <c r="AB43" s="341"/>
      <c r="AC43" s="359"/>
      <c r="AD43" s="331" t="e">
        <f t="shared" si="29"/>
        <v>#REF!</v>
      </c>
      <c r="AE43" s="345" t="e">
        <f t="shared" si="0"/>
        <v>#REF!</v>
      </c>
      <c r="AF43" s="345" t="e">
        <f t="shared" si="15"/>
        <v>#REF!</v>
      </c>
      <c r="AG43" s="340" t="e">
        <f t="shared" si="34"/>
        <v>#REF!</v>
      </c>
      <c r="AH43" s="352" t="e">
        <f t="shared" si="19"/>
        <v>#REF!</v>
      </c>
      <c r="AI43" s="352" t="e">
        <f t="shared" si="25"/>
        <v>#REF!</v>
      </c>
      <c r="AJ43" s="352" t="e">
        <f t="shared" si="26"/>
        <v>#REF!</v>
      </c>
      <c r="AK43" s="354" t="e">
        <f t="shared" si="30"/>
        <v>#REF!</v>
      </c>
      <c r="AL43" s="355" t="e">
        <f t="shared" si="27"/>
        <v>#REF!</v>
      </c>
      <c r="AM43" s="356">
        <f t="shared" si="28"/>
        <v>0</v>
      </c>
      <c r="AN43" s="357" t="e">
        <f t="shared" si="32"/>
        <v>#REF!</v>
      </c>
      <c r="AO43" s="338" t="e">
        <f t="shared" si="10"/>
        <v>#REF!</v>
      </c>
      <c r="AP43" s="349">
        <f t="shared" si="38"/>
        <v>0</v>
      </c>
      <c r="AQ43" s="358" t="e">
        <f t="shared" si="35"/>
        <v>#REF!</v>
      </c>
      <c r="AR43" s="358" t="e">
        <f t="shared" si="36"/>
        <v>#REF!</v>
      </c>
      <c r="AS43" s="327">
        <f t="shared" si="33"/>
        <v>18</v>
      </c>
      <c r="AT43" s="58"/>
      <c r="AU43" s="351">
        <f t="shared" si="20"/>
        <v>18</v>
      </c>
      <c r="AV43" s="329" t="e">
        <f t="shared" si="31"/>
        <v>#REF!</v>
      </c>
      <c r="AW43" s="330" t="e">
        <f t="shared" si="3"/>
        <v>#REF!</v>
      </c>
      <c r="AX43" s="330">
        <f t="shared" si="4"/>
        <v>0</v>
      </c>
      <c r="AY43" s="330" t="e">
        <f t="shared" si="4"/>
        <v>#REF!</v>
      </c>
      <c r="AZ43" s="330">
        <f t="shared" si="4"/>
        <v>0</v>
      </c>
      <c r="BA43" s="330">
        <f t="shared" si="4"/>
        <v>0</v>
      </c>
      <c r="BB43" s="330">
        <f t="shared" si="5"/>
        <v>0</v>
      </c>
      <c r="BC43" s="331" t="e">
        <f t="shared" si="6"/>
        <v>#REF!</v>
      </c>
      <c r="BD43" s="329">
        <f t="shared" si="7"/>
        <v>-1000000</v>
      </c>
      <c r="BE43" s="330" t="e">
        <f t="shared" si="8"/>
        <v>#REF!</v>
      </c>
      <c r="BF43" s="330" t="e">
        <f t="shared" si="16"/>
        <v>#REF!</v>
      </c>
      <c r="BG43" s="331" t="e">
        <f t="shared" si="9"/>
        <v>#REF!</v>
      </c>
      <c r="BH43" s="332" t="e">
        <f t="shared" si="11"/>
        <v>#REF!</v>
      </c>
      <c r="BI43" s="333" t="e">
        <f t="shared" si="12"/>
        <v>#REF!</v>
      </c>
      <c r="BJ43" s="334" t="e">
        <f t="shared" si="21"/>
        <v>#REF!</v>
      </c>
      <c r="BK43" s="335" t="e">
        <f t="shared" si="22"/>
        <v>#REF!</v>
      </c>
      <c r="BL43" s="335" t="e">
        <f t="shared" si="1"/>
        <v>#REF!</v>
      </c>
    </row>
    <row r="44" spans="2:64" ht="15.75" customHeight="1">
      <c r="B44" s="310">
        <f t="shared" si="23"/>
        <v>19</v>
      </c>
      <c r="C44" s="311">
        <f t="shared" si="17"/>
        <v>12</v>
      </c>
      <c r="D44" s="312" t="str">
        <f t="shared" si="37"/>
        <v xml:space="preserve">             </v>
      </c>
      <c r="E44" s="340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>
        <f t="shared" si="24"/>
        <v>-1000000</v>
      </c>
      <c r="S44" s="352"/>
      <c r="T44" s="352"/>
      <c r="U44" s="352"/>
      <c r="V44" s="352"/>
      <c r="W44" s="331">
        <f t="shared" si="2"/>
        <v>-1000000</v>
      </c>
      <c r="X44" s="352"/>
      <c r="Y44" s="341" t="e">
        <f t="shared" si="14"/>
        <v>#REF!</v>
      </c>
      <c r="Z44" s="341"/>
      <c r="AA44" s="341"/>
      <c r="AB44" s="341"/>
      <c r="AC44" s="359"/>
      <c r="AD44" s="331" t="e">
        <f t="shared" si="29"/>
        <v>#REF!</v>
      </c>
      <c r="AE44" s="345" t="e">
        <f t="shared" si="0"/>
        <v>#REF!</v>
      </c>
      <c r="AF44" s="345" t="e">
        <f t="shared" si="15"/>
        <v>#REF!</v>
      </c>
      <c r="AG44" s="340" t="e">
        <f t="shared" si="34"/>
        <v>#REF!</v>
      </c>
      <c r="AH44" s="352" t="e">
        <f t="shared" si="19"/>
        <v>#REF!</v>
      </c>
      <c r="AI44" s="352" t="e">
        <f t="shared" si="25"/>
        <v>#REF!</v>
      </c>
      <c r="AJ44" s="352" t="e">
        <f t="shared" si="26"/>
        <v>#REF!</v>
      </c>
      <c r="AK44" s="354" t="e">
        <f t="shared" si="30"/>
        <v>#REF!</v>
      </c>
      <c r="AL44" s="355" t="e">
        <f t="shared" si="27"/>
        <v>#REF!</v>
      </c>
      <c r="AM44" s="356">
        <f t="shared" si="28"/>
        <v>0</v>
      </c>
      <c r="AN44" s="357" t="e">
        <f t="shared" si="32"/>
        <v>#REF!</v>
      </c>
      <c r="AO44" s="338" t="e">
        <f t="shared" si="10"/>
        <v>#REF!</v>
      </c>
      <c r="AP44" s="349">
        <f t="shared" si="38"/>
        <v>0</v>
      </c>
      <c r="AQ44" s="358" t="e">
        <f t="shared" si="35"/>
        <v>#REF!</v>
      </c>
      <c r="AR44" s="358" t="e">
        <f t="shared" si="36"/>
        <v>#REF!</v>
      </c>
      <c r="AS44" s="327">
        <f t="shared" si="33"/>
        <v>19</v>
      </c>
      <c r="AT44" s="58"/>
      <c r="AU44" s="351">
        <f t="shared" si="20"/>
        <v>19</v>
      </c>
      <c r="AV44" s="329" t="e">
        <f t="shared" si="31"/>
        <v>#REF!</v>
      </c>
      <c r="AW44" s="330" t="e">
        <f t="shared" si="3"/>
        <v>#REF!</v>
      </c>
      <c r="AX44" s="330">
        <f t="shared" si="4"/>
        <v>0</v>
      </c>
      <c r="AY44" s="330" t="e">
        <f t="shared" si="4"/>
        <v>#REF!</v>
      </c>
      <c r="AZ44" s="330">
        <f t="shared" si="4"/>
        <v>0</v>
      </c>
      <c r="BA44" s="330">
        <f t="shared" si="4"/>
        <v>0</v>
      </c>
      <c r="BB44" s="330">
        <f t="shared" si="5"/>
        <v>0</v>
      </c>
      <c r="BC44" s="331" t="e">
        <f t="shared" si="6"/>
        <v>#REF!</v>
      </c>
      <c r="BD44" s="329">
        <f t="shared" si="7"/>
        <v>-1000000</v>
      </c>
      <c r="BE44" s="330" t="e">
        <f t="shared" si="8"/>
        <v>#REF!</v>
      </c>
      <c r="BF44" s="330" t="e">
        <f t="shared" si="16"/>
        <v>#REF!</v>
      </c>
      <c r="BG44" s="331" t="e">
        <f t="shared" si="9"/>
        <v>#REF!</v>
      </c>
      <c r="BH44" s="332" t="e">
        <f t="shared" si="11"/>
        <v>#REF!</v>
      </c>
      <c r="BI44" s="333" t="e">
        <f t="shared" si="12"/>
        <v>#REF!</v>
      </c>
      <c r="BJ44" s="334" t="e">
        <f t="shared" si="21"/>
        <v>#REF!</v>
      </c>
      <c r="BK44" s="335" t="e">
        <f t="shared" si="22"/>
        <v>#REF!</v>
      </c>
      <c r="BL44" s="335" t="e">
        <f t="shared" si="1"/>
        <v>#REF!</v>
      </c>
    </row>
    <row r="45" spans="2:64" ht="15.75" customHeight="1">
      <c r="B45" s="310">
        <f t="shared" si="23"/>
        <v>20</v>
      </c>
      <c r="C45" s="311">
        <f t="shared" si="17"/>
        <v>1</v>
      </c>
      <c r="D45" s="312">
        <f>IF($C44=12,$D$33+1,"             ")</f>
        <v>2020</v>
      </c>
      <c r="E45" s="340"/>
      <c r="F45" s="352"/>
      <c r="G45" s="352"/>
      <c r="H45" s="352"/>
      <c r="I45" s="352"/>
      <c r="J45" s="352"/>
      <c r="K45" s="352"/>
      <c r="L45" s="352"/>
      <c r="M45" s="352"/>
      <c r="N45" s="352"/>
      <c r="O45" s="352"/>
      <c r="P45" s="352"/>
      <c r="Q45" s="352"/>
      <c r="R45" s="352">
        <f t="shared" si="24"/>
        <v>-1000000</v>
      </c>
      <c r="S45" s="352"/>
      <c r="T45" s="352"/>
      <c r="U45" s="352"/>
      <c r="V45" s="352"/>
      <c r="W45" s="331">
        <f t="shared" si="2"/>
        <v>-1000000</v>
      </c>
      <c r="X45" s="352"/>
      <c r="Y45" s="341" t="e">
        <f t="shared" si="14"/>
        <v>#REF!</v>
      </c>
      <c r="Z45" s="341"/>
      <c r="AA45" s="341"/>
      <c r="AB45" s="341"/>
      <c r="AC45" s="359"/>
      <c r="AD45" s="331" t="e">
        <f t="shared" si="29"/>
        <v>#REF!</v>
      </c>
      <c r="AE45" s="345" t="e">
        <f t="shared" si="0"/>
        <v>#REF!</v>
      </c>
      <c r="AF45" s="345" t="e">
        <f t="shared" si="15"/>
        <v>#REF!</v>
      </c>
      <c r="AG45" s="340" t="e">
        <f t="shared" si="34"/>
        <v>#REF!</v>
      </c>
      <c r="AH45" s="352" t="e">
        <f t="shared" si="19"/>
        <v>#REF!</v>
      </c>
      <c r="AI45" s="352" t="e">
        <f t="shared" si="25"/>
        <v>#REF!</v>
      </c>
      <c r="AJ45" s="352" t="e">
        <f t="shared" si="26"/>
        <v>#REF!</v>
      </c>
      <c r="AK45" s="354" t="e">
        <f t="shared" si="30"/>
        <v>#REF!</v>
      </c>
      <c r="AL45" s="355" t="e">
        <f t="shared" si="27"/>
        <v>#REF!</v>
      </c>
      <c r="AM45" s="356">
        <f t="shared" si="28"/>
        <v>0</v>
      </c>
      <c r="AN45" s="357" t="e">
        <f t="shared" si="32"/>
        <v>#REF!</v>
      </c>
      <c r="AO45" s="338" t="e">
        <f t="shared" si="10"/>
        <v>#REF!</v>
      </c>
      <c r="AP45" s="349">
        <f t="shared" si="38"/>
        <v>0</v>
      </c>
      <c r="AQ45" s="358" t="e">
        <f t="shared" si="35"/>
        <v>#REF!</v>
      </c>
      <c r="AR45" s="358" t="e">
        <f t="shared" si="36"/>
        <v>#REF!</v>
      </c>
      <c r="AS45" s="327">
        <f t="shared" si="33"/>
        <v>20</v>
      </c>
      <c r="AT45" s="58"/>
      <c r="AU45" s="351">
        <f t="shared" si="20"/>
        <v>20</v>
      </c>
      <c r="AV45" s="329" t="e">
        <f t="shared" si="31"/>
        <v>#REF!</v>
      </c>
      <c r="AW45" s="330" t="e">
        <f t="shared" si="3"/>
        <v>#REF!</v>
      </c>
      <c r="AX45" s="330">
        <f t="shared" si="4"/>
        <v>0</v>
      </c>
      <c r="AY45" s="330" t="e">
        <f t="shared" si="4"/>
        <v>#REF!</v>
      </c>
      <c r="AZ45" s="330">
        <f t="shared" si="4"/>
        <v>0</v>
      </c>
      <c r="BA45" s="330">
        <f t="shared" si="4"/>
        <v>0</v>
      </c>
      <c r="BB45" s="330">
        <f t="shared" si="5"/>
        <v>0</v>
      </c>
      <c r="BC45" s="331" t="e">
        <f t="shared" si="6"/>
        <v>#REF!</v>
      </c>
      <c r="BD45" s="329">
        <f t="shared" si="7"/>
        <v>-1000000</v>
      </c>
      <c r="BE45" s="330" t="e">
        <f t="shared" si="8"/>
        <v>#REF!</v>
      </c>
      <c r="BF45" s="330" t="e">
        <f t="shared" si="16"/>
        <v>#REF!</v>
      </c>
      <c r="BG45" s="331" t="e">
        <f t="shared" si="9"/>
        <v>#REF!</v>
      </c>
      <c r="BH45" s="332" t="e">
        <f t="shared" si="11"/>
        <v>#REF!</v>
      </c>
      <c r="BI45" s="333" t="e">
        <f t="shared" si="12"/>
        <v>#REF!</v>
      </c>
      <c r="BJ45" s="334" t="e">
        <f t="shared" si="21"/>
        <v>#REF!</v>
      </c>
      <c r="BK45" s="335" t="e">
        <f t="shared" si="22"/>
        <v>#REF!</v>
      </c>
      <c r="BL45" s="335" t="e">
        <f t="shared" si="1"/>
        <v>#REF!</v>
      </c>
    </row>
    <row r="46" spans="2:64" ht="15.75" customHeight="1">
      <c r="B46" s="310">
        <f t="shared" si="23"/>
        <v>21</v>
      </c>
      <c r="C46" s="311">
        <f t="shared" si="17"/>
        <v>2</v>
      </c>
      <c r="D46" s="312" t="str">
        <f t="shared" si="37"/>
        <v xml:space="preserve">             </v>
      </c>
      <c r="E46" s="340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2"/>
      <c r="Q46" s="352"/>
      <c r="R46" s="352">
        <f t="shared" si="24"/>
        <v>-1000000</v>
      </c>
      <c r="S46" s="352"/>
      <c r="T46" s="352"/>
      <c r="U46" s="352"/>
      <c r="V46" s="352"/>
      <c r="W46" s="331">
        <f t="shared" si="2"/>
        <v>-1000000</v>
      </c>
      <c r="X46" s="352"/>
      <c r="Y46" s="341" t="e">
        <f t="shared" si="14"/>
        <v>#REF!</v>
      </c>
      <c r="Z46" s="341"/>
      <c r="AA46" s="341"/>
      <c r="AB46" s="341"/>
      <c r="AC46" s="359"/>
      <c r="AD46" s="331" t="e">
        <f t="shared" si="29"/>
        <v>#REF!</v>
      </c>
      <c r="AE46" s="345" t="e">
        <f t="shared" si="0"/>
        <v>#REF!</v>
      </c>
      <c r="AF46" s="345" t="e">
        <f t="shared" si="15"/>
        <v>#REF!</v>
      </c>
      <c r="AG46" s="340" t="e">
        <f t="shared" si="34"/>
        <v>#REF!</v>
      </c>
      <c r="AH46" s="352" t="e">
        <f t="shared" si="19"/>
        <v>#REF!</v>
      </c>
      <c r="AI46" s="352" t="e">
        <f t="shared" si="25"/>
        <v>#REF!</v>
      </c>
      <c r="AJ46" s="352" t="e">
        <f t="shared" si="26"/>
        <v>#REF!</v>
      </c>
      <c r="AK46" s="354" t="e">
        <f t="shared" si="30"/>
        <v>#REF!</v>
      </c>
      <c r="AL46" s="355" t="e">
        <f t="shared" si="27"/>
        <v>#REF!</v>
      </c>
      <c r="AM46" s="356">
        <f t="shared" si="28"/>
        <v>0</v>
      </c>
      <c r="AN46" s="357" t="e">
        <f t="shared" si="32"/>
        <v>#REF!</v>
      </c>
      <c r="AO46" s="338" t="e">
        <f t="shared" si="10"/>
        <v>#REF!</v>
      </c>
      <c r="AP46" s="349">
        <f t="shared" si="38"/>
        <v>0</v>
      </c>
      <c r="AQ46" s="358" t="e">
        <f t="shared" si="35"/>
        <v>#REF!</v>
      </c>
      <c r="AR46" s="358" t="e">
        <f t="shared" si="36"/>
        <v>#REF!</v>
      </c>
      <c r="AS46" s="327">
        <f t="shared" si="33"/>
        <v>21</v>
      </c>
      <c r="AT46" s="58"/>
      <c r="AU46" s="351">
        <f t="shared" si="20"/>
        <v>21</v>
      </c>
      <c r="AV46" s="329" t="e">
        <f t="shared" si="31"/>
        <v>#REF!</v>
      </c>
      <c r="AW46" s="330" t="e">
        <f t="shared" si="3"/>
        <v>#REF!</v>
      </c>
      <c r="AX46" s="330">
        <f t="shared" si="4"/>
        <v>0</v>
      </c>
      <c r="AY46" s="330" t="e">
        <f t="shared" si="4"/>
        <v>#REF!</v>
      </c>
      <c r="AZ46" s="330">
        <f t="shared" si="4"/>
        <v>0</v>
      </c>
      <c r="BA46" s="330">
        <f t="shared" si="4"/>
        <v>0</v>
      </c>
      <c r="BB46" s="330">
        <f t="shared" si="5"/>
        <v>0</v>
      </c>
      <c r="BC46" s="331" t="e">
        <f t="shared" si="6"/>
        <v>#REF!</v>
      </c>
      <c r="BD46" s="329">
        <f t="shared" si="7"/>
        <v>-1000000</v>
      </c>
      <c r="BE46" s="330" t="e">
        <f t="shared" si="8"/>
        <v>#REF!</v>
      </c>
      <c r="BF46" s="330" t="e">
        <f t="shared" si="16"/>
        <v>#REF!</v>
      </c>
      <c r="BG46" s="331" t="e">
        <f t="shared" si="9"/>
        <v>#REF!</v>
      </c>
      <c r="BH46" s="332" t="e">
        <f t="shared" si="11"/>
        <v>#REF!</v>
      </c>
      <c r="BI46" s="333" t="e">
        <f t="shared" si="12"/>
        <v>#REF!</v>
      </c>
      <c r="BJ46" s="334" t="e">
        <f t="shared" si="21"/>
        <v>#REF!</v>
      </c>
      <c r="BK46" s="335" t="e">
        <f t="shared" si="22"/>
        <v>#REF!</v>
      </c>
      <c r="BL46" s="335" t="e">
        <f t="shared" si="1"/>
        <v>#REF!</v>
      </c>
    </row>
    <row r="47" spans="2:64" ht="15.75" customHeight="1">
      <c r="B47" s="310">
        <f t="shared" si="23"/>
        <v>22</v>
      </c>
      <c r="C47" s="311">
        <f t="shared" si="17"/>
        <v>3</v>
      </c>
      <c r="D47" s="312" t="str">
        <f t="shared" si="37"/>
        <v xml:space="preserve">             </v>
      </c>
      <c r="E47" s="340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  <c r="Q47" s="352"/>
      <c r="R47" s="352">
        <f t="shared" si="24"/>
        <v>-1000000</v>
      </c>
      <c r="S47" s="352"/>
      <c r="T47" s="352"/>
      <c r="U47" s="352"/>
      <c r="V47" s="352"/>
      <c r="W47" s="331">
        <f t="shared" si="2"/>
        <v>-1000000</v>
      </c>
      <c r="X47" s="352"/>
      <c r="Y47" s="341" t="e">
        <f t="shared" si="14"/>
        <v>#REF!</v>
      </c>
      <c r="Z47" s="341"/>
      <c r="AA47" s="341"/>
      <c r="AB47" s="341"/>
      <c r="AC47" s="359"/>
      <c r="AD47" s="331" t="e">
        <f t="shared" si="29"/>
        <v>#REF!</v>
      </c>
      <c r="AE47" s="345" t="e">
        <f t="shared" si="0"/>
        <v>#REF!</v>
      </c>
      <c r="AF47" s="345" t="e">
        <f t="shared" si="15"/>
        <v>#REF!</v>
      </c>
      <c r="AG47" s="340" t="e">
        <f t="shared" si="34"/>
        <v>#REF!</v>
      </c>
      <c r="AH47" s="352" t="e">
        <f t="shared" si="19"/>
        <v>#REF!</v>
      </c>
      <c r="AI47" s="352" t="e">
        <f t="shared" si="25"/>
        <v>#REF!</v>
      </c>
      <c r="AJ47" s="352" t="e">
        <f t="shared" si="26"/>
        <v>#REF!</v>
      </c>
      <c r="AK47" s="354" t="e">
        <f t="shared" si="30"/>
        <v>#REF!</v>
      </c>
      <c r="AL47" s="355" t="e">
        <f t="shared" si="27"/>
        <v>#REF!</v>
      </c>
      <c r="AM47" s="356">
        <f t="shared" si="28"/>
        <v>0</v>
      </c>
      <c r="AN47" s="357" t="e">
        <f t="shared" si="32"/>
        <v>#REF!</v>
      </c>
      <c r="AO47" s="338" t="e">
        <f t="shared" si="10"/>
        <v>#REF!</v>
      </c>
      <c r="AP47" s="349" t="e">
        <f t="shared" si="38"/>
        <v>#REF!</v>
      </c>
      <c r="AQ47" s="358" t="e">
        <f t="shared" si="35"/>
        <v>#REF!</v>
      </c>
      <c r="AR47" s="358" t="e">
        <f t="shared" si="36"/>
        <v>#REF!</v>
      </c>
      <c r="AS47" s="327">
        <f t="shared" si="33"/>
        <v>22</v>
      </c>
      <c r="AT47" s="58"/>
      <c r="AU47" s="351">
        <f t="shared" si="20"/>
        <v>22</v>
      </c>
      <c r="AV47" s="329" t="e">
        <f t="shared" si="31"/>
        <v>#REF!</v>
      </c>
      <c r="AW47" s="330" t="e">
        <f t="shared" si="3"/>
        <v>#REF!</v>
      </c>
      <c r="AX47" s="330">
        <f t="shared" si="4"/>
        <v>0</v>
      </c>
      <c r="AY47" s="330" t="e">
        <f t="shared" si="4"/>
        <v>#REF!</v>
      </c>
      <c r="AZ47" s="330">
        <f t="shared" si="4"/>
        <v>0</v>
      </c>
      <c r="BA47" s="330">
        <f t="shared" si="4"/>
        <v>0</v>
      </c>
      <c r="BB47" s="330">
        <v>0</v>
      </c>
      <c r="BC47" s="331" t="e">
        <f t="shared" si="6"/>
        <v>#REF!</v>
      </c>
      <c r="BD47" s="329">
        <f t="shared" si="7"/>
        <v>-1000000</v>
      </c>
      <c r="BE47" s="330" t="e">
        <f t="shared" si="8"/>
        <v>#REF!</v>
      </c>
      <c r="BF47" s="330" t="e">
        <f t="shared" si="16"/>
        <v>#REF!</v>
      </c>
      <c r="BG47" s="331" t="e">
        <f t="shared" si="9"/>
        <v>#REF!</v>
      </c>
      <c r="BH47" s="332" t="e">
        <f t="shared" si="11"/>
        <v>#REF!</v>
      </c>
      <c r="BI47" s="333" t="e">
        <f t="shared" si="12"/>
        <v>#REF!</v>
      </c>
      <c r="BJ47" s="334" t="e">
        <f t="shared" si="21"/>
        <v>#REF!</v>
      </c>
      <c r="BK47" s="335" t="e">
        <f t="shared" si="22"/>
        <v>#REF!</v>
      </c>
      <c r="BL47" s="335" t="e">
        <f t="shared" si="1"/>
        <v>#REF!</v>
      </c>
    </row>
    <row r="48" spans="2:64" s="379" customFormat="1" ht="15.75" customHeight="1">
      <c r="B48" s="360">
        <f t="shared" si="23"/>
        <v>23</v>
      </c>
      <c r="C48" s="361">
        <f t="shared" si="17"/>
        <v>4</v>
      </c>
      <c r="D48" s="362" t="str">
        <f t="shared" si="37"/>
        <v xml:space="preserve">             </v>
      </c>
      <c r="E48" s="363"/>
      <c r="F48" s="364"/>
      <c r="G48" s="364"/>
      <c r="H48" s="364"/>
      <c r="I48" s="364"/>
      <c r="J48" s="364"/>
      <c r="K48" s="364"/>
      <c r="L48" s="364"/>
      <c r="M48" s="364"/>
      <c r="N48" s="364"/>
      <c r="O48" s="364">
        <f>O36</f>
        <v>-10000000</v>
      </c>
      <c r="P48" s="364"/>
      <c r="Q48" s="364"/>
      <c r="R48" s="352">
        <f t="shared" si="24"/>
        <v>-1000000</v>
      </c>
      <c r="S48" s="352"/>
      <c r="T48" s="364"/>
      <c r="U48" s="364"/>
      <c r="V48" s="364"/>
      <c r="W48" s="365">
        <f t="shared" si="2"/>
        <v>-11000000</v>
      </c>
      <c r="X48" s="352"/>
      <c r="Y48" s="367" t="e">
        <f t="shared" si="14"/>
        <v>#REF!</v>
      </c>
      <c r="Z48" s="367"/>
      <c r="AA48" s="367"/>
      <c r="AB48" s="367"/>
      <c r="AC48" s="368"/>
      <c r="AD48" s="365" t="e">
        <f t="shared" si="29"/>
        <v>#REF!</v>
      </c>
      <c r="AE48" s="370" t="e">
        <f t="shared" si="0"/>
        <v>#REF!</v>
      </c>
      <c r="AF48" s="370" t="e">
        <f t="shared" si="15"/>
        <v>#REF!</v>
      </c>
      <c r="AG48" s="363" t="e">
        <f t="shared" si="34"/>
        <v>#REF!</v>
      </c>
      <c r="AH48" s="364" t="e">
        <f t="shared" si="19"/>
        <v>#REF!</v>
      </c>
      <c r="AI48" s="364" t="e">
        <f t="shared" si="25"/>
        <v>#REF!</v>
      </c>
      <c r="AJ48" s="364" t="e">
        <f t="shared" si="26"/>
        <v>#REF!</v>
      </c>
      <c r="AK48" s="371" t="e">
        <f t="shared" si="30"/>
        <v>#REF!</v>
      </c>
      <c r="AL48" s="372" t="e">
        <f t="shared" si="27"/>
        <v>#REF!</v>
      </c>
      <c r="AM48" s="373">
        <f t="shared" si="28"/>
        <v>0</v>
      </c>
      <c r="AN48" s="374" t="e">
        <f t="shared" si="32"/>
        <v>#REF!</v>
      </c>
      <c r="AO48" s="375" t="e">
        <f t="shared" si="10"/>
        <v>#REF!</v>
      </c>
      <c r="AP48" s="376">
        <f t="shared" si="38"/>
        <v>0</v>
      </c>
      <c r="AQ48" s="377" t="e">
        <f t="shared" si="35"/>
        <v>#REF!</v>
      </c>
      <c r="AR48" s="377" t="e">
        <f t="shared" si="36"/>
        <v>#REF!</v>
      </c>
      <c r="AS48" s="378">
        <f t="shared" si="33"/>
        <v>23</v>
      </c>
      <c r="AU48" s="380">
        <f t="shared" si="20"/>
        <v>23</v>
      </c>
      <c r="AV48" s="381" t="e">
        <f t="shared" si="31"/>
        <v>#REF!</v>
      </c>
      <c r="AW48" s="382" t="e">
        <f t="shared" si="3"/>
        <v>#REF!</v>
      </c>
      <c r="AX48" s="382">
        <f t="shared" si="4"/>
        <v>0</v>
      </c>
      <c r="AY48" s="382" t="e">
        <f t="shared" si="4"/>
        <v>#REF!</v>
      </c>
      <c r="AZ48" s="382">
        <f t="shared" si="4"/>
        <v>0</v>
      </c>
      <c r="BA48" s="382">
        <f t="shared" si="4"/>
        <v>0</v>
      </c>
      <c r="BB48" s="382">
        <f t="shared" si="5"/>
        <v>0</v>
      </c>
      <c r="BC48" s="365" t="e">
        <f t="shared" si="6"/>
        <v>#REF!</v>
      </c>
      <c r="BD48" s="381">
        <f t="shared" si="7"/>
        <v>-11000000</v>
      </c>
      <c r="BE48" s="382" t="e">
        <f t="shared" si="8"/>
        <v>#REF!</v>
      </c>
      <c r="BF48" s="382" t="e">
        <f t="shared" si="16"/>
        <v>#REF!</v>
      </c>
      <c r="BG48" s="365" t="e">
        <f t="shared" si="9"/>
        <v>#REF!</v>
      </c>
      <c r="BH48" s="383" t="e">
        <f t="shared" si="11"/>
        <v>#REF!</v>
      </c>
      <c r="BI48" s="384" t="e">
        <f t="shared" si="12"/>
        <v>#REF!</v>
      </c>
      <c r="BJ48" s="385" t="e">
        <f t="shared" si="21"/>
        <v>#REF!</v>
      </c>
      <c r="BK48" s="386" t="e">
        <f t="shared" si="22"/>
        <v>#REF!</v>
      </c>
      <c r="BL48" s="386" t="e">
        <f t="shared" si="1"/>
        <v>#REF!</v>
      </c>
    </row>
    <row r="49" spans="2:64" ht="15.75" customHeight="1">
      <c r="B49" s="310">
        <f t="shared" si="23"/>
        <v>24</v>
      </c>
      <c r="C49" s="311">
        <f t="shared" si="17"/>
        <v>5</v>
      </c>
      <c r="D49" s="312" t="str">
        <f t="shared" si="37"/>
        <v xml:space="preserve">             </v>
      </c>
      <c r="E49" s="340"/>
      <c r="F49" s="352"/>
      <c r="G49" s="352"/>
      <c r="H49" s="352"/>
      <c r="I49" s="352"/>
      <c r="J49" s="352"/>
      <c r="K49" s="352"/>
      <c r="L49" s="352"/>
      <c r="M49" s="352"/>
      <c r="N49" s="352"/>
      <c r="P49" s="352"/>
      <c r="Q49" s="352"/>
      <c r="R49" s="352">
        <f t="shared" si="24"/>
        <v>-1000000</v>
      </c>
      <c r="S49" s="352"/>
      <c r="T49" s="352"/>
      <c r="U49" s="352"/>
      <c r="V49" s="352"/>
      <c r="W49" s="331">
        <f t="shared" si="2"/>
        <v>-1000000</v>
      </c>
      <c r="X49" s="352"/>
      <c r="Y49" s="341" t="e">
        <f t="shared" si="14"/>
        <v>#REF!</v>
      </c>
      <c r="Z49" s="341"/>
      <c r="AA49" s="341"/>
      <c r="AB49" s="341"/>
      <c r="AC49" s="359"/>
      <c r="AD49" s="331" t="e">
        <f t="shared" si="29"/>
        <v>#REF!</v>
      </c>
      <c r="AE49" s="345" t="e">
        <f t="shared" si="0"/>
        <v>#REF!</v>
      </c>
      <c r="AF49" s="345" t="e">
        <f t="shared" si="15"/>
        <v>#REF!</v>
      </c>
      <c r="AG49" s="340" t="e">
        <f t="shared" si="34"/>
        <v>#REF!</v>
      </c>
      <c r="AH49" s="352" t="e">
        <f t="shared" si="19"/>
        <v>#REF!</v>
      </c>
      <c r="AI49" s="352" t="e">
        <f t="shared" si="25"/>
        <v>#REF!</v>
      </c>
      <c r="AJ49" s="352" t="e">
        <f t="shared" si="26"/>
        <v>#REF!</v>
      </c>
      <c r="AK49" s="354" t="e">
        <f t="shared" si="30"/>
        <v>#REF!</v>
      </c>
      <c r="AL49" s="355" t="e">
        <f t="shared" si="27"/>
        <v>#REF!</v>
      </c>
      <c r="AM49" s="356">
        <f t="shared" si="28"/>
        <v>0</v>
      </c>
      <c r="AN49" s="357" t="e">
        <f t="shared" si="32"/>
        <v>#REF!</v>
      </c>
      <c r="AO49" s="338" t="e">
        <f t="shared" si="10"/>
        <v>#REF!</v>
      </c>
      <c r="AP49" s="349">
        <f t="shared" si="38"/>
        <v>0</v>
      </c>
      <c r="AQ49" s="358" t="e">
        <f t="shared" si="35"/>
        <v>#REF!</v>
      </c>
      <c r="AR49" s="358" t="e">
        <f t="shared" si="36"/>
        <v>#REF!</v>
      </c>
      <c r="AS49" s="327">
        <f t="shared" si="33"/>
        <v>24</v>
      </c>
      <c r="AT49" s="58"/>
      <c r="AU49" s="351">
        <f t="shared" si="20"/>
        <v>24</v>
      </c>
      <c r="AV49" s="329" t="e">
        <f t="shared" si="31"/>
        <v>#REF!</v>
      </c>
      <c r="AW49" s="330" t="e">
        <f t="shared" si="3"/>
        <v>#REF!</v>
      </c>
      <c r="AX49" s="330">
        <f t="shared" si="4"/>
        <v>0</v>
      </c>
      <c r="AY49" s="330" t="e">
        <f t="shared" si="4"/>
        <v>#REF!</v>
      </c>
      <c r="AZ49" s="330">
        <f t="shared" si="4"/>
        <v>0</v>
      </c>
      <c r="BA49" s="330">
        <f t="shared" si="4"/>
        <v>0</v>
      </c>
      <c r="BB49" s="330">
        <f t="shared" si="5"/>
        <v>0</v>
      </c>
      <c r="BC49" s="331" t="e">
        <f t="shared" si="6"/>
        <v>#REF!</v>
      </c>
      <c r="BD49" s="329">
        <f t="shared" si="7"/>
        <v>-1000000</v>
      </c>
      <c r="BE49" s="330" t="e">
        <f t="shared" si="8"/>
        <v>#REF!</v>
      </c>
      <c r="BF49" s="330" t="e">
        <f t="shared" si="16"/>
        <v>#REF!</v>
      </c>
      <c r="BG49" s="331" t="e">
        <f t="shared" si="9"/>
        <v>#REF!</v>
      </c>
      <c r="BH49" s="332" t="e">
        <f t="shared" si="11"/>
        <v>#REF!</v>
      </c>
      <c r="BI49" s="333" t="e">
        <f t="shared" si="12"/>
        <v>#REF!</v>
      </c>
      <c r="BJ49" s="334" t="e">
        <f t="shared" si="21"/>
        <v>#REF!</v>
      </c>
      <c r="BK49" s="335" t="e">
        <f t="shared" si="22"/>
        <v>#REF!</v>
      </c>
      <c r="BL49" s="335" t="e">
        <f t="shared" si="1"/>
        <v>#REF!</v>
      </c>
    </row>
    <row r="50" spans="2:64" ht="15.75" customHeight="1">
      <c r="B50" s="310">
        <f t="shared" si="23"/>
        <v>25</v>
      </c>
      <c r="C50" s="311">
        <f t="shared" si="17"/>
        <v>6</v>
      </c>
      <c r="D50" s="312" t="str">
        <f>IF($C49=12,$D$49+1,"             ")</f>
        <v xml:space="preserve">             </v>
      </c>
      <c r="E50" s="340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>
        <f t="shared" si="24"/>
        <v>-1000000</v>
      </c>
      <c r="S50" s="352"/>
      <c r="T50" s="352"/>
      <c r="U50" s="352"/>
      <c r="V50" s="352"/>
      <c r="W50" s="331">
        <f t="shared" si="2"/>
        <v>-1000000</v>
      </c>
      <c r="X50" s="352"/>
      <c r="Y50" s="341" t="e">
        <f t="shared" si="14"/>
        <v>#REF!</v>
      </c>
      <c r="Z50" s="341"/>
      <c r="AA50" s="341"/>
      <c r="AB50" s="341"/>
      <c r="AC50" s="359"/>
      <c r="AD50" s="331" t="e">
        <f t="shared" si="29"/>
        <v>#REF!</v>
      </c>
      <c r="AE50" s="345" t="e">
        <f t="shared" si="0"/>
        <v>#REF!</v>
      </c>
      <c r="AF50" s="345" t="e">
        <f t="shared" si="15"/>
        <v>#REF!</v>
      </c>
      <c r="AG50" s="340" t="e">
        <f t="shared" si="34"/>
        <v>#REF!</v>
      </c>
      <c r="AH50" s="352" t="e">
        <f t="shared" si="19"/>
        <v>#REF!</v>
      </c>
      <c r="AI50" s="352" t="e">
        <f t="shared" si="25"/>
        <v>#REF!</v>
      </c>
      <c r="AJ50" s="352" t="e">
        <f t="shared" si="26"/>
        <v>#REF!</v>
      </c>
      <c r="AK50" s="354" t="e">
        <f t="shared" si="30"/>
        <v>#REF!</v>
      </c>
      <c r="AL50" s="355" t="e">
        <f t="shared" si="27"/>
        <v>#REF!</v>
      </c>
      <c r="AM50" s="356">
        <f t="shared" si="28"/>
        <v>0</v>
      </c>
      <c r="AN50" s="357" t="e">
        <f t="shared" si="32"/>
        <v>#REF!</v>
      </c>
      <c r="AO50" s="338" t="e">
        <f t="shared" si="10"/>
        <v>#REF!</v>
      </c>
      <c r="AP50" s="349">
        <f t="shared" si="38"/>
        <v>0</v>
      </c>
      <c r="AQ50" s="358" t="e">
        <f t="shared" si="35"/>
        <v>#REF!</v>
      </c>
      <c r="AR50" s="358" t="e">
        <f t="shared" si="36"/>
        <v>#REF!</v>
      </c>
      <c r="AS50" s="327">
        <f t="shared" si="33"/>
        <v>25</v>
      </c>
      <c r="AT50" s="58"/>
      <c r="AU50" s="351">
        <f t="shared" si="20"/>
        <v>25</v>
      </c>
      <c r="AV50" s="329" t="e">
        <f t="shared" si="31"/>
        <v>#REF!</v>
      </c>
      <c r="AW50" s="330" t="e">
        <f t="shared" si="3"/>
        <v>#REF!</v>
      </c>
      <c r="AX50" s="330">
        <f t="shared" si="4"/>
        <v>0</v>
      </c>
      <c r="AY50" s="330" t="e">
        <f t="shared" si="4"/>
        <v>#REF!</v>
      </c>
      <c r="AZ50" s="330">
        <f t="shared" si="4"/>
        <v>0</v>
      </c>
      <c r="BA50" s="330">
        <f t="shared" si="4"/>
        <v>0</v>
      </c>
      <c r="BB50" s="330">
        <f t="shared" si="5"/>
        <v>0</v>
      </c>
      <c r="BC50" s="331" t="e">
        <f t="shared" si="6"/>
        <v>#REF!</v>
      </c>
      <c r="BD50" s="329">
        <f t="shared" si="7"/>
        <v>-1000000</v>
      </c>
      <c r="BE50" s="330" t="e">
        <f t="shared" si="8"/>
        <v>#REF!</v>
      </c>
      <c r="BF50" s="330" t="e">
        <f t="shared" si="16"/>
        <v>#REF!</v>
      </c>
      <c r="BG50" s="331" t="e">
        <f t="shared" si="9"/>
        <v>#REF!</v>
      </c>
      <c r="BH50" s="332" t="e">
        <f t="shared" si="11"/>
        <v>#REF!</v>
      </c>
      <c r="BI50" s="333" t="e">
        <f t="shared" si="12"/>
        <v>#REF!</v>
      </c>
      <c r="BJ50" s="334" t="e">
        <f t="shared" si="21"/>
        <v>#REF!</v>
      </c>
      <c r="BK50" s="335" t="e">
        <f t="shared" si="22"/>
        <v>#REF!</v>
      </c>
      <c r="BL50" s="335" t="e">
        <f t="shared" si="1"/>
        <v>#REF!</v>
      </c>
    </row>
    <row r="51" spans="2:64" ht="15.75" customHeight="1">
      <c r="B51" s="310">
        <f t="shared" si="23"/>
        <v>26</v>
      </c>
      <c r="C51" s="311">
        <f t="shared" si="17"/>
        <v>7</v>
      </c>
      <c r="D51" s="312" t="str">
        <f t="shared" ref="D51:D61" si="39">IF($C50=12,$D$49+1,"             ")</f>
        <v xml:space="preserve">             </v>
      </c>
      <c r="E51" s="340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>
        <f t="shared" si="24"/>
        <v>-1000000</v>
      </c>
      <c r="S51" s="352"/>
      <c r="T51" s="352"/>
      <c r="U51" s="352"/>
      <c r="V51" s="352"/>
      <c r="W51" s="331">
        <f t="shared" si="2"/>
        <v>-1000000</v>
      </c>
      <c r="X51" s="352"/>
      <c r="Y51" s="341" t="e">
        <f t="shared" si="14"/>
        <v>#REF!</v>
      </c>
      <c r="Z51" s="341"/>
      <c r="AA51" s="341"/>
      <c r="AB51" s="341"/>
      <c r="AC51" s="359"/>
      <c r="AD51" s="331" t="e">
        <f t="shared" si="29"/>
        <v>#REF!</v>
      </c>
      <c r="AE51" s="345" t="e">
        <f t="shared" si="0"/>
        <v>#REF!</v>
      </c>
      <c r="AF51" s="345" t="e">
        <f t="shared" si="15"/>
        <v>#REF!</v>
      </c>
      <c r="AG51" s="340" t="e">
        <f t="shared" si="34"/>
        <v>#REF!</v>
      </c>
      <c r="AH51" s="352" t="e">
        <f t="shared" si="19"/>
        <v>#REF!</v>
      </c>
      <c r="AI51" s="352" t="e">
        <f t="shared" si="25"/>
        <v>#REF!</v>
      </c>
      <c r="AJ51" s="352" t="e">
        <f t="shared" si="26"/>
        <v>#REF!</v>
      </c>
      <c r="AK51" s="354" t="e">
        <f t="shared" si="30"/>
        <v>#REF!</v>
      </c>
      <c r="AL51" s="355" t="e">
        <f t="shared" si="27"/>
        <v>#REF!</v>
      </c>
      <c r="AM51" s="356">
        <f t="shared" si="28"/>
        <v>0</v>
      </c>
      <c r="AN51" s="357" t="e">
        <f t="shared" si="32"/>
        <v>#REF!</v>
      </c>
      <c r="AO51" s="338" t="e">
        <f t="shared" si="10"/>
        <v>#REF!</v>
      </c>
      <c r="AP51" s="349">
        <f>IF($C51=3,SUM(AK37:AK48),0)*-1</f>
        <v>0</v>
      </c>
      <c r="AQ51" s="358" t="e">
        <f t="shared" si="35"/>
        <v>#REF!</v>
      </c>
      <c r="AR51" s="358" t="e">
        <f t="shared" si="36"/>
        <v>#REF!</v>
      </c>
      <c r="AS51" s="327">
        <f t="shared" si="33"/>
        <v>26</v>
      </c>
      <c r="AT51" s="58"/>
      <c r="AU51" s="351">
        <f t="shared" si="20"/>
        <v>26</v>
      </c>
      <c r="AV51" s="329" t="e">
        <f t="shared" si="31"/>
        <v>#REF!</v>
      </c>
      <c r="AW51" s="330" t="e">
        <f t="shared" si="3"/>
        <v>#REF!</v>
      </c>
      <c r="AX51" s="330">
        <f t="shared" si="4"/>
        <v>0</v>
      </c>
      <c r="AY51" s="330" t="e">
        <f t="shared" si="4"/>
        <v>#REF!</v>
      </c>
      <c r="AZ51" s="330">
        <f t="shared" si="4"/>
        <v>0</v>
      </c>
      <c r="BA51" s="330">
        <f t="shared" si="4"/>
        <v>0</v>
      </c>
      <c r="BB51" s="330">
        <f t="shared" si="5"/>
        <v>0</v>
      </c>
      <c r="BC51" s="331" t="e">
        <f t="shared" si="6"/>
        <v>#REF!</v>
      </c>
      <c r="BD51" s="329">
        <f t="shared" si="7"/>
        <v>-1000000</v>
      </c>
      <c r="BE51" s="330" t="e">
        <f t="shared" si="8"/>
        <v>#REF!</v>
      </c>
      <c r="BF51" s="330" t="e">
        <f t="shared" si="16"/>
        <v>#REF!</v>
      </c>
      <c r="BG51" s="331" t="e">
        <f t="shared" si="9"/>
        <v>#REF!</v>
      </c>
      <c r="BH51" s="332" t="e">
        <f t="shared" si="11"/>
        <v>#REF!</v>
      </c>
      <c r="BI51" s="333" t="e">
        <f t="shared" si="12"/>
        <v>#REF!</v>
      </c>
      <c r="BJ51" s="334" t="e">
        <f t="shared" si="21"/>
        <v>#REF!</v>
      </c>
      <c r="BK51" s="335" t="e">
        <f t="shared" si="22"/>
        <v>#REF!</v>
      </c>
      <c r="BL51" s="335" t="e">
        <f t="shared" si="1"/>
        <v>#REF!</v>
      </c>
    </row>
    <row r="52" spans="2:64" ht="15.75" customHeight="1">
      <c r="B52" s="310">
        <f t="shared" si="23"/>
        <v>27</v>
      </c>
      <c r="C52" s="311">
        <f t="shared" si="17"/>
        <v>8</v>
      </c>
      <c r="D52" s="312" t="str">
        <f t="shared" si="39"/>
        <v xml:space="preserve">             </v>
      </c>
      <c r="E52" s="340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2"/>
      <c r="R52" s="352">
        <f t="shared" si="24"/>
        <v>-1000000</v>
      </c>
      <c r="S52" s="352"/>
      <c r="T52" s="352"/>
      <c r="U52" s="352"/>
      <c r="V52" s="352"/>
      <c r="W52" s="331">
        <f t="shared" si="2"/>
        <v>-1000000</v>
      </c>
      <c r="X52" s="352"/>
      <c r="Y52" s="341" t="e">
        <f t="shared" si="14"/>
        <v>#REF!</v>
      </c>
      <c r="Z52" s="341"/>
      <c r="AA52" s="341"/>
      <c r="AB52" s="341"/>
      <c r="AC52" s="359"/>
      <c r="AD52" s="331" t="e">
        <f t="shared" si="29"/>
        <v>#REF!</v>
      </c>
      <c r="AE52" s="345" t="e">
        <f t="shared" si="0"/>
        <v>#REF!</v>
      </c>
      <c r="AF52" s="345" t="e">
        <f t="shared" si="15"/>
        <v>#REF!</v>
      </c>
      <c r="AG52" s="340" t="e">
        <f t="shared" si="34"/>
        <v>#REF!</v>
      </c>
      <c r="AH52" s="352" t="e">
        <f t="shared" si="19"/>
        <v>#REF!</v>
      </c>
      <c r="AI52" s="352" t="e">
        <f t="shared" si="25"/>
        <v>#REF!</v>
      </c>
      <c r="AJ52" s="352" t="e">
        <f t="shared" si="26"/>
        <v>#REF!</v>
      </c>
      <c r="AK52" s="354" t="e">
        <f t="shared" si="30"/>
        <v>#REF!</v>
      </c>
      <c r="AL52" s="355" t="e">
        <f t="shared" si="27"/>
        <v>#REF!</v>
      </c>
      <c r="AM52" s="356">
        <f t="shared" si="28"/>
        <v>0</v>
      </c>
      <c r="AN52" s="357" t="e">
        <f t="shared" si="32"/>
        <v>#REF!</v>
      </c>
      <c r="AO52" s="338" t="e">
        <f t="shared" si="10"/>
        <v>#REF!</v>
      </c>
      <c r="AP52" s="349">
        <f t="shared" si="38"/>
        <v>0</v>
      </c>
      <c r="AQ52" s="358" t="e">
        <f t="shared" si="35"/>
        <v>#REF!</v>
      </c>
      <c r="AR52" s="358" t="e">
        <f t="shared" si="36"/>
        <v>#REF!</v>
      </c>
      <c r="AS52" s="327">
        <f t="shared" si="33"/>
        <v>27</v>
      </c>
      <c r="AT52" s="58"/>
      <c r="AU52" s="351">
        <f t="shared" si="20"/>
        <v>27</v>
      </c>
      <c r="AV52" s="329" t="e">
        <f t="shared" si="31"/>
        <v>#REF!</v>
      </c>
      <c r="AW52" s="330" t="e">
        <f t="shared" si="3"/>
        <v>#REF!</v>
      </c>
      <c r="AX52" s="330">
        <f t="shared" si="4"/>
        <v>0</v>
      </c>
      <c r="AY52" s="330" t="e">
        <f t="shared" si="4"/>
        <v>#REF!</v>
      </c>
      <c r="AZ52" s="330">
        <f t="shared" si="4"/>
        <v>0</v>
      </c>
      <c r="BA52" s="330">
        <f t="shared" si="4"/>
        <v>0</v>
      </c>
      <c r="BB52" s="330">
        <f t="shared" si="5"/>
        <v>0</v>
      </c>
      <c r="BC52" s="331" t="e">
        <f t="shared" si="6"/>
        <v>#REF!</v>
      </c>
      <c r="BD52" s="329">
        <f t="shared" si="7"/>
        <v>-1000000</v>
      </c>
      <c r="BE52" s="330" t="e">
        <f t="shared" si="8"/>
        <v>#REF!</v>
      </c>
      <c r="BF52" s="330" t="e">
        <f t="shared" si="16"/>
        <v>#REF!</v>
      </c>
      <c r="BG52" s="331" t="e">
        <f t="shared" si="9"/>
        <v>#REF!</v>
      </c>
      <c r="BH52" s="332" t="e">
        <f t="shared" si="11"/>
        <v>#REF!</v>
      </c>
      <c r="BI52" s="333" t="e">
        <f t="shared" si="12"/>
        <v>#REF!</v>
      </c>
      <c r="BJ52" s="334" t="e">
        <f t="shared" si="21"/>
        <v>#REF!</v>
      </c>
      <c r="BK52" s="335" t="e">
        <f t="shared" si="22"/>
        <v>#REF!</v>
      </c>
      <c r="BL52" s="335" t="e">
        <f t="shared" si="1"/>
        <v>#REF!</v>
      </c>
    </row>
    <row r="53" spans="2:64" ht="15.75" customHeight="1">
      <c r="B53" s="310">
        <f t="shared" si="23"/>
        <v>28</v>
      </c>
      <c r="C53" s="311">
        <f t="shared" si="17"/>
        <v>9</v>
      </c>
      <c r="D53" s="312" t="str">
        <f t="shared" si="39"/>
        <v xml:space="preserve">             </v>
      </c>
      <c r="E53" s="340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/>
      <c r="Q53" s="352"/>
      <c r="R53" s="352">
        <f t="shared" si="24"/>
        <v>-1000000</v>
      </c>
      <c r="S53" s="352"/>
      <c r="T53" s="352"/>
      <c r="U53" s="352"/>
      <c r="V53" s="352"/>
      <c r="W53" s="331">
        <f t="shared" si="2"/>
        <v>-1000000</v>
      </c>
      <c r="X53" s="352"/>
      <c r="Y53" s="341" t="e">
        <f t="shared" si="14"/>
        <v>#REF!</v>
      </c>
      <c r="Z53" s="341"/>
      <c r="AA53" s="341"/>
      <c r="AB53" s="341"/>
      <c r="AC53" s="359"/>
      <c r="AD53" s="331" t="e">
        <f t="shared" si="29"/>
        <v>#REF!</v>
      </c>
      <c r="AE53" s="345" t="e">
        <f t="shared" si="0"/>
        <v>#REF!</v>
      </c>
      <c r="AF53" s="345" t="e">
        <f t="shared" si="15"/>
        <v>#REF!</v>
      </c>
      <c r="AG53" s="340" t="e">
        <f t="shared" si="34"/>
        <v>#REF!</v>
      </c>
      <c r="AH53" s="352" t="e">
        <f t="shared" si="19"/>
        <v>#REF!</v>
      </c>
      <c r="AI53" s="352" t="e">
        <f t="shared" si="25"/>
        <v>#REF!</v>
      </c>
      <c r="AJ53" s="352" t="e">
        <f t="shared" si="26"/>
        <v>#REF!</v>
      </c>
      <c r="AK53" s="354" t="e">
        <f t="shared" si="30"/>
        <v>#REF!</v>
      </c>
      <c r="AL53" s="355" t="e">
        <f t="shared" si="27"/>
        <v>#REF!</v>
      </c>
      <c r="AM53" s="356">
        <f t="shared" si="28"/>
        <v>0</v>
      </c>
      <c r="AN53" s="357" t="e">
        <f t="shared" si="32"/>
        <v>#REF!</v>
      </c>
      <c r="AO53" s="338" t="e">
        <f t="shared" si="10"/>
        <v>#REF!</v>
      </c>
      <c r="AP53" s="349">
        <f t="shared" si="38"/>
        <v>0</v>
      </c>
      <c r="AQ53" s="358" t="e">
        <f t="shared" si="35"/>
        <v>#REF!</v>
      </c>
      <c r="AR53" s="358" t="e">
        <f t="shared" si="36"/>
        <v>#REF!</v>
      </c>
      <c r="AS53" s="327">
        <f t="shared" si="33"/>
        <v>28</v>
      </c>
      <c r="AT53" s="58"/>
      <c r="AU53" s="351">
        <f t="shared" si="20"/>
        <v>28</v>
      </c>
      <c r="AV53" s="329" t="e">
        <f t="shared" si="31"/>
        <v>#REF!</v>
      </c>
      <c r="AW53" s="330" t="e">
        <f t="shared" si="3"/>
        <v>#REF!</v>
      </c>
      <c r="AX53" s="330">
        <f t="shared" si="4"/>
        <v>0</v>
      </c>
      <c r="AY53" s="330" t="e">
        <f t="shared" si="4"/>
        <v>#REF!</v>
      </c>
      <c r="AZ53" s="330">
        <f t="shared" si="4"/>
        <v>0</v>
      </c>
      <c r="BA53" s="330">
        <f t="shared" si="4"/>
        <v>0</v>
      </c>
      <c r="BB53" s="330">
        <f t="shared" si="5"/>
        <v>0</v>
      </c>
      <c r="BC53" s="331" t="e">
        <f t="shared" si="6"/>
        <v>#REF!</v>
      </c>
      <c r="BD53" s="329">
        <f t="shared" si="7"/>
        <v>-1000000</v>
      </c>
      <c r="BE53" s="330" t="e">
        <f t="shared" si="8"/>
        <v>#REF!</v>
      </c>
      <c r="BF53" s="330" t="e">
        <f t="shared" si="16"/>
        <v>#REF!</v>
      </c>
      <c r="BG53" s="331" t="e">
        <f t="shared" si="9"/>
        <v>#REF!</v>
      </c>
      <c r="BH53" s="332" t="e">
        <f t="shared" si="11"/>
        <v>#REF!</v>
      </c>
      <c r="BI53" s="333" t="e">
        <f t="shared" si="12"/>
        <v>#REF!</v>
      </c>
      <c r="BJ53" s="334" t="e">
        <f t="shared" si="21"/>
        <v>#REF!</v>
      </c>
      <c r="BK53" s="335" t="e">
        <f t="shared" si="22"/>
        <v>#REF!</v>
      </c>
      <c r="BL53" s="335" t="e">
        <f t="shared" si="1"/>
        <v>#REF!</v>
      </c>
    </row>
    <row r="54" spans="2:64" ht="15.75" customHeight="1">
      <c r="B54" s="310">
        <f t="shared" si="23"/>
        <v>29</v>
      </c>
      <c r="C54" s="311">
        <f t="shared" si="17"/>
        <v>10</v>
      </c>
      <c r="D54" s="312" t="str">
        <f t="shared" si="39"/>
        <v xml:space="preserve">             </v>
      </c>
      <c r="E54" s="340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>
        <f t="shared" si="24"/>
        <v>-1000000</v>
      </c>
      <c r="S54" s="352"/>
      <c r="T54" s="352"/>
      <c r="U54" s="352"/>
      <c r="V54" s="352"/>
      <c r="W54" s="331">
        <f t="shared" si="2"/>
        <v>-1000000</v>
      </c>
      <c r="X54" s="352"/>
      <c r="Y54" s="341" t="e">
        <f t="shared" si="14"/>
        <v>#REF!</v>
      </c>
      <c r="Z54" s="341"/>
      <c r="AA54" s="341"/>
      <c r="AB54" s="341"/>
      <c r="AC54" s="359"/>
      <c r="AD54" s="331" t="e">
        <f t="shared" si="29"/>
        <v>#REF!</v>
      </c>
      <c r="AE54" s="345" t="e">
        <f t="shared" si="0"/>
        <v>#REF!</v>
      </c>
      <c r="AF54" s="345" t="e">
        <f t="shared" si="15"/>
        <v>#REF!</v>
      </c>
      <c r="AG54" s="340" t="e">
        <f t="shared" si="34"/>
        <v>#REF!</v>
      </c>
      <c r="AH54" s="352" t="e">
        <f t="shared" si="19"/>
        <v>#REF!</v>
      </c>
      <c r="AI54" s="352" t="e">
        <f t="shared" si="25"/>
        <v>#REF!</v>
      </c>
      <c r="AJ54" s="352" t="e">
        <f t="shared" si="26"/>
        <v>#REF!</v>
      </c>
      <c r="AK54" s="354" t="e">
        <f t="shared" si="30"/>
        <v>#REF!</v>
      </c>
      <c r="AL54" s="355" t="e">
        <f t="shared" si="27"/>
        <v>#REF!</v>
      </c>
      <c r="AM54" s="356">
        <f t="shared" si="28"/>
        <v>0</v>
      </c>
      <c r="AN54" s="357" t="e">
        <f t="shared" si="32"/>
        <v>#REF!</v>
      </c>
      <c r="AO54" s="338" t="e">
        <f t="shared" si="10"/>
        <v>#REF!</v>
      </c>
      <c r="AP54" s="349">
        <f t="shared" si="38"/>
        <v>0</v>
      </c>
      <c r="AQ54" s="358" t="e">
        <f t="shared" si="35"/>
        <v>#REF!</v>
      </c>
      <c r="AR54" s="358" t="e">
        <f t="shared" si="36"/>
        <v>#REF!</v>
      </c>
      <c r="AS54" s="327">
        <f t="shared" si="33"/>
        <v>29</v>
      </c>
      <c r="AT54" s="58"/>
      <c r="AU54" s="351">
        <f t="shared" si="20"/>
        <v>29</v>
      </c>
      <c r="AV54" s="329" t="e">
        <f t="shared" si="31"/>
        <v>#REF!</v>
      </c>
      <c r="AW54" s="330" t="e">
        <f t="shared" si="3"/>
        <v>#REF!</v>
      </c>
      <c r="AX54" s="330">
        <f t="shared" si="4"/>
        <v>0</v>
      </c>
      <c r="AY54" s="330" t="e">
        <f t="shared" si="4"/>
        <v>#REF!</v>
      </c>
      <c r="AZ54" s="330">
        <f t="shared" si="4"/>
        <v>0</v>
      </c>
      <c r="BA54" s="330">
        <f t="shared" si="4"/>
        <v>0</v>
      </c>
      <c r="BB54" s="330">
        <f t="shared" si="5"/>
        <v>0</v>
      </c>
      <c r="BC54" s="331" t="e">
        <f t="shared" si="6"/>
        <v>#REF!</v>
      </c>
      <c r="BD54" s="329">
        <f t="shared" si="7"/>
        <v>-1000000</v>
      </c>
      <c r="BE54" s="330" t="e">
        <f t="shared" si="8"/>
        <v>#REF!</v>
      </c>
      <c r="BF54" s="330" t="e">
        <f t="shared" si="16"/>
        <v>#REF!</v>
      </c>
      <c r="BG54" s="331" t="e">
        <f t="shared" si="9"/>
        <v>#REF!</v>
      </c>
      <c r="BH54" s="332" t="e">
        <f t="shared" si="11"/>
        <v>#REF!</v>
      </c>
      <c r="BI54" s="333" t="e">
        <f t="shared" si="12"/>
        <v>#REF!</v>
      </c>
      <c r="BJ54" s="334" t="e">
        <f t="shared" si="21"/>
        <v>#REF!</v>
      </c>
      <c r="BK54" s="335" t="e">
        <f t="shared" si="22"/>
        <v>#REF!</v>
      </c>
      <c r="BL54" s="335" t="e">
        <f t="shared" si="1"/>
        <v>#REF!</v>
      </c>
    </row>
    <row r="55" spans="2:64" ht="15.75" customHeight="1">
      <c r="B55" s="310">
        <f t="shared" si="23"/>
        <v>30</v>
      </c>
      <c r="C55" s="311">
        <f t="shared" si="17"/>
        <v>11</v>
      </c>
      <c r="D55" s="312" t="str">
        <f t="shared" si="39"/>
        <v xml:space="preserve">             </v>
      </c>
      <c r="E55" s="340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>
        <f t="shared" si="24"/>
        <v>-1000000</v>
      </c>
      <c r="S55" s="352"/>
      <c r="T55" s="352"/>
      <c r="U55" s="352"/>
      <c r="V55" s="352"/>
      <c r="W55" s="331">
        <f t="shared" si="2"/>
        <v>-1000000</v>
      </c>
      <c r="X55" s="352"/>
      <c r="Y55" s="341" t="e">
        <f t="shared" si="14"/>
        <v>#REF!</v>
      </c>
      <c r="Z55" s="341"/>
      <c r="AA55" s="341"/>
      <c r="AB55" s="341"/>
      <c r="AC55" s="359"/>
      <c r="AD55" s="331" t="e">
        <f t="shared" si="29"/>
        <v>#REF!</v>
      </c>
      <c r="AE55" s="345" t="e">
        <f t="shared" si="0"/>
        <v>#REF!</v>
      </c>
      <c r="AF55" s="345" t="e">
        <f t="shared" si="15"/>
        <v>#REF!</v>
      </c>
      <c r="AG55" s="340" t="e">
        <f t="shared" si="34"/>
        <v>#REF!</v>
      </c>
      <c r="AH55" s="352" t="e">
        <f t="shared" si="19"/>
        <v>#REF!</v>
      </c>
      <c r="AI55" s="352" t="e">
        <f t="shared" si="25"/>
        <v>#REF!</v>
      </c>
      <c r="AJ55" s="352" t="e">
        <f t="shared" si="26"/>
        <v>#REF!</v>
      </c>
      <c r="AK55" s="354" t="e">
        <f t="shared" si="30"/>
        <v>#REF!</v>
      </c>
      <c r="AL55" s="355" t="e">
        <f t="shared" si="27"/>
        <v>#REF!</v>
      </c>
      <c r="AM55" s="356">
        <f t="shared" si="28"/>
        <v>0</v>
      </c>
      <c r="AN55" s="357" t="e">
        <f t="shared" si="32"/>
        <v>#REF!</v>
      </c>
      <c r="AO55" s="338" t="e">
        <f t="shared" si="10"/>
        <v>#REF!</v>
      </c>
      <c r="AP55" s="349">
        <f t="shared" si="38"/>
        <v>0</v>
      </c>
      <c r="AQ55" s="358" t="e">
        <f t="shared" si="35"/>
        <v>#REF!</v>
      </c>
      <c r="AR55" s="358" t="e">
        <f t="shared" si="36"/>
        <v>#REF!</v>
      </c>
      <c r="AS55" s="327">
        <f t="shared" si="33"/>
        <v>30</v>
      </c>
      <c r="AT55" s="58"/>
      <c r="AU55" s="351">
        <f t="shared" si="20"/>
        <v>30</v>
      </c>
      <c r="AV55" s="329" t="e">
        <f t="shared" si="31"/>
        <v>#REF!</v>
      </c>
      <c r="AW55" s="330" t="e">
        <f t="shared" si="3"/>
        <v>#REF!</v>
      </c>
      <c r="AX55" s="330">
        <f t="shared" si="4"/>
        <v>0</v>
      </c>
      <c r="AY55" s="330" t="e">
        <f t="shared" si="4"/>
        <v>#REF!</v>
      </c>
      <c r="AZ55" s="330">
        <f t="shared" si="4"/>
        <v>0</v>
      </c>
      <c r="BA55" s="330">
        <f t="shared" si="4"/>
        <v>0</v>
      </c>
      <c r="BB55" s="330">
        <f t="shared" si="5"/>
        <v>0</v>
      </c>
      <c r="BC55" s="331" t="e">
        <f t="shared" si="6"/>
        <v>#REF!</v>
      </c>
      <c r="BD55" s="329">
        <f t="shared" si="7"/>
        <v>-1000000</v>
      </c>
      <c r="BE55" s="330" t="e">
        <f t="shared" si="8"/>
        <v>#REF!</v>
      </c>
      <c r="BF55" s="330" t="e">
        <f t="shared" si="16"/>
        <v>#REF!</v>
      </c>
      <c r="BG55" s="331" t="e">
        <f t="shared" si="9"/>
        <v>#REF!</v>
      </c>
      <c r="BH55" s="332" t="e">
        <f t="shared" si="11"/>
        <v>#REF!</v>
      </c>
      <c r="BI55" s="333" t="e">
        <f t="shared" si="12"/>
        <v>#REF!</v>
      </c>
      <c r="BJ55" s="334" t="e">
        <f t="shared" si="21"/>
        <v>#REF!</v>
      </c>
      <c r="BK55" s="335" t="e">
        <f t="shared" si="22"/>
        <v>#REF!</v>
      </c>
      <c r="BL55" s="335" t="e">
        <f t="shared" si="1"/>
        <v>#REF!</v>
      </c>
    </row>
    <row r="56" spans="2:64" ht="15.75" customHeight="1">
      <c r="B56" s="310">
        <f t="shared" si="23"/>
        <v>31</v>
      </c>
      <c r="C56" s="311">
        <f t="shared" si="17"/>
        <v>12</v>
      </c>
      <c r="D56" s="312" t="str">
        <f t="shared" si="39"/>
        <v xml:space="preserve">             </v>
      </c>
      <c r="E56" s="340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>
        <f t="shared" si="24"/>
        <v>-1000000</v>
      </c>
      <c r="S56" s="352"/>
      <c r="T56" s="352"/>
      <c r="U56" s="352"/>
      <c r="V56" s="352"/>
      <c r="W56" s="331">
        <f t="shared" si="2"/>
        <v>-1000000</v>
      </c>
      <c r="X56" s="352"/>
      <c r="Y56" s="341" t="e">
        <f t="shared" si="14"/>
        <v>#REF!</v>
      </c>
      <c r="Z56" s="341"/>
      <c r="AA56" s="341"/>
      <c r="AB56" s="341"/>
      <c r="AC56" s="359"/>
      <c r="AD56" s="331" t="e">
        <f t="shared" si="29"/>
        <v>#REF!</v>
      </c>
      <c r="AE56" s="345" t="e">
        <f t="shared" si="0"/>
        <v>#REF!</v>
      </c>
      <c r="AF56" s="345" t="e">
        <f t="shared" si="15"/>
        <v>#REF!</v>
      </c>
      <c r="AG56" s="340" t="e">
        <f t="shared" si="34"/>
        <v>#REF!</v>
      </c>
      <c r="AH56" s="352" t="e">
        <f t="shared" si="19"/>
        <v>#REF!</v>
      </c>
      <c r="AI56" s="352" t="e">
        <f t="shared" si="25"/>
        <v>#REF!</v>
      </c>
      <c r="AJ56" s="352" t="e">
        <f t="shared" si="26"/>
        <v>#REF!</v>
      </c>
      <c r="AK56" s="354" t="e">
        <f t="shared" si="30"/>
        <v>#REF!</v>
      </c>
      <c r="AL56" s="355" t="e">
        <f t="shared" si="27"/>
        <v>#REF!</v>
      </c>
      <c r="AM56" s="356">
        <f t="shared" si="28"/>
        <v>0</v>
      </c>
      <c r="AN56" s="357" t="e">
        <f t="shared" si="32"/>
        <v>#REF!</v>
      </c>
      <c r="AO56" s="338" t="e">
        <f t="shared" si="10"/>
        <v>#REF!</v>
      </c>
      <c r="AP56" s="349">
        <f t="shared" si="38"/>
        <v>0</v>
      </c>
      <c r="AQ56" s="358" t="e">
        <f t="shared" si="35"/>
        <v>#REF!</v>
      </c>
      <c r="AR56" s="358" t="e">
        <f t="shared" si="36"/>
        <v>#REF!</v>
      </c>
      <c r="AS56" s="327">
        <f t="shared" si="33"/>
        <v>31</v>
      </c>
      <c r="AT56" s="58"/>
      <c r="AU56" s="351">
        <f t="shared" si="20"/>
        <v>31</v>
      </c>
      <c r="AV56" s="329" t="e">
        <f t="shared" si="31"/>
        <v>#REF!</v>
      </c>
      <c r="AW56" s="330" t="e">
        <f t="shared" si="3"/>
        <v>#REF!</v>
      </c>
      <c r="AX56" s="330">
        <f t="shared" si="4"/>
        <v>0</v>
      </c>
      <c r="AY56" s="330" t="e">
        <f t="shared" si="4"/>
        <v>#REF!</v>
      </c>
      <c r="AZ56" s="330">
        <f t="shared" si="4"/>
        <v>0</v>
      </c>
      <c r="BA56" s="330">
        <f t="shared" si="4"/>
        <v>0</v>
      </c>
      <c r="BB56" s="330">
        <f t="shared" si="5"/>
        <v>0</v>
      </c>
      <c r="BC56" s="331" t="e">
        <f t="shared" si="6"/>
        <v>#REF!</v>
      </c>
      <c r="BD56" s="329">
        <f t="shared" si="7"/>
        <v>-1000000</v>
      </c>
      <c r="BE56" s="330" t="e">
        <f t="shared" si="8"/>
        <v>#REF!</v>
      </c>
      <c r="BF56" s="330" t="e">
        <f t="shared" si="16"/>
        <v>#REF!</v>
      </c>
      <c r="BG56" s="331" t="e">
        <f t="shared" si="9"/>
        <v>#REF!</v>
      </c>
      <c r="BH56" s="332" t="e">
        <f t="shared" si="11"/>
        <v>#REF!</v>
      </c>
      <c r="BI56" s="333" t="e">
        <f t="shared" si="12"/>
        <v>#REF!</v>
      </c>
      <c r="BJ56" s="334" t="e">
        <f t="shared" si="21"/>
        <v>#REF!</v>
      </c>
      <c r="BK56" s="335" t="e">
        <f t="shared" si="22"/>
        <v>#REF!</v>
      </c>
      <c r="BL56" s="335" t="e">
        <f t="shared" si="1"/>
        <v>#REF!</v>
      </c>
    </row>
    <row r="57" spans="2:64" ht="15.75" customHeight="1">
      <c r="B57" s="310">
        <f t="shared" si="23"/>
        <v>32</v>
      </c>
      <c r="C57" s="311">
        <f t="shared" si="17"/>
        <v>1</v>
      </c>
      <c r="D57" s="312">
        <f>IF($C56=12,$D$45+1,"             ")</f>
        <v>2021</v>
      </c>
      <c r="E57" s="340"/>
      <c r="F57" s="352"/>
      <c r="G57" s="352"/>
      <c r="H57" s="352"/>
      <c r="I57" s="352"/>
      <c r="J57" s="352"/>
      <c r="K57" s="352"/>
      <c r="L57" s="352"/>
      <c r="M57" s="352"/>
      <c r="N57" s="352"/>
      <c r="O57" s="352"/>
      <c r="P57" s="352"/>
      <c r="Q57" s="352"/>
      <c r="R57" s="352">
        <f t="shared" si="24"/>
        <v>-1000000</v>
      </c>
      <c r="S57" s="352"/>
      <c r="T57" s="352"/>
      <c r="U57" s="352"/>
      <c r="V57" s="352"/>
      <c r="W57" s="331">
        <f t="shared" si="2"/>
        <v>-1000000</v>
      </c>
      <c r="X57" s="352"/>
      <c r="Y57" s="341" t="e">
        <f t="shared" si="14"/>
        <v>#REF!</v>
      </c>
      <c r="Z57" s="341"/>
      <c r="AA57" s="341"/>
      <c r="AB57" s="341"/>
      <c r="AC57" s="359"/>
      <c r="AD57" s="331" t="e">
        <f t="shared" si="29"/>
        <v>#REF!</v>
      </c>
      <c r="AE57" s="345" t="e">
        <f t="shared" si="0"/>
        <v>#REF!</v>
      </c>
      <c r="AF57" s="345" t="e">
        <f t="shared" si="15"/>
        <v>#REF!</v>
      </c>
      <c r="AG57" s="340" t="e">
        <f t="shared" si="34"/>
        <v>#REF!</v>
      </c>
      <c r="AH57" s="352" t="e">
        <f t="shared" si="19"/>
        <v>#REF!</v>
      </c>
      <c r="AI57" s="352" t="e">
        <f t="shared" si="25"/>
        <v>#REF!</v>
      </c>
      <c r="AJ57" s="352" t="e">
        <f t="shared" si="26"/>
        <v>#REF!</v>
      </c>
      <c r="AK57" s="354" t="e">
        <f t="shared" si="30"/>
        <v>#REF!</v>
      </c>
      <c r="AL57" s="355" t="e">
        <f t="shared" si="27"/>
        <v>#REF!</v>
      </c>
      <c r="AM57" s="356">
        <f t="shared" si="28"/>
        <v>0</v>
      </c>
      <c r="AN57" s="357" t="e">
        <f t="shared" si="32"/>
        <v>#REF!</v>
      </c>
      <c r="AO57" s="338" t="e">
        <f t="shared" si="10"/>
        <v>#REF!</v>
      </c>
      <c r="AP57" s="349">
        <f t="shared" si="38"/>
        <v>0</v>
      </c>
      <c r="AQ57" s="358" t="e">
        <f t="shared" si="35"/>
        <v>#REF!</v>
      </c>
      <c r="AR57" s="358" t="e">
        <f t="shared" si="36"/>
        <v>#REF!</v>
      </c>
      <c r="AS57" s="327">
        <f t="shared" si="33"/>
        <v>32</v>
      </c>
      <c r="AT57" s="58"/>
      <c r="AU57" s="351">
        <f t="shared" si="20"/>
        <v>32</v>
      </c>
      <c r="AV57" s="329" t="e">
        <f t="shared" si="31"/>
        <v>#REF!</v>
      </c>
      <c r="AW57" s="330" t="e">
        <f t="shared" si="3"/>
        <v>#REF!</v>
      </c>
      <c r="AX57" s="330">
        <f t="shared" si="4"/>
        <v>0</v>
      </c>
      <c r="AY57" s="330" t="e">
        <f t="shared" si="4"/>
        <v>#REF!</v>
      </c>
      <c r="AZ57" s="330">
        <f t="shared" si="4"/>
        <v>0</v>
      </c>
      <c r="BA57" s="330">
        <f t="shared" si="4"/>
        <v>0</v>
      </c>
      <c r="BB57" s="330">
        <f t="shared" si="5"/>
        <v>0</v>
      </c>
      <c r="BC57" s="331" t="e">
        <f t="shared" si="6"/>
        <v>#REF!</v>
      </c>
      <c r="BD57" s="329">
        <f t="shared" si="7"/>
        <v>-1000000</v>
      </c>
      <c r="BE57" s="330" t="e">
        <f t="shared" si="8"/>
        <v>#REF!</v>
      </c>
      <c r="BF57" s="330" t="e">
        <f t="shared" si="16"/>
        <v>#REF!</v>
      </c>
      <c r="BG57" s="331" t="e">
        <f t="shared" si="9"/>
        <v>#REF!</v>
      </c>
      <c r="BH57" s="332" t="e">
        <f t="shared" si="11"/>
        <v>#REF!</v>
      </c>
      <c r="BI57" s="333" t="e">
        <f t="shared" si="12"/>
        <v>#REF!</v>
      </c>
      <c r="BJ57" s="334" t="e">
        <f t="shared" si="21"/>
        <v>#REF!</v>
      </c>
      <c r="BK57" s="335" t="e">
        <f t="shared" si="22"/>
        <v>#REF!</v>
      </c>
      <c r="BL57" s="335" t="e">
        <f t="shared" si="1"/>
        <v>#REF!</v>
      </c>
    </row>
    <row r="58" spans="2:64" ht="15.75" customHeight="1">
      <c r="B58" s="310">
        <f t="shared" si="23"/>
        <v>33</v>
      </c>
      <c r="C58" s="311">
        <f t="shared" si="17"/>
        <v>2</v>
      </c>
      <c r="D58" s="312" t="str">
        <f t="shared" si="39"/>
        <v xml:space="preserve">             </v>
      </c>
      <c r="E58" s="340"/>
      <c r="F58" s="352"/>
      <c r="G58" s="352"/>
      <c r="H58" s="352"/>
      <c r="I58" s="352"/>
      <c r="J58" s="352"/>
      <c r="K58" s="352"/>
      <c r="L58" s="352"/>
      <c r="M58" s="352"/>
      <c r="N58" s="352"/>
      <c r="O58" s="352"/>
      <c r="P58" s="352"/>
      <c r="Q58" s="352"/>
      <c r="R58" s="352">
        <f t="shared" si="24"/>
        <v>-1000000</v>
      </c>
      <c r="S58" s="352"/>
      <c r="T58" s="352"/>
      <c r="U58" s="352"/>
      <c r="V58" s="352"/>
      <c r="W58" s="331">
        <f t="shared" si="2"/>
        <v>-1000000</v>
      </c>
      <c r="X58" s="352"/>
      <c r="Y58" s="341" t="e">
        <f t="shared" si="14"/>
        <v>#REF!</v>
      </c>
      <c r="Z58" s="341"/>
      <c r="AA58" s="341"/>
      <c r="AB58" s="341"/>
      <c r="AC58" s="359"/>
      <c r="AD58" s="331" t="e">
        <f t="shared" si="29"/>
        <v>#REF!</v>
      </c>
      <c r="AE58" s="345" t="e">
        <f t="shared" si="0"/>
        <v>#REF!</v>
      </c>
      <c r="AF58" s="345" t="e">
        <f t="shared" si="15"/>
        <v>#REF!</v>
      </c>
      <c r="AG58" s="340" t="e">
        <f t="shared" si="34"/>
        <v>#REF!</v>
      </c>
      <c r="AH58" s="352" t="e">
        <f t="shared" si="19"/>
        <v>#REF!</v>
      </c>
      <c r="AI58" s="352" t="e">
        <f t="shared" si="25"/>
        <v>#REF!</v>
      </c>
      <c r="AJ58" s="352" t="e">
        <f t="shared" si="26"/>
        <v>#REF!</v>
      </c>
      <c r="AK58" s="354" t="e">
        <f t="shared" si="30"/>
        <v>#REF!</v>
      </c>
      <c r="AL58" s="355" t="e">
        <f t="shared" si="27"/>
        <v>#REF!</v>
      </c>
      <c r="AM58" s="356">
        <f t="shared" si="28"/>
        <v>0</v>
      </c>
      <c r="AN58" s="357" t="e">
        <f t="shared" si="32"/>
        <v>#REF!</v>
      </c>
      <c r="AO58" s="338" t="e">
        <f t="shared" si="10"/>
        <v>#REF!</v>
      </c>
      <c r="AP58" s="349">
        <f t="shared" si="38"/>
        <v>0</v>
      </c>
      <c r="AQ58" s="358" t="e">
        <f t="shared" si="35"/>
        <v>#REF!</v>
      </c>
      <c r="AR58" s="358" t="e">
        <f t="shared" si="36"/>
        <v>#REF!</v>
      </c>
      <c r="AS58" s="327">
        <f t="shared" si="33"/>
        <v>33</v>
      </c>
      <c r="AT58" s="58"/>
      <c r="AU58" s="351">
        <f t="shared" si="20"/>
        <v>33</v>
      </c>
      <c r="AV58" s="329" t="e">
        <f t="shared" si="31"/>
        <v>#REF!</v>
      </c>
      <c r="AW58" s="330" t="e">
        <f t="shared" si="3"/>
        <v>#REF!</v>
      </c>
      <c r="AX58" s="330">
        <f t="shared" si="4"/>
        <v>0</v>
      </c>
      <c r="AY58" s="330" t="e">
        <f t="shared" si="4"/>
        <v>#REF!</v>
      </c>
      <c r="AZ58" s="330">
        <f t="shared" si="4"/>
        <v>0</v>
      </c>
      <c r="BA58" s="330">
        <f t="shared" si="4"/>
        <v>0</v>
      </c>
      <c r="BB58" s="330">
        <f t="shared" si="5"/>
        <v>0</v>
      </c>
      <c r="BC58" s="331" t="e">
        <f t="shared" si="6"/>
        <v>#REF!</v>
      </c>
      <c r="BD58" s="329">
        <f t="shared" si="7"/>
        <v>-1000000</v>
      </c>
      <c r="BE58" s="330" t="e">
        <f t="shared" si="8"/>
        <v>#REF!</v>
      </c>
      <c r="BF58" s="330" t="e">
        <f t="shared" si="16"/>
        <v>#REF!</v>
      </c>
      <c r="BG58" s="331" t="e">
        <f t="shared" si="9"/>
        <v>#REF!</v>
      </c>
      <c r="BH58" s="332" t="e">
        <f t="shared" si="11"/>
        <v>#REF!</v>
      </c>
      <c r="BI58" s="333" t="e">
        <f t="shared" si="12"/>
        <v>#REF!</v>
      </c>
      <c r="BJ58" s="334" t="e">
        <f t="shared" si="21"/>
        <v>#REF!</v>
      </c>
      <c r="BK58" s="335" t="e">
        <f t="shared" si="22"/>
        <v>#REF!</v>
      </c>
      <c r="BL58" s="335" t="e">
        <f t="shared" si="1"/>
        <v>#REF!</v>
      </c>
    </row>
    <row r="59" spans="2:64" ht="15.75" customHeight="1">
      <c r="B59" s="310">
        <f t="shared" si="23"/>
        <v>34</v>
      </c>
      <c r="C59" s="311">
        <f t="shared" si="17"/>
        <v>3</v>
      </c>
      <c r="D59" s="312" t="str">
        <f t="shared" si="39"/>
        <v xml:space="preserve">             </v>
      </c>
      <c r="E59" s="340"/>
      <c r="F59" s="352"/>
      <c r="G59" s="352"/>
      <c r="H59" s="352"/>
      <c r="I59" s="352"/>
      <c r="J59" s="352"/>
      <c r="K59" s="352"/>
      <c r="L59" s="352"/>
      <c r="M59" s="352"/>
      <c r="N59" s="352"/>
      <c r="O59" s="352"/>
      <c r="P59" s="352"/>
      <c r="Q59" s="352"/>
      <c r="R59" s="352">
        <f t="shared" si="24"/>
        <v>-1000000</v>
      </c>
      <c r="S59" s="352"/>
      <c r="T59" s="352"/>
      <c r="U59" s="352"/>
      <c r="V59" s="352"/>
      <c r="W59" s="331">
        <f t="shared" si="2"/>
        <v>-1000000</v>
      </c>
      <c r="X59" s="352"/>
      <c r="Y59" s="341" t="e">
        <f t="shared" si="14"/>
        <v>#REF!</v>
      </c>
      <c r="Z59" s="341"/>
      <c r="AA59" s="341"/>
      <c r="AB59" s="341"/>
      <c r="AC59" s="359"/>
      <c r="AD59" s="331" t="e">
        <f t="shared" si="29"/>
        <v>#REF!</v>
      </c>
      <c r="AE59" s="345" t="e">
        <f t="shared" si="0"/>
        <v>#REF!</v>
      </c>
      <c r="AF59" s="345" t="e">
        <f t="shared" si="15"/>
        <v>#REF!</v>
      </c>
      <c r="AG59" s="340" t="e">
        <f t="shared" si="34"/>
        <v>#REF!</v>
      </c>
      <c r="AH59" s="352" t="e">
        <f t="shared" si="19"/>
        <v>#REF!</v>
      </c>
      <c r="AI59" s="352" t="e">
        <f t="shared" si="25"/>
        <v>#REF!</v>
      </c>
      <c r="AJ59" s="352" t="e">
        <f t="shared" si="26"/>
        <v>#REF!</v>
      </c>
      <c r="AK59" s="354" t="e">
        <f t="shared" si="30"/>
        <v>#REF!</v>
      </c>
      <c r="AL59" s="355" t="e">
        <f t="shared" si="27"/>
        <v>#REF!</v>
      </c>
      <c r="AM59" s="356">
        <f t="shared" si="28"/>
        <v>0</v>
      </c>
      <c r="AN59" s="357" t="e">
        <f t="shared" si="32"/>
        <v>#REF!</v>
      </c>
      <c r="AO59" s="338" t="e">
        <f t="shared" si="10"/>
        <v>#REF!</v>
      </c>
      <c r="AP59" s="349" t="e">
        <f t="shared" si="38"/>
        <v>#REF!</v>
      </c>
      <c r="AQ59" s="358" t="e">
        <f t="shared" si="35"/>
        <v>#REF!</v>
      </c>
      <c r="AR59" s="358" t="e">
        <f t="shared" si="36"/>
        <v>#REF!</v>
      </c>
      <c r="AS59" s="327">
        <f t="shared" si="33"/>
        <v>34</v>
      </c>
      <c r="AT59" s="58"/>
      <c r="AU59" s="351">
        <f t="shared" si="20"/>
        <v>34</v>
      </c>
      <c r="AV59" s="329" t="e">
        <f t="shared" si="31"/>
        <v>#REF!</v>
      </c>
      <c r="AW59" s="330" t="e">
        <f t="shared" si="3"/>
        <v>#REF!</v>
      </c>
      <c r="AX59" s="330">
        <f t="shared" si="4"/>
        <v>0</v>
      </c>
      <c r="AY59" s="330" t="e">
        <f t="shared" si="4"/>
        <v>#REF!</v>
      </c>
      <c r="AZ59" s="330">
        <f t="shared" si="4"/>
        <v>0</v>
      </c>
      <c r="BA59" s="330">
        <f t="shared" si="4"/>
        <v>0</v>
      </c>
      <c r="BB59" s="330">
        <v>0</v>
      </c>
      <c r="BC59" s="331" t="e">
        <f t="shared" si="6"/>
        <v>#REF!</v>
      </c>
      <c r="BD59" s="329">
        <f t="shared" si="7"/>
        <v>-1000000</v>
      </c>
      <c r="BE59" s="330" t="e">
        <f t="shared" si="8"/>
        <v>#REF!</v>
      </c>
      <c r="BF59" s="330" t="e">
        <f t="shared" si="16"/>
        <v>#REF!</v>
      </c>
      <c r="BG59" s="331" t="e">
        <f t="shared" si="9"/>
        <v>#REF!</v>
      </c>
      <c r="BH59" s="332" t="e">
        <f t="shared" si="11"/>
        <v>#REF!</v>
      </c>
      <c r="BI59" s="333" t="e">
        <f t="shared" si="12"/>
        <v>#REF!</v>
      </c>
      <c r="BJ59" s="334" t="e">
        <f t="shared" si="21"/>
        <v>#REF!</v>
      </c>
      <c r="BK59" s="335" t="e">
        <f t="shared" si="22"/>
        <v>#REF!</v>
      </c>
      <c r="BL59" s="335" t="e">
        <f t="shared" si="1"/>
        <v>#REF!</v>
      </c>
    </row>
    <row r="60" spans="2:64" s="379" customFormat="1" ht="15.75" customHeight="1">
      <c r="B60" s="360">
        <f t="shared" si="23"/>
        <v>35</v>
      </c>
      <c r="C60" s="361">
        <f t="shared" si="17"/>
        <v>4</v>
      </c>
      <c r="D60" s="362" t="str">
        <f t="shared" si="39"/>
        <v xml:space="preserve">             </v>
      </c>
      <c r="E60" s="363"/>
      <c r="F60" s="364"/>
      <c r="G60" s="364"/>
      <c r="H60" s="364"/>
      <c r="I60" s="364"/>
      <c r="J60" s="364"/>
      <c r="K60" s="364"/>
      <c r="L60" s="364"/>
      <c r="M60" s="364"/>
      <c r="N60" s="364"/>
      <c r="O60" s="364">
        <f>O48</f>
        <v>-10000000</v>
      </c>
      <c r="P60" s="364"/>
      <c r="Q60" s="364"/>
      <c r="R60" s="352">
        <f t="shared" si="24"/>
        <v>-1000000</v>
      </c>
      <c r="S60" s="352"/>
      <c r="T60" s="364"/>
      <c r="U60" s="364"/>
      <c r="V60" s="364"/>
      <c r="W60" s="365">
        <f t="shared" si="2"/>
        <v>-11000000</v>
      </c>
      <c r="X60" s="352"/>
      <c r="Y60" s="367" t="e">
        <f t="shared" si="14"/>
        <v>#REF!</v>
      </c>
      <c r="Z60" s="367"/>
      <c r="AA60" s="367"/>
      <c r="AB60" s="367"/>
      <c r="AC60" s="368"/>
      <c r="AD60" s="365" t="e">
        <f t="shared" si="29"/>
        <v>#REF!</v>
      </c>
      <c r="AE60" s="370" t="e">
        <f>W60+AD60</f>
        <v>#REF!</v>
      </c>
      <c r="AF60" s="370" t="e">
        <f t="shared" si="15"/>
        <v>#REF!</v>
      </c>
      <c r="AG60" s="363" t="e">
        <f>IF(AS60&lt;=$J$7,AG59,0)</f>
        <v>#REF!</v>
      </c>
      <c r="AH60" s="364" t="e">
        <f t="shared" si="19"/>
        <v>#REF!</v>
      </c>
      <c r="AI60" s="364" t="e">
        <f t="shared" si="25"/>
        <v>#REF!</v>
      </c>
      <c r="AJ60" s="364" t="e">
        <f t="shared" si="26"/>
        <v>#REF!</v>
      </c>
      <c r="AK60" s="371" t="e">
        <f t="shared" si="30"/>
        <v>#REF!</v>
      </c>
      <c r="AL60" s="372" t="e">
        <f t="shared" si="27"/>
        <v>#REF!</v>
      </c>
      <c r="AM60" s="373">
        <f t="shared" si="28"/>
        <v>0</v>
      </c>
      <c r="AN60" s="374" t="e">
        <f t="shared" si="32"/>
        <v>#REF!</v>
      </c>
      <c r="AO60" s="375" t="e">
        <f t="shared" si="10"/>
        <v>#REF!</v>
      </c>
      <c r="AP60" s="376">
        <f t="shared" si="38"/>
        <v>0</v>
      </c>
      <c r="AQ60" s="377" t="e">
        <f t="shared" si="35"/>
        <v>#REF!</v>
      </c>
      <c r="AR60" s="377" t="e">
        <f t="shared" si="36"/>
        <v>#REF!</v>
      </c>
      <c r="AS60" s="378">
        <f t="shared" si="33"/>
        <v>35</v>
      </c>
      <c r="AU60" s="380">
        <f t="shared" si="20"/>
        <v>35</v>
      </c>
      <c r="AV60" s="381" t="e">
        <f t="shared" si="31"/>
        <v>#REF!</v>
      </c>
      <c r="AW60" s="382" t="e">
        <f t="shared" si="3"/>
        <v>#REF!</v>
      </c>
      <c r="AX60" s="382">
        <f t="shared" si="4"/>
        <v>0</v>
      </c>
      <c r="AY60" s="382" t="e">
        <f t="shared" si="4"/>
        <v>#REF!</v>
      </c>
      <c r="AZ60" s="382">
        <f t="shared" si="4"/>
        <v>0</v>
      </c>
      <c r="BA60" s="382">
        <f t="shared" si="4"/>
        <v>0</v>
      </c>
      <c r="BB60" s="382">
        <f t="shared" si="5"/>
        <v>0</v>
      </c>
      <c r="BC60" s="365" t="e">
        <f t="shared" si="6"/>
        <v>#REF!</v>
      </c>
      <c r="BD60" s="381">
        <f t="shared" si="7"/>
        <v>-11000000</v>
      </c>
      <c r="BE60" s="382" t="e">
        <f t="shared" si="8"/>
        <v>#REF!</v>
      </c>
      <c r="BF60" s="382" t="e">
        <f t="shared" si="16"/>
        <v>#REF!</v>
      </c>
      <c r="BG60" s="365" t="e">
        <f t="shared" si="9"/>
        <v>#REF!</v>
      </c>
      <c r="BH60" s="383" t="e">
        <f t="shared" si="11"/>
        <v>#REF!</v>
      </c>
      <c r="BI60" s="384" t="e">
        <f t="shared" si="12"/>
        <v>#REF!</v>
      </c>
      <c r="BJ60" s="385" t="e">
        <f t="shared" si="21"/>
        <v>#REF!</v>
      </c>
      <c r="BK60" s="386" t="e">
        <f t="shared" si="22"/>
        <v>#REF!</v>
      </c>
      <c r="BL60" s="386" t="e">
        <f t="shared" si="1"/>
        <v>#REF!</v>
      </c>
    </row>
    <row r="61" spans="2:64" ht="15.75" customHeight="1">
      <c r="B61" s="310">
        <f t="shared" si="23"/>
        <v>36</v>
      </c>
      <c r="C61" s="311">
        <f t="shared" si="17"/>
        <v>5</v>
      </c>
      <c r="D61" s="312" t="str">
        <f t="shared" si="39"/>
        <v xml:space="preserve">             </v>
      </c>
      <c r="E61" s="340"/>
      <c r="F61" s="352"/>
      <c r="G61" s="352"/>
      <c r="H61" s="352"/>
      <c r="I61" s="352"/>
      <c r="J61" s="352"/>
      <c r="K61" s="352"/>
      <c r="L61" s="352"/>
      <c r="M61" s="352"/>
      <c r="N61" s="352"/>
      <c r="P61" s="352"/>
      <c r="Q61" s="352"/>
      <c r="R61" s="352">
        <f>R60</f>
        <v>-1000000</v>
      </c>
      <c r="S61" s="352"/>
      <c r="T61" s="352"/>
      <c r="U61" s="352"/>
      <c r="V61" s="352"/>
      <c r="W61" s="331">
        <f t="shared" si="2"/>
        <v>-1000000</v>
      </c>
      <c r="X61" s="352"/>
      <c r="Y61" s="341" t="e">
        <f t="shared" si="14"/>
        <v>#REF!</v>
      </c>
      <c r="Z61" s="341"/>
      <c r="AA61" s="341"/>
      <c r="AB61" s="341"/>
      <c r="AC61" s="359"/>
      <c r="AD61" s="331" t="e">
        <f t="shared" si="29"/>
        <v>#REF!</v>
      </c>
      <c r="AE61" s="345" t="e">
        <f t="shared" si="0"/>
        <v>#REF!</v>
      </c>
      <c r="AF61" s="345" t="e">
        <f t="shared" si="15"/>
        <v>#REF!</v>
      </c>
      <c r="AG61" s="340" t="e">
        <f t="shared" si="34"/>
        <v>#REF!</v>
      </c>
      <c r="AH61" s="352" t="e">
        <f t="shared" si="19"/>
        <v>#REF!</v>
      </c>
      <c r="AI61" s="352" t="e">
        <f t="shared" si="25"/>
        <v>#REF!</v>
      </c>
      <c r="AJ61" s="352" t="e">
        <f t="shared" si="26"/>
        <v>#REF!</v>
      </c>
      <c r="AK61" s="354" t="e">
        <f t="shared" si="30"/>
        <v>#REF!</v>
      </c>
      <c r="AL61" s="355" t="e">
        <f t="shared" si="27"/>
        <v>#REF!</v>
      </c>
      <c r="AM61" s="356">
        <f t="shared" si="28"/>
        <v>0</v>
      </c>
      <c r="AN61" s="357" t="e">
        <f t="shared" si="32"/>
        <v>#REF!</v>
      </c>
      <c r="AO61" s="338" t="e">
        <f t="shared" si="10"/>
        <v>#REF!</v>
      </c>
      <c r="AP61" s="349">
        <f t="shared" si="38"/>
        <v>0</v>
      </c>
      <c r="AQ61" s="358" t="e">
        <f t="shared" si="35"/>
        <v>#REF!</v>
      </c>
      <c r="AR61" s="358" t="e">
        <f t="shared" si="36"/>
        <v>#REF!</v>
      </c>
      <c r="AS61" s="327">
        <f t="shared" si="33"/>
        <v>36</v>
      </c>
      <c r="AT61" s="58"/>
      <c r="AU61" s="351">
        <f t="shared" si="20"/>
        <v>36</v>
      </c>
      <c r="AV61" s="329" t="e">
        <f t="shared" si="31"/>
        <v>#REF!</v>
      </c>
      <c r="AW61" s="330" t="e">
        <f t="shared" si="3"/>
        <v>#REF!</v>
      </c>
      <c r="AX61" s="330">
        <f t="shared" si="4"/>
        <v>0</v>
      </c>
      <c r="AY61" s="330" t="e">
        <f t="shared" si="4"/>
        <v>#REF!</v>
      </c>
      <c r="AZ61" s="330">
        <f t="shared" si="4"/>
        <v>0</v>
      </c>
      <c r="BA61" s="330">
        <f t="shared" si="4"/>
        <v>0</v>
      </c>
      <c r="BB61" s="330">
        <f t="shared" si="5"/>
        <v>0</v>
      </c>
      <c r="BC61" s="331" t="e">
        <f t="shared" si="6"/>
        <v>#REF!</v>
      </c>
      <c r="BD61" s="329">
        <f t="shared" si="7"/>
        <v>-1000000</v>
      </c>
      <c r="BE61" s="330" t="e">
        <f t="shared" si="8"/>
        <v>#REF!</v>
      </c>
      <c r="BF61" s="330" t="e">
        <f>BL60*-1</f>
        <v>#REF!</v>
      </c>
      <c r="BG61" s="331" t="e">
        <f t="shared" si="9"/>
        <v>#REF!</v>
      </c>
      <c r="BH61" s="332" t="e">
        <f t="shared" si="11"/>
        <v>#REF!</v>
      </c>
      <c r="BI61" s="333" t="e">
        <f t="shared" si="12"/>
        <v>#REF!</v>
      </c>
      <c r="BJ61" s="334" t="e">
        <f t="shared" si="21"/>
        <v>#REF!</v>
      </c>
      <c r="BK61" s="335" t="e">
        <f t="shared" si="22"/>
        <v>#REF!</v>
      </c>
      <c r="BL61" s="335" t="e">
        <f t="shared" si="1"/>
        <v>#REF!</v>
      </c>
    </row>
    <row r="62" spans="2:64" s="379" customFormat="1" ht="15.75" customHeight="1">
      <c r="B62" s="360">
        <f t="shared" si="23"/>
        <v>37</v>
      </c>
      <c r="C62" s="361">
        <f t="shared" si="17"/>
        <v>6</v>
      </c>
      <c r="D62" s="362" t="str">
        <f>IF($C61=12,$D$61+1,"             ")</f>
        <v xml:space="preserve">             </v>
      </c>
      <c r="E62" s="363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 t="e">
        <f t="shared" ref="R62:R75" si="40">IF($AS62&lt;=$J$7,($V$11)*-1,0)</f>
        <v>#REF!</v>
      </c>
      <c r="S62" s="364" t="e">
        <f t="shared" ref="S62:S90" si="41">IF($V$10&gt;0,0,$R62*10%)</f>
        <v>#REF!</v>
      </c>
      <c r="T62" s="364"/>
      <c r="U62" s="364"/>
      <c r="V62" s="364"/>
      <c r="W62" s="365" t="e">
        <f t="shared" si="2"/>
        <v>#REF!</v>
      </c>
      <c r="X62" s="366" t="e">
        <f t="shared" si="13"/>
        <v>#REF!</v>
      </c>
      <c r="Y62" s="367" t="e">
        <f t="shared" si="14"/>
        <v>#REF!</v>
      </c>
      <c r="Z62" s="367"/>
      <c r="AA62" s="367"/>
      <c r="AB62" s="367"/>
      <c r="AC62" s="368"/>
      <c r="AD62" s="365" t="e">
        <f>SUM(X62:AB62)-Y62-AA62</f>
        <v>#REF!</v>
      </c>
      <c r="AE62" s="370" t="e">
        <f>W62+AD62</f>
        <v>#REF!</v>
      </c>
      <c r="AF62" s="370" t="e">
        <f>PV($G$14/12,$B62,0,$AE62*-1,0)</f>
        <v>#REF!</v>
      </c>
      <c r="AG62" s="363" t="e">
        <f t="shared" si="34"/>
        <v>#REF!</v>
      </c>
      <c r="AH62" s="364" t="e">
        <f t="shared" si="19"/>
        <v>#REF!</v>
      </c>
      <c r="AI62" s="364" t="e">
        <f t="shared" si="25"/>
        <v>#REF!</v>
      </c>
      <c r="AJ62" s="364" t="e">
        <f t="shared" si="26"/>
        <v>#REF!</v>
      </c>
      <c r="AK62" s="371" t="e">
        <f t="shared" si="30"/>
        <v>#REF!</v>
      </c>
      <c r="AL62" s="372" t="e">
        <f>Y62+AA62+AJ62</f>
        <v>#REF!</v>
      </c>
      <c r="AM62" s="373" t="e">
        <f t="shared" si="28"/>
        <v>#REF!</v>
      </c>
      <c r="AN62" s="374" t="e">
        <f t="shared" si="32"/>
        <v>#REF!</v>
      </c>
      <c r="AO62" s="375" t="e">
        <f t="shared" si="10"/>
        <v>#REF!</v>
      </c>
      <c r="AP62" s="376">
        <f t="shared" si="38"/>
        <v>0</v>
      </c>
      <c r="AQ62" s="377" t="e">
        <f t="shared" si="35"/>
        <v>#REF!</v>
      </c>
      <c r="AR62" s="377" t="e">
        <f t="shared" si="36"/>
        <v>#REF!</v>
      </c>
      <c r="AS62" s="378">
        <f t="shared" si="33"/>
        <v>37</v>
      </c>
      <c r="AU62" s="380">
        <f t="shared" si="20"/>
        <v>37</v>
      </c>
      <c r="AV62" s="381" t="e">
        <f t="shared" si="31"/>
        <v>#REF!</v>
      </c>
      <c r="AW62" s="382" t="e">
        <f t="shared" si="3"/>
        <v>#REF!</v>
      </c>
      <c r="AX62" s="382" t="e">
        <f t="shared" si="4"/>
        <v>#REF!</v>
      </c>
      <c r="AY62" s="382" t="e">
        <f t="shared" si="4"/>
        <v>#REF!</v>
      </c>
      <c r="AZ62" s="382">
        <f t="shared" si="4"/>
        <v>0</v>
      </c>
      <c r="BA62" s="382">
        <f t="shared" si="4"/>
        <v>0</v>
      </c>
      <c r="BB62" s="382">
        <f t="shared" si="5"/>
        <v>0</v>
      </c>
      <c r="BC62" s="365" t="e">
        <f t="shared" si="6"/>
        <v>#REF!</v>
      </c>
      <c r="BD62" s="381" t="e">
        <f t="shared" si="7"/>
        <v>#REF!</v>
      </c>
      <c r="BE62" s="382" t="e">
        <f t="shared" si="8"/>
        <v>#REF!</v>
      </c>
      <c r="BF62" s="382" t="e">
        <f t="shared" si="16"/>
        <v>#REF!</v>
      </c>
      <c r="BG62" s="365" t="e">
        <f t="shared" si="9"/>
        <v>#REF!</v>
      </c>
      <c r="BH62" s="383" t="e">
        <f t="shared" si="11"/>
        <v>#REF!</v>
      </c>
      <c r="BI62" s="384" t="e">
        <f t="shared" si="12"/>
        <v>#REF!</v>
      </c>
      <c r="BJ62" s="385" t="e">
        <f t="shared" si="21"/>
        <v>#REF!</v>
      </c>
      <c r="BK62" s="386" t="e">
        <f>IF($BJ62&lt;0,$BJ62*-1,0)</f>
        <v>#REF!</v>
      </c>
      <c r="BL62" s="386" t="e">
        <f t="shared" si="1"/>
        <v>#REF!</v>
      </c>
    </row>
    <row r="63" spans="2:64" ht="15.75" customHeight="1">
      <c r="B63" s="310">
        <f t="shared" si="23"/>
        <v>38</v>
      </c>
      <c r="C63" s="311">
        <f t="shared" si="17"/>
        <v>7</v>
      </c>
      <c r="D63" s="312" t="str">
        <f t="shared" ref="D63:D73" si="42">IF($C62=12,$D$61+1,"             ")</f>
        <v xml:space="preserve">             </v>
      </c>
      <c r="E63" s="340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 t="e">
        <f t="shared" si="40"/>
        <v>#REF!</v>
      </c>
      <c r="S63" s="352" t="e">
        <f t="shared" si="41"/>
        <v>#REF!</v>
      </c>
      <c r="T63" s="352"/>
      <c r="U63" s="352"/>
      <c r="V63" s="352"/>
      <c r="W63" s="331" t="e">
        <f t="shared" si="2"/>
        <v>#REF!</v>
      </c>
      <c r="X63" s="343" t="e">
        <f t="shared" si="13"/>
        <v>#REF!</v>
      </c>
      <c r="Y63" s="341" t="e">
        <f t="shared" si="14"/>
        <v>#REF!</v>
      </c>
      <c r="Z63" s="341"/>
      <c r="AA63" s="341"/>
      <c r="AB63" s="341"/>
      <c r="AC63" s="359"/>
      <c r="AD63" s="331" t="e">
        <f t="shared" si="29"/>
        <v>#REF!</v>
      </c>
      <c r="AE63" s="345" t="e">
        <f t="shared" si="0"/>
        <v>#REF!</v>
      </c>
      <c r="AF63" s="345" t="e">
        <f t="shared" si="15"/>
        <v>#REF!</v>
      </c>
      <c r="AG63" s="340" t="e">
        <f t="shared" si="34"/>
        <v>#REF!</v>
      </c>
      <c r="AH63" s="352" t="e">
        <f t="shared" si="19"/>
        <v>#REF!</v>
      </c>
      <c r="AI63" s="352" t="e">
        <f t="shared" si="25"/>
        <v>#REF!</v>
      </c>
      <c r="AJ63" s="352" t="e">
        <f t="shared" si="26"/>
        <v>#REF!</v>
      </c>
      <c r="AK63" s="354" t="e">
        <f t="shared" si="30"/>
        <v>#REF!</v>
      </c>
      <c r="AL63" s="355" t="e">
        <f t="shared" si="27"/>
        <v>#REF!</v>
      </c>
      <c r="AM63" s="356" t="e">
        <f t="shared" si="28"/>
        <v>#REF!</v>
      </c>
      <c r="AN63" s="357" t="e">
        <f t="shared" si="32"/>
        <v>#REF!</v>
      </c>
      <c r="AO63" s="338" t="e">
        <f t="shared" si="10"/>
        <v>#REF!</v>
      </c>
      <c r="AP63" s="349">
        <f>IF($C63=3,SUM(AK49:AK60),0)*-1</f>
        <v>0</v>
      </c>
      <c r="AQ63" s="358" t="e">
        <f t="shared" si="35"/>
        <v>#REF!</v>
      </c>
      <c r="AR63" s="358" t="e">
        <f t="shared" si="36"/>
        <v>#REF!</v>
      </c>
      <c r="AS63" s="327">
        <f t="shared" si="33"/>
        <v>38</v>
      </c>
      <c r="AT63" s="58"/>
      <c r="AU63" s="351">
        <f t="shared" si="20"/>
        <v>38</v>
      </c>
      <c r="AV63" s="329" t="e">
        <f t="shared" si="31"/>
        <v>#REF!</v>
      </c>
      <c r="AW63" s="330" t="e">
        <f t="shared" si="3"/>
        <v>#REF!</v>
      </c>
      <c r="AX63" s="330" t="e">
        <f t="shared" si="4"/>
        <v>#REF!</v>
      </c>
      <c r="AY63" s="330" t="e">
        <f t="shared" si="4"/>
        <v>#REF!</v>
      </c>
      <c r="AZ63" s="330">
        <f t="shared" si="4"/>
        <v>0</v>
      </c>
      <c r="BA63" s="330">
        <f t="shared" si="4"/>
        <v>0</v>
      </c>
      <c r="BB63" s="330">
        <f t="shared" si="5"/>
        <v>0</v>
      </c>
      <c r="BC63" s="331" t="e">
        <f t="shared" si="6"/>
        <v>#REF!</v>
      </c>
      <c r="BD63" s="329" t="e">
        <f t="shared" si="7"/>
        <v>#REF!</v>
      </c>
      <c r="BE63" s="330" t="e">
        <f t="shared" si="8"/>
        <v>#REF!</v>
      </c>
      <c r="BF63" s="330" t="e">
        <f t="shared" si="16"/>
        <v>#REF!</v>
      </c>
      <c r="BG63" s="331" t="e">
        <f t="shared" si="9"/>
        <v>#REF!</v>
      </c>
      <c r="BH63" s="332" t="e">
        <f t="shared" si="11"/>
        <v>#REF!</v>
      </c>
      <c r="BI63" s="333" t="e">
        <f>BJ62</f>
        <v>#REF!</v>
      </c>
      <c r="BJ63" s="334" t="e">
        <f t="shared" si="21"/>
        <v>#REF!</v>
      </c>
      <c r="BK63" s="335" t="e">
        <f t="shared" si="22"/>
        <v>#REF!</v>
      </c>
      <c r="BL63" s="335" t="e">
        <f t="shared" si="1"/>
        <v>#REF!</v>
      </c>
    </row>
    <row r="64" spans="2:64" ht="15.75" customHeight="1">
      <c r="B64" s="310">
        <f t="shared" si="23"/>
        <v>39</v>
      </c>
      <c r="C64" s="311">
        <f t="shared" si="17"/>
        <v>8</v>
      </c>
      <c r="D64" s="312" t="str">
        <f t="shared" si="42"/>
        <v xml:space="preserve">             </v>
      </c>
      <c r="E64" s="340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 t="e">
        <f t="shared" si="40"/>
        <v>#REF!</v>
      </c>
      <c r="S64" s="352" t="e">
        <f t="shared" si="41"/>
        <v>#REF!</v>
      </c>
      <c r="T64" s="352"/>
      <c r="U64" s="352"/>
      <c r="V64" s="352"/>
      <c r="W64" s="331" t="e">
        <f t="shared" si="2"/>
        <v>#REF!</v>
      </c>
      <c r="X64" s="343" t="e">
        <f t="shared" si="13"/>
        <v>#REF!</v>
      </c>
      <c r="Y64" s="341" t="e">
        <f t="shared" si="14"/>
        <v>#REF!</v>
      </c>
      <c r="Z64" s="341"/>
      <c r="AA64" s="341"/>
      <c r="AB64" s="341"/>
      <c r="AC64" s="359"/>
      <c r="AD64" s="331" t="e">
        <f t="shared" si="29"/>
        <v>#REF!</v>
      </c>
      <c r="AE64" s="345" t="e">
        <f t="shared" si="0"/>
        <v>#REF!</v>
      </c>
      <c r="AF64" s="345" t="e">
        <f t="shared" si="15"/>
        <v>#REF!</v>
      </c>
      <c r="AG64" s="340" t="e">
        <f t="shared" si="34"/>
        <v>#REF!</v>
      </c>
      <c r="AH64" s="352" t="e">
        <f t="shared" si="19"/>
        <v>#REF!</v>
      </c>
      <c r="AI64" s="352" t="e">
        <f t="shared" si="25"/>
        <v>#REF!</v>
      </c>
      <c r="AJ64" s="352" t="e">
        <f t="shared" si="26"/>
        <v>#REF!</v>
      </c>
      <c r="AK64" s="354" t="e">
        <f t="shared" si="30"/>
        <v>#REF!</v>
      </c>
      <c r="AL64" s="355" t="e">
        <f t="shared" si="27"/>
        <v>#REF!</v>
      </c>
      <c r="AM64" s="356" t="e">
        <f t="shared" si="28"/>
        <v>#REF!</v>
      </c>
      <c r="AN64" s="357" t="e">
        <f t="shared" si="32"/>
        <v>#REF!</v>
      </c>
      <c r="AO64" s="338" t="e">
        <f t="shared" si="10"/>
        <v>#REF!</v>
      </c>
      <c r="AP64" s="349">
        <f t="shared" si="38"/>
        <v>0</v>
      </c>
      <c r="AQ64" s="358" t="e">
        <f t="shared" si="35"/>
        <v>#REF!</v>
      </c>
      <c r="AR64" s="358" t="e">
        <f t="shared" si="36"/>
        <v>#REF!</v>
      </c>
      <c r="AS64" s="327">
        <f t="shared" si="33"/>
        <v>39</v>
      </c>
      <c r="AT64" s="58"/>
      <c r="AU64" s="351">
        <f t="shared" si="20"/>
        <v>39</v>
      </c>
      <c r="AV64" s="329" t="e">
        <f t="shared" si="31"/>
        <v>#REF!</v>
      </c>
      <c r="AW64" s="330" t="e">
        <f t="shared" si="3"/>
        <v>#REF!</v>
      </c>
      <c r="AX64" s="330" t="e">
        <f t="shared" si="4"/>
        <v>#REF!</v>
      </c>
      <c r="AY64" s="330" t="e">
        <f t="shared" si="4"/>
        <v>#REF!</v>
      </c>
      <c r="AZ64" s="330">
        <f t="shared" si="4"/>
        <v>0</v>
      </c>
      <c r="BA64" s="330">
        <f t="shared" si="4"/>
        <v>0</v>
      </c>
      <c r="BB64" s="330">
        <f t="shared" si="5"/>
        <v>0</v>
      </c>
      <c r="BC64" s="331" t="e">
        <f t="shared" si="6"/>
        <v>#REF!</v>
      </c>
      <c r="BD64" s="329" t="e">
        <f t="shared" si="7"/>
        <v>#REF!</v>
      </c>
      <c r="BE64" s="330" t="e">
        <f t="shared" si="8"/>
        <v>#REF!</v>
      </c>
      <c r="BF64" s="330" t="e">
        <f t="shared" si="16"/>
        <v>#REF!</v>
      </c>
      <c r="BG64" s="331" t="e">
        <f t="shared" si="9"/>
        <v>#REF!</v>
      </c>
      <c r="BH64" s="332" t="e">
        <f t="shared" si="11"/>
        <v>#REF!</v>
      </c>
      <c r="BI64" s="333" t="e">
        <f t="shared" si="12"/>
        <v>#REF!</v>
      </c>
      <c r="BJ64" s="334" t="e">
        <f t="shared" si="21"/>
        <v>#REF!</v>
      </c>
      <c r="BK64" s="335" t="e">
        <f t="shared" si="22"/>
        <v>#REF!</v>
      </c>
      <c r="BL64" s="335" t="e">
        <f t="shared" si="1"/>
        <v>#REF!</v>
      </c>
    </row>
    <row r="65" spans="2:64" ht="15.75" customHeight="1">
      <c r="B65" s="310">
        <f t="shared" si="23"/>
        <v>40</v>
      </c>
      <c r="C65" s="311">
        <f t="shared" si="17"/>
        <v>9</v>
      </c>
      <c r="D65" s="312" t="str">
        <f t="shared" si="42"/>
        <v xml:space="preserve">             </v>
      </c>
      <c r="E65" s="340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2" t="e">
        <f t="shared" si="40"/>
        <v>#REF!</v>
      </c>
      <c r="S65" s="352" t="e">
        <f t="shared" si="41"/>
        <v>#REF!</v>
      </c>
      <c r="T65" s="352"/>
      <c r="U65" s="352"/>
      <c r="V65" s="352"/>
      <c r="W65" s="331" t="e">
        <f t="shared" si="2"/>
        <v>#REF!</v>
      </c>
      <c r="X65" s="343" t="e">
        <f t="shared" si="13"/>
        <v>#REF!</v>
      </c>
      <c r="Y65" s="341" t="e">
        <f t="shared" si="14"/>
        <v>#REF!</v>
      </c>
      <c r="Z65" s="341"/>
      <c r="AA65" s="341"/>
      <c r="AB65" s="341"/>
      <c r="AC65" s="359"/>
      <c r="AD65" s="331" t="e">
        <f t="shared" si="29"/>
        <v>#REF!</v>
      </c>
      <c r="AE65" s="345" t="e">
        <f t="shared" si="0"/>
        <v>#REF!</v>
      </c>
      <c r="AF65" s="345" t="e">
        <f t="shared" si="15"/>
        <v>#REF!</v>
      </c>
      <c r="AG65" s="340" t="e">
        <f t="shared" si="34"/>
        <v>#REF!</v>
      </c>
      <c r="AH65" s="352" t="e">
        <f t="shared" si="19"/>
        <v>#REF!</v>
      </c>
      <c r="AI65" s="352" t="e">
        <f t="shared" si="25"/>
        <v>#REF!</v>
      </c>
      <c r="AJ65" s="352" t="e">
        <f t="shared" si="26"/>
        <v>#REF!</v>
      </c>
      <c r="AK65" s="354" t="e">
        <f t="shared" si="30"/>
        <v>#REF!</v>
      </c>
      <c r="AL65" s="355" t="e">
        <f t="shared" si="27"/>
        <v>#REF!</v>
      </c>
      <c r="AM65" s="356" t="e">
        <f t="shared" si="28"/>
        <v>#REF!</v>
      </c>
      <c r="AN65" s="357" t="e">
        <f t="shared" si="32"/>
        <v>#REF!</v>
      </c>
      <c r="AO65" s="338" t="e">
        <f t="shared" si="10"/>
        <v>#REF!</v>
      </c>
      <c r="AP65" s="349">
        <f t="shared" si="38"/>
        <v>0</v>
      </c>
      <c r="AQ65" s="358" t="e">
        <f t="shared" si="35"/>
        <v>#REF!</v>
      </c>
      <c r="AR65" s="358" t="e">
        <f t="shared" si="36"/>
        <v>#REF!</v>
      </c>
      <c r="AS65" s="327">
        <f t="shared" si="33"/>
        <v>40</v>
      </c>
      <c r="AT65" s="58"/>
      <c r="AU65" s="351">
        <f t="shared" si="20"/>
        <v>40</v>
      </c>
      <c r="AV65" s="329" t="e">
        <f t="shared" si="31"/>
        <v>#REF!</v>
      </c>
      <c r="AW65" s="330" t="e">
        <f t="shared" si="3"/>
        <v>#REF!</v>
      </c>
      <c r="AX65" s="330" t="e">
        <f t="shared" si="4"/>
        <v>#REF!</v>
      </c>
      <c r="AY65" s="330" t="e">
        <f t="shared" si="4"/>
        <v>#REF!</v>
      </c>
      <c r="AZ65" s="330">
        <f t="shared" si="4"/>
        <v>0</v>
      </c>
      <c r="BA65" s="330">
        <f t="shared" si="4"/>
        <v>0</v>
      </c>
      <c r="BB65" s="330">
        <f t="shared" si="5"/>
        <v>0</v>
      </c>
      <c r="BC65" s="331" t="e">
        <f t="shared" si="6"/>
        <v>#REF!</v>
      </c>
      <c r="BD65" s="329" t="e">
        <f t="shared" si="7"/>
        <v>#REF!</v>
      </c>
      <c r="BE65" s="330" t="e">
        <f t="shared" si="8"/>
        <v>#REF!</v>
      </c>
      <c r="BF65" s="330" t="e">
        <f t="shared" si="16"/>
        <v>#REF!</v>
      </c>
      <c r="BG65" s="331" t="e">
        <f t="shared" si="9"/>
        <v>#REF!</v>
      </c>
      <c r="BH65" s="332" t="e">
        <f t="shared" si="11"/>
        <v>#REF!</v>
      </c>
      <c r="BI65" s="333" t="e">
        <f t="shared" si="12"/>
        <v>#REF!</v>
      </c>
      <c r="BJ65" s="334" t="e">
        <f t="shared" si="21"/>
        <v>#REF!</v>
      </c>
      <c r="BK65" s="335" t="e">
        <f t="shared" si="22"/>
        <v>#REF!</v>
      </c>
      <c r="BL65" s="335" t="e">
        <f t="shared" si="1"/>
        <v>#REF!</v>
      </c>
    </row>
    <row r="66" spans="2:64" ht="15.75" customHeight="1">
      <c r="B66" s="310">
        <f t="shared" si="23"/>
        <v>41</v>
      </c>
      <c r="C66" s="311">
        <f t="shared" si="17"/>
        <v>10</v>
      </c>
      <c r="D66" s="312" t="str">
        <f t="shared" si="42"/>
        <v xml:space="preserve">             </v>
      </c>
      <c r="E66" s="340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2"/>
      <c r="R66" s="352" t="e">
        <f t="shared" si="40"/>
        <v>#REF!</v>
      </c>
      <c r="S66" s="352" t="e">
        <f t="shared" si="41"/>
        <v>#REF!</v>
      </c>
      <c r="T66" s="352"/>
      <c r="U66" s="352"/>
      <c r="V66" s="352"/>
      <c r="W66" s="331" t="e">
        <f t="shared" si="2"/>
        <v>#REF!</v>
      </c>
      <c r="X66" s="343" t="e">
        <f t="shared" si="13"/>
        <v>#REF!</v>
      </c>
      <c r="Y66" s="341" t="e">
        <f t="shared" si="14"/>
        <v>#REF!</v>
      </c>
      <c r="Z66" s="341"/>
      <c r="AA66" s="341"/>
      <c r="AB66" s="341"/>
      <c r="AC66" s="359"/>
      <c r="AD66" s="331" t="e">
        <f t="shared" si="29"/>
        <v>#REF!</v>
      </c>
      <c r="AE66" s="345" t="e">
        <f t="shared" si="0"/>
        <v>#REF!</v>
      </c>
      <c r="AF66" s="345" t="e">
        <f t="shared" si="15"/>
        <v>#REF!</v>
      </c>
      <c r="AG66" s="340" t="e">
        <f t="shared" si="34"/>
        <v>#REF!</v>
      </c>
      <c r="AH66" s="352" t="e">
        <f t="shared" si="19"/>
        <v>#REF!</v>
      </c>
      <c r="AI66" s="352" t="e">
        <f t="shared" si="25"/>
        <v>#REF!</v>
      </c>
      <c r="AJ66" s="352" t="e">
        <f t="shared" si="26"/>
        <v>#REF!</v>
      </c>
      <c r="AK66" s="354" t="e">
        <f t="shared" si="30"/>
        <v>#REF!</v>
      </c>
      <c r="AL66" s="355" t="e">
        <f t="shared" si="27"/>
        <v>#REF!</v>
      </c>
      <c r="AM66" s="356" t="e">
        <f t="shared" si="28"/>
        <v>#REF!</v>
      </c>
      <c r="AN66" s="357" t="e">
        <f t="shared" si="32"/>
        <v>#REF!</v>
      </c>
      <c r="AO66" s="338" t="e">
        <f t="shared" si="10"/>
        <v>#REF!</v>
      </c>
      <c r="AP66" s="349">
        <f t="shared" si="38"/>
        <v>0</v>
      </c>
      <c r="AQ66" s="358" t="e">
        <f t="shared" si="35"/>
        <v>#REF!</v>
      </c>
      <c r="AR66" s="358" t="e">
        <f t="shared" si="36"/>
        <v>#REF!</v>
      </c>
      <c r="AS66" s="327">
        <f t="shared" si="33"/>
        <v>41</v>
      </c>
      <c r="AT66" s="58"/>
      <c r="AU66" s="351">
        <f t="shared" si="20"/>
        <v>41</v>
      </c>
      <c r="AV66" s="329" t="e">
        <f t="shared" si="31"/>
        <v>#REF!</v>
      </c>
      <c r="AW66" s="330" t="e">
        <f t="shared" si="3"/>
        <v>#REF!</v>
      </c>
      <c r="AX66" s="330" t="e">
        <f t="shared" si="4"/>
        <v>#REF!</v>
      </c>
      <c r="AY66" s="330" t="e">
        <f t="shared" si="4"/>
        <v>#REF!</v>
      </c>
      <c r="AZ66" s="330">
        <f t="shared" si="4"/>
        <v>0</v>
      </c>
      <c r="BA66" s="330">
        <f t="shared" si="4"/>
        <v>0</v>
      </c>
      <c r="BB66" s="330">
        <f t="shared" si="5"/>
        <v>0</v>
      </c>
      <c r="BC66" s="331" t="e">
        <f t="shared" si="6"/>
        <v>#REF!</v>
      </c>
      <c r="BD66" s="329" t="e">
        <f t="shared" si="7"/>
        <v>#REF!</v>
      </c>
      <c r="BE66" s="330" t="e">
        <f t="shared" si="8"/>
        <v>#REF!</v>
      </c>
      <c r="BF66" s="330" t="e">
        <f t="shared" si="16"/>
        <v>#REF!</v>
      </c>
      <c r="BG66" s="331" t="e">
        <f t="shared" si="9"/>
        <v>#REF!</v>
      </c>
      <c r="BH66" s="332" t="e">
        <f t="shared" si="11"/>
        <v>#REF!</v>
      </c>
      <c r="BI66" s="333" t="e">
        <f t="shared" si="12"/>
        <v>#REF!</v>
      </c>
      <c r="BJ66" s="334" t="e">
        <f>BH66+BI66</f>
        <v>#REF!</v>
      </c>
      <c r="BK66" s="335" t="e">
        <f t="shared" si="22"/>
        <v>#REF!</v>
      </c>
      <c r="BL66" s="335" t="e">
        <f t="shared" si="1"/>
        <v>#REF!</v>
      </c>
    </row>
    <row r="67" spans="2:64" ht="15.75" customHeight="1">
      <c r="B67" s="310">
        <f t="shared" si="23"/>
        <v>42</v>
      </c>
      <c r="C67" s="311">
        <f t="shared" si="17"/>
        <v>11</v>
      </c>
      <c r="D67" s="312" t="str">
        <f t="shared" si="42"/>
        <v xml:space="preserve">             </v>
      </c>
      <c r="E67" s="340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 t="e">
        <f t="shared" si="40"/>
        <v>#REF!</v>
      </c>
      <c r="S67" s="352" t="e">
        <f t="shared" si="41"/>
        <v>#REF!</v>
      </c>
      <c r="T67" s="352"/>
      <c r="U67" s="352"/>
      <c r="V67" s="352"/>
      <c r="W67" s="331" t="e">
        <f t="shared" si="2"/>
        <v>#REF!</v>
      </c>
      <c r="X67" s="343" t="e">
        <f t="shared" si="13"/>
        <v>#REF!</v>
      </c>
      <c r="Y67" s="341" t="e">
        <f t="shared" si="14"/>
        <v>#REF!</v>
      </c>
      <c r="Z67" s="341"/>
      <c r="AA67" s="341"/>
      <c r="AB67" s="341"/>
      <c r="AC67" s="359"/>
      <c r="AD67" s="331" t="e">
        <f t="shared" si="29"/>
        <v>#REF!</v>
      </c>
      <c r="AE67" s="345" t="e">
        <f t="shared" si="0"/>
        <v>#REF!</v>
      </c>
      <c r="AF67" s="345" t="e">
        <f t="shared" si="15"/>
        <v>#REF!</v>
      </c>
      <c r="AG67" s="340" t="e">
        <f t="shared" si="34"/>
        <v>#REF!</v>
      </c>
      <c r="AH67" s="352" t="e">
        <f t="shared" si="19"/>
        <v>#REF!</v>
      </c>
      <c r="AI67" s="352" t="e">
        <f t="shared" si="25"/>
        <v>#REF!</v>
      </c>
      <c r="AJ67" s="352" t="e">
        <f t="shared" si="26"/>
        <v>#REF!</v>
      </c>
      <c r="AK67" s="354" t="e">
        <f t="shared" si="30"/>
        <v>#REF!</v>
      </c>
      <c r="AL67" s="355" t="e">
        <f t="shared" si="27"/>
        <v>#REF!</v>
      </c>
      <c r="AM67" s="356" t="e">
        <f t="shared" si="28"/>
        <v>#REF!</v>
      </c>
      <c r="AN67" s="357" t="e">
        <f t="shared" si="32"/>
        <v>#REF!</v>
      </c>
      <c r="AO67" s="338" t="e">
        <f t="shared" si="10"/>
        <v>#REF!</v>
      </c>
      <c r="AP67" s="349">
        <f t="shared" si="38"/>
        <v>0</v>
      </c>
      <c r="AQ67" s="358" t="e">
        <f t="shared" si="35"/>
        <v>#REF!</v>
      </c>
      <c r="AR67" s="358" t="e">
        <f t="shared" si="36"/>
        <v>#REF!</v>
      </c>
      <c r="AS67" s="327">
        <f t="shared" si="33"/>
        <v>42</v>
      </c>
      <c r="AT67" s="58"/>
      <c r="AU67" s="351">
        <f t="shared" si="20"/>
        <v>42</v>
      </c>
      <c r="AV67" s="329" t="e">
        <f t="shared" si="31"/>
        <v>#REF!</v>
      </c>
      <c r="AW67" s="330" t="e">
        <f t="shared" si="3"/>
        <v>#REF!</v>
      </c>
      <c r="AX67" s="330" t="e">
        <f t="shared" si="4"/>
        <v>#REF!</v>
      </c>
      <c r="AY67" s="330" t="e">
        <f t="shared" si="4"/>
        <v>#REF!</v>
      </c>
      <c r="AZ67" s="330">
        <f t="shared" si="4"/>
        <v>0</v>
      </c>
      <c r="BA67" s="330">
        <f t="shared" si="4"/>
        <v>0</v>
      </c>
      <c r="BB67" s="330">
        <f t="shared" si="5"/>
        <v>0</v>
      </c>
      <c r="BC67" s="331" t="e">
        <f t="shared" si="6"/>
        <v>#REF!</v>
      </c>
      <c r="BD67" s="329" t="e">
        <f t="shared" si="7"/>
        <v>#REF!</v>
      </c>
      <c r="BE67" s="330" t="e">
        <f t="shared" si="8"/>
        <v>#REF!</v>
      </c>
      <c r="BF67" s="330" t="e">
        <f t="shared" si="16"/>
        <v>#REF!</v>
      </c>
      <c r="BG67" s="331" t="e">
        <f t="shared" si="9"/>
        <v>#REF!</v>
      </c>
      <c r="BH67" s="332" t="e">
        <f t="shared" si="11"/>
        <v>#REF!</v>
      </c>
      <c r="BI67" s="333" t="e">
        <f>BJ66</f>
        <v>#REF!</v>
      </c>
      <c r="BJ67" s="334" t="e">
        <f t="shared" si="21"/>
        <v>#REF!</v>
      </c>
      <c r="BK67" s="335" t="e">
        <f>IF($BJ67&lt;0,$BJ67*-1,0)</f>
        <v>#REF!</v>
      </c>
      <c r="BL67" s="335" t="e">
        <f t="shared" si="1"/>
        <v>#REF!</v>
      </c>
    </row>
    <row r="68" spans="2:64" ht="15.75" customHeight="1">
      <c r="B68" s="310">
        <f t="shared" si="23"/>
        <v>43</v>
      </c>
      <c r="C68" s="311">
        <f t="shared" si="17"/>
        <v>12</v>
      </c>
      <c r="D68" s="312" t="str">
        <f t="shared" si="42"/>
        <v xml:space="preserve">             </v>
      </c>
      <c r="E68" s="340"/>
      <c r="F68" s="352"/>
      <c r="G68" s="352"/>
      <c r="H68" s="352"/>
      <c r="I68" s="352"/>
      <c r="J68" s="352"/>
      <c r="K68" s="352"/>
      <c r="L68" s="352"/>
      <c r="M68" s="352"/>
      <c r="N68" s="352"/>
      <c r="O68" s="352"/>
      <c r="P68" s="352"/>
      <c r="Q68" s="352"/>
      <c r="R68" s="352" t="e">
        <f t="shared" si="40"/>
        <v>#REF!</v>
      </c>
      <c r="S68" s="352" t="e">
        <f t="shared" si="41"/>
        <v>#REF!</v>
      </c>
      <c r="T68" s="352"/>
      <c r="U68" s="352"/>
      <c r="V68" s="352"/>
      <c r="W68" s="331" t="e">
        <f t="shared" si="2"/>
        <v>#REF!</v>
      </c>
      <c r="X68" s="343" t="e">
        <f t="shared" si="13"/>
        <v>#REF!</v>
      </c>
      <c r="Y68" s="341" t="e">
        <f t="shared" si="14"/>
        <v>#REF!</v>
      </c>
      <c r="Z68" s="341"/>
      <c r="AA68" s="341"/>
      <c r="AB68" s="341"/>
      <c r="AC68" s="359"/>
      <c r="AD68" s="331" t="e">
        <f t="shared" si="29"/>
        <v>#REF!</v>
      </c>
      <c r="AE68" s="345" t="e">
        <f t="shared" si="0"/>
        <v>#REF!</v>
      </c>
      <c r="AF68" s="345" t="e">
        <f t="shared" si="15"/>
        <v>#REF!</v>
      </c>
      <c r="AG68" s="340" t="e">
        <f t="shared" si="34"/>
        <v>#REF!</v>
      </c>
      <c r="AH68" s="352" t="e">
        <f t="shared" si="19"/>
        <v>#REF!</v>
      </c>
      <c r="AI68" s="352" t="e">
        <f t="shared" si="25"/>
        <v>#REF!</v>
      </c>
      <c r="AJ68" s="352" t="e">
        <f t="shared" si="26"/>
        <v>#REF!</v>
      </c>
      <c r="AK68" s="354" t="e">
        <f t="shared" si="30"/>
        <v>#REF!</v>
      </c>
      <c r="AL68" s="355" t="e">
        <f t="shared" si="27"/>
        <v>#REF!</v>
      </c>
      <c r="AM68" s="356" t="e">
        <f t="shared" si="28"/>
        <v>#REF!</v>
      </c>
      <c r="AN68" s="357" t="e">
        <f t="shared" si="32"/>
        <v>#REF!</v>
      </c>
      <c r="AO68" s="338" t="e">
        <f t="shared" si="10"/>
        <v>#REF!</v>
      </c>
      <c r="AP68" s="349">
        <f t="shared" si="38"/>
        <v>0</v>
      </c>
      <c r="AQ68" s="358" t="e">
        <f t="shared" si="35"/>
        <v>#REF!</v>
      </c>
      <c r="AR68" s="358" t="e">
        <f t="shared" si="36"/>
        <v>#REF!</v>
      </c>
      <c r="AS68" s="327">
        <f t="shared" si="33"/>
        <v>43</v>
      </c>
      <c r="AT68" s="58"/>
      <c r="AU68" s="351">
        <f t="shared" si="20"/>
        <v>43</v>
      </c>
      <c r="AV68" s="329" t="e">
        <f t="shared" si="31"/>
        <v>#REF!</v>
      </c>
      <c r="AW68" s="330" t="e">
        <f t="shared" si="3"/>
        <v>#REF!</v>
      </c>
      <c r="AX68" s="330" t="e">
        <f t="shared" si="4"/>
        <v>#REF!</v>
      </c>
      <c r="AY68" s="330" t="e">
        <f t="shared" si="4"/>
        <v>#REF!</v>
      </c>
      <c r="AZ68" s="330">
        <f t="shared" si="4"/>
        <v>0</v>
      </c>
      <c r="BA68" s="330">
        <f t="shared" si="4"/>
        <v>0</v>
      </c>
      <c r="BB68" s="330">
        <f t="shared" si="5"/>
        <v>0</v>
      </c>
      <c r="BC68" s="331" t="e">
        <f t="shared" si="6"/>
        <v>#REF!</v>
      </c>
      <c r="BD68" s="329" t="e">
        <f t="shared" si="7"/>
        <v>#REF!</v>
      </c>
      <c r="BE68" s="330" t="e">
        <f t="shared" si="8"/>
        <v>#REF!</v>
      </c>
      <c r="BF68" s="330" t="e">
        <f t="shared" si="16"/>
        <v>#REF!</v>
      </c>
      <c r="BG68" s="331" t="e">
        <f t="shared" si="9"/>
        <v>#REF!</v>
      </c>
      <c r="BH68" s="332" t="e">
        <f t="shared" si="11"/>
        <v>#REF!</v>
      </c>
      <c r="BI68" s="333" t="e">
        <f t="shared" si="12"/>
        <v>#REF!</v>
      </c>
      <c r="BJ68" s="334" t="e">
        <f t="shared" si="21"/>
        <v>#REF!</v>
      </c>
      <c r="BK68" s="335" t="e">
        <f t="shared" si="22"/>
        <v>#REF!</v>
      </c>
      <c r="BL68" s="335" t="e">
        <f t="shared" si="1"/>
        <v>#REF!</v>
      </c>
    </row>
    <row r="69" spans="2:64" ht="15.75" customHeight="1">
      <c r="B69" s="310">
        <f t="shared" si="23"/>
        <v>44</v>
      </c>
      <c r="C69" s="311">
        <f t="shared" si="17"/>
        <v>1</v>
      </c>
      <c r="D69" s="312">
        <f>IF($C68=12,$D$57+1,"             ")</f>
        <v>2022</v>
      </c>
      <c r="E69" s="340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 t="e">
        <f t="shared" si="40"/>
        <v>#REF!</v>
      </c>
      <c r="S69" s="352" t="e">
        <f t="shared" si="41"/>
        <v>#REF!</v>
      </c>
      <c r="T69" s="352"/>
      <c r="U69" s="352"/>
      <c r="V69" s="352"/>
      <c r="W69" s="331" t="e">
        <f t="shared" si="2"/>
        <v>#REF!</v>
      </c>
      <c r="X69" s="343" t="e">
        <f t="shared" si="13"/>
        <v>#REF!</v>
      </c>
      <c r="Y69" s="341" t="e">
        <f t="shared" si="14"/>
        <v>#REF!</v>
      </c>
      <c r="Z69" s="341"/>
      <c r="AA69" s="341"/>
      <c r="AB69" s="341"/>
      <c r="AC69" s="359"/>
      <c r="AD69" s="331" t="e">
        <f t="shared" si="29"/>
        <v>#REF!</v>
      </c>
      <c r="AE69" s="345" t="e">
        <f t="shared" si="0"/>
        <v>#REF!</v>
      </c>
      <c r="AF69" s="345" t="e">
        <f t="shared" si="15"/>
        <v>#REF!</v>
      </c>
      <c r="AG69" s="340" t="e">
        <f t="shared" si="34"/>
        <v>#REF!</v>
      </c>
      <c r="AH69" s="352" t="e">
        <f t="shared" si="19"/>
        <v>#REF!</v>
      </c>
      <c r="AI69" s="352" t="e">
        <f t="shared" si="25"/>
        <v>#REF!</v>
      </c>
      <c r="AJ69" s="352" t="e">
        <f t="shared" si="26"/>
        <v>#REF!</v>
      </c>
      <c r="AK69" s="354" t="e">
        <f t="shared" si="30"/>
        <v>#REF!</v>
      </c>
      <c r="AL69" s="355" t="e">
        <f t="shared" si="27"/>
        <v>#REF!</v>
      </c>
      <c r="AM69" s="356" t="e">
        <f t="shared" si="28"/>
        <v>#REF!</v>
      </c>
      <c r="AN69" s="357" t="e">
        <f t="shared" si="32"/>
        <v>#REF!</v>
      </c>
      <c r="AO69" s="338" t="e">
        <f t="shared" si="10"/>
        <v>#REF!</v>
      </c>
      <c r="AP69" s="349">
        <f t="shared" si="38"/>
        <v>0</v>
      </c>
      <c r="AQ69" s="358" t="e">
        <f t="shared" si="35"/>
        <v>#REF!</v>
      </c>
      <c r="AR69" s="358" t="e">
        <f t="shared" si="36"/>
        <v>#REF!</v>
      </c>
      <c r="AS69" s="327">
        <f t="shared" si="33"/>
        <v>44</v>
      </c>
      <c r="AT69" s="58"/>
      <c r="AU69" s="351">
        <f t="shared" si="20"/>
        <v>44</v>
      </c>
      <c r="AV69" s="329" t="e">
        <f t="shared" si="31"/>
        <v>#REF!</v>
      </c>
      <c r="AW69" s="330" t="e">
        <f t="shared" si="3"/>
        <v>#REF!</v>
      </c>
      <c r="AX69" s="330" t="e">
        <f t="shared" si="4"/>
        <v>#REF!</v>
      </c>
      <c r="AY69" s="330" t="e">
        <f t="shared" si="4"/>
        <v>#REF!</v>
      </c>
      <c r="AZ69" s="330">
        <f t="shared" si="4"/>
        <v>0</v>
      </c>
      <c r="BA69" s="330">
        <f t="shared" si="4"/>
        <v>0</v>
      </c>
      <c r="BB69" s="330">
        <f t="shared" si="5"/>
        <v>0</v>
      </c>
      <c r="BC69" s="331" t="e">
        <f t="shared" si="6"/>
        <v>#REF!</v>
      </c>
      <c r="BD69" s="329" t="e">
        <f t="shared" si="7"/>
        <v>#REF!</v>
      </c>
      <c r="BE69" s="330" t="e">
        <f t="shared" si="8"/>
        <v>#REF!</v>
      </c>
      <c r="BF69" s="330" t="e">
        <f t="shared" si="16"/>
        <v>#REF!</v>
      </c>
      <c r="BG69" s="331" t="e">
        <f t="shared" si="9"/>
        <v>#REF!</v>
      </c>
      <c r="BH69" s="332" t="e">
        <f t="shared" si="11"/>
        <v>#REF!</v>
      </c>
      <c r="BI69" s="333" t="e">
        <f t="shared" si="12"/>
        <v>#REF!</v>
      </c>
      <c r="BJ69" s="334" t="e">
        <f t="shared" si="21"/>
        <v>#REF!</v>
      </c>
      <c r="BK69" s="335" t="e">
        <f t="shared" si="22"/>
        <v>#REF!</v>
      </c>
      <c r="BL69" s="335" t="e">
        <f t="shared" si="1"/>
        <v>#REF!</v>
      </c>
    </row>
    <row r="70" spans="2:64" ht="15.75" customHeight="1">
      <c r="B70" s="310">
        <f t="shared" si="23"/>
        <v>45</v>
      </c>
      <c r="C70" s="311">
        <f t="shared" si="17"/>
        <v>2</v>
      </c>
      <c r="D70" s="312" t="str">
        <f t="shared" si="42"/>
        <v xml:space="preserve">             </v>
      </c>
      <c r="E70" s="340"/>
      <c r="F70" s="352"/>
      <c r="G70" s="352"/>
      <c r="H70" s="352"/>
      <c r="I70" s="352"/>
      <c r="J70" s="352"/>
      <c r="K70" s="352"/>
      <c r="L70" s="352"/>
      <c r="M70" s="352"/>
      <c r="N70" s="352"/>
      <c r="O70" s="352"/>
      <c r="P70" s="352"/>
      <c r="Q70" s="352"/>
      <c r="R70" s="352" t="e">
        <f t="shared" si="40"/>
        <v>#REF!</v>
      </c>
      <c r="S70" s="352" t="e">
        <f t="shared" si="41"/>
        <v>#REF!</v>
      </c>
      <c r="T70" s="352"/>
      <c r="U70" s="352"/>
      <c r="V70" s="352"/>
      <c r="W70" s="331" t="e">
        <f t="shared" si="2"/>
        <v>#REF!</v>
      </c>
      <c r="X70" s="343" t="e">
        <f t="shared" si="13"/>
        <v>#REF!</v>
      </c>
      <c r="Y70" s="341" t="e">
        <f t="shared" si="14"/>
        <v>#REF!</v>
      </c>
      <c r="Z70" s="341"/>
      <c r="AA70" s="341"/>
      <c r="AB70" s="341"/>
      <c r="AC70" s="359"/>
      <c r="AD70" s="331" t="e">
        <f t="shared" si="29"/>
        <v>#REF!</v>
      </c>
      <c r="AE70" s="345" t="e">
        <f t="shared" si="0"/>
        <v>#REF!</v>
      </c>
      <c r="AF70" s="345" t="e">
        <f t="shared" si="15"/>
        <v>#REF!</v>
      </c>
      <c r="AG70" s="340" t="e">
        <f t="shared" si="34"/>
        <v>#REF!</v>
      </c>
      <c r="AH70" s="352" t="e">
        <f t="shared" si="19"/>
        <v>#REF!</v>
      </c>
      <c r="AI70" s="352" t="e">
        <f t="shared" si="25"/>
        <v>#REF!</v>
      </c>
      <c r="AJ70" s="352" t="e">
        <f t="shared" si="26"/>
        <v>#REF!</v>
      </c>
      <c r="AK70" s="354" t="e">
        <f t="shared" si="30"/>
        <v>#REF!</v>
      </c>
      <c r="AL70" s="355" t="e">
        <f t="shared" si="27"/>
        <v>#REF!</v>
      </c>
      <c r="AM70" s="356" t="e">
        <f t="shared" si="28"/>
        <v>#REF!</v>
      </c>
      <c r="AN70" s="357" t="e">
        <f t="shared" si="32"/>
        <v>#REF!</v>
      </c>
      <c r="AO70" s="338" t="e">
        <f t="shared" si="10"/>
        <v>#REF!</v>
      </c>
      <c r="AP70" s="349">
        <f t="shared" si="38"/>
        <v>0</v>
      </c>
      <c r="AQ70" s="358" t="e">
        <f t="shared" si="35"/>
        <v>#REF!</v>
      </c>
      <c r="AR70" s="358" t="e">
        <f t="shared" si="36"/>
        <v>#REF!</v>
      </c>
      <c r="AS70" s="327">
        <f t="shared" si="33"/>
        <v>45</v>
      </c>
      <c r="AT70" s="58"/>
      <c r="AU70" s="351">
        <f t="shared" si="20"/>
        <v>45</v>
      </c>
      <c r="AV70" s="329" t="e">
        <f t="shared" si="31"/>
        <v>#REF!</v>
      </c>
      <c r="AW70" s="330" t="e">
        <f t="shared" si="3"/>
        <v>#REF!</v>
      </c>
      <c r="AX70" s="330" t="e">
        <f t="shared" si="4"/>
        <v>#REF!</v>
      </c>
      <c r="AY70" s="330" t="e">
        <f t="shared" si="4"/>
        <v>#REF!</v>
      </c>
      <c r="AZ70" s="330">
        <f t="shared" si="4"/>
        <v>0</v>
      </c>
      <c r="BA70" s="330">
        <f t="shared" si="4"/>
        <v>0</v>
      </c>
      <c r="BB70" s="330">
        <f t="shared" si="5"/>
        <v>0</v>
      </c>
      <c r="BC70" s="331" t="e">
        <f t="shared" si="6"/>
        <v>#REF!</v>
      </c>
      <c r="BD70" s="329" t="e">
        <f t="shared" si="7"/>
        <v>#REF!</v>
      </c>
      <c r="BE70" s="330" t="e">
        <f t="shared" si="8"/>
        <v>#REF!</v>
      </c>
      <c r="BF70" s="330" t="e">
        <f t="shared" si="16"/>
        <v>#REF!</v>
      </c>
      <c r="BG70" s="331" t="e">
        <f t="shared" si="9"/>
        <v>#REF!</v>
      </c>
      <c r="BH70" s="332" t="e">
        <f t="shared" si="11"/>
        <v>#REF!</v>
      </c>
      <c r="BI70" s="333" t="e">
        <f t="shared" si="12"/>
        <v>#REF!</v>
      </c>
      <c r="BJ70" s="334" t="e">
        <f t="shared" si="21"/>
        <v>#REF!</v>
      </c>
      <c r="BK70" s="335" t="e">
        <f t="shared" si="22"/>
        <v>#REF!</v>
      </c>
      <c r="BL70" s="335" t="e">
        <f t="shared" si="1"/>
        <v>#REF!</v>
      </c>
    </row>
    <row r="71" spans="2:64" ht="15.75" customHeight="1">
      <c r="B71" s="310">
        <f t="shared" si="23"/>
        <v>46</v>
      </c>
      <c r="C71" s="311">
        <f t="shared" si="17"/>
        <v>3</v>
      </c>
      <c r="D71" s="312" t="str">
        <f t="shared" si="42"/>
        <v xml:space="preserve">             </v>
      </c>
      <c r="E71" s="340"/>
      <c r="F71" s="352"/>
      <c r="G71" s="352"/>
      <c r="H71" s="352"/>
      <c r="I71" s="352"/>
      <c r="J71" s="352"/>
      <c r="K71" s="352"/>
      <c r="L71" s="352"/>
      <c r="M71" s="352"/>
      <c r="N71" s="352"/>
      <c r="O71" s="352"/>
      <c r="P71" s="352"/>
      <c r="Q71" s="352"/>
      <c r="R71" s="352" t="e">
        <f t="shared" si="40"/>
        <v>#REF!</v>
      </c>
      <c r="S71" s="352" t="e">
        <f t="shared" si="41"/>
        <v>#REF!</v>
      </c>
      <c r="T71" s="352"/>
      <c r="U71" s="352"/>
      <c r="V71" s="352"/>
      <c r="W71" s="331" t="e">
        <f t="shared" si="2"/>
        <v>#REF!</v>
      </c>
      <c r="X71" s="343" t="e">
        <f t="shared" si="13"/>
        <v>#REF!</v>
      </c>
      <c r="Y71" s="341" t="e">
        <f t="shared" si="14"/>
        <v>#REF!</v>
      </c>
      <c r="Z71" s="341"/>
      <c r="AA71" s="341"/>
      <c r="AB71" s="341"/>
      <c r="AC71" s="359"/>
      <c r="AD71" s="331" t="e">
        <f t="shared" si="29"/>
        <v>#REF!</v>
      </c>
      <c r="AE71" s="345" t="e">
        <f t="shared" si="0"/>
        <v>#REF!</v>
      </c>
      <c r="AF71" s="345" t="e">
        <f t="shared" si="15"/>
        <v>#REF!</v>
      </c>
      <c r="AG71" s="340" t="e">
        <f t="shared" si="34"/>
        <v>#REF!</v>
      </c>
      <c r="AH71" s="352" t="e">
        <f t="shared" si="19"/>
        <v>#REF!</v>
      </c>
      <c r="AI71" s="352" t="e">
        <f t="shared" si="25"/>
        <v>#REF!</v>
      </c>
      <c r="AJ71" s="352" t="e">
        <f t="shared" si="26"/>
        <v>#REF!</v>
      </c>
      <c r="AK71" s="354" t="e">
        <f t="shared" si="30"/>
        <v>#REF!</v>
      </c>
      <c r="AL71" s="355" t="e">
        <f t="shared" si="27"/>
        <v>#REF!</v>
      </c>
      <c r="AM71" s="356" t="e">
        <f t="shared" si="28"/>
        <v>#REF!</v>
      </c>
      <c r="AN71" s="357" t="e">
        <f t="shared" si="32"/>
        <v>#REF!</v>
      </c>
      <c r="AO71" s="338" t="e">
        <f t="shared" si="10"/>
        <v>#REF!</v>
      </c>
      <c r="AP71" s="349"/>
      <c r="AQ71" s="358" t="e">
        <f t="shared" si="35"/>
        <v>#REF!</v>
      </c>
      <c r="AR71" s="358" t="e">
        <f t="shared" si="36"/>
        <v>#REF!</v>
      </c>
      <c r="AS71" s="327">
        <f t="shared" si="33"/>
        <v>46</v>
      </c>
      <c r="AT71" s="58"/>
      <c r="AU71" s="351">
        <f t="shared" si="20"/>
        <v>46</v>
      </c>
      <c r="AV71" s="329" t="e">
        <f t="shared" si="31"/>
        <v>#REF!</v>
      </c>
      <c r="AW71" s="330" t="e">
        <f t="shared" si="3"/>
        <v>#REF!</v>
      </c>
      <c r="AX71" s="330" t="e">
        <f t="shared" si="4"/>
        <v>#REF!</v>
      </c>
      <c r="AY71" s="330" t="e">
        <f t="shared" si="4"/>
        <v>#REF!</v>
      </c>
      <c r="AZ71" s="330">
        <f t="shared" si="4"/>
        <v>0</v>
      </c>
      <c r="BA71" s="330">
        <f t="shared" si="4"/>
        <v>0</v>
      </c>
      <c r="BB71" s="330">
        <f t="shared" si="5"/>
        <v>0</v>
      </c>
      <c r="BC71" s="331" t="e">
        <f t="shared" si="6"/>
        <v>#REF!</v>
      </c>
      <c r="BD71" s="329" t="e">
        <f t="shared" si="7"/>
        <v>#REF!</v>
      </c>
      <c r="BE71" s="330" t="e">
        <f t="shared" si="8"/>
        <v>#REF!</v>
      </c>
      <c r="BF71" s="330" t="e">
        <f t="shared" si="16"/>
        <v>#REF!</v>
      </c>
      <c r="BG71" s="331" t="e">
        <f t="shared" si="9"/>
        <v>#REF!</v>
      </c>
      <c r="BH71" s="332" t="e">
        <f t="shared" si="11"/>
        <v>#REF!</v>
      </c>
      <c r="BI71" s="333" t="e">
        <f t="shared" si="12"/>
        <v>#REF!</v>
      </c>
      <c r="BJ71" s="334" t="e">
        <f t="shared" si="21"/>
        <v>#REF!</v>
      </c>
      <c r="BK71" s="335" t="e">
        <f t="shared" si="22"/>
        <v>#REF!</v>
      </c>
      <c r="BL71" s="335" t="e">
        <f t="shared" si="1"/>
        <v>#REF!</v>
      </c>
    </row>
    <row r="72" spans="2:64" ht="15.75" customHeight="1">
      <c r="B72" s="310">
        <f t="shared" si="23"/>
        <v>47</v>
      </c>
      <c r="C72" s="311">
        <f t="shared" si="17"/>
        <v>4</v>
      </c>
      <c r="D72" s="312" t="str">
        <f t="shared" si="42"/>
        <v xml:space="preserve">             </v>
      </c>
      <c r="E72" s="340"/>
      <c r="F72" s="352"/>
      <c r="G72" s="352"/>
      <c r="H72" s="352"/>
      <c r="I72" s="352"/>
      <c r="J72" s="352"/>
      <c r="K72" s="352"/>
      <c r="L72" s="352"/>
      <c r="M72" s="352"/>
      <c r="N72" s="352"/>
      <c r="O72" s="352"/>
      <c r="P72" s="352"/>
      <c r="Q72" s="352"/>
      <c r="R72" s="352" t="e">
        <f t="shared" si="40"/>
        <v>#REF!</v>
      </c>
      <c r="S72" s="352" t="e">
        <f t="shared" si="41"/>
        <v>#REF!</v>
      </c>
      <c r="T72" s="352"/>
      <c r="U72" s="352"/>
      <c r="V72" s="352"/>
      <c r="W72" s="331" t="e">
        <f t="shared" si="2"/>
        <v>#REF!</v>
      </c>
      <c r="X72" s="343" t="e">
        <f t="shared" si="13"/>
        <v>#REF!</v>
      </c>
      <c r="Y72" s="341" t="e">
        <f t="shared" si="14"/>
        <v>#REF!</v>
      </c>
      <c r="Z72" s="341"/>
      <c r="AA72" s="341"/>
      <c r="AB72" s="341"/>
      <c r="AC72" s="359"/>
      <c r="AD72" s="331" t="e">
        <f t="shared" si="29"/>
        <v>#REF!</v>
      </c>
      <c r="AE72" s="345" t="e">
        <f t="shared" si="0"/>
        <v>#REF!</v>
      </c>
      <c r="AF72" s="345" t="e">
        <f t="shared" si="15"/>
        <v>#REF!</v>
      </c>
      <c r="AG72" s="340" t="e">
        <f t="shared" si="34"/>
        <v>#REF!</v>
      </c>
      <c r="AH72" s="352" t="e">
        <f t="shared" si="19"/>
        <v>#REF!</v>
      </c>
      <c r="AI72" s="352" t="e">
        <f t="shared" si="25"/>
        <v>#REF!</v>
      </c>
      <c r="AJ72" s="352" t="e">
        <f t="shared" si="26"/>
        <v>#REF!</v>
      </c>
      <c r="AK72" s="354" t="e">
        <f t="shared" si="30"/>
        <v>#REF!</v>
      </c>
      <c r="AL72" s="355" t="e">
        <f t="shared" si="27"/>
        <v>#REF!</v>
      </c>
      <c r="AM72" s="356" t="e">
        <f t="shared" si="28"/>
        <v>#REF!</v>
      </c>
      <c r="AN72" s="357" t="e">
        <f t="shared" si="32"/>
        <v>#REF!</v>
      </c>
      <c r="AO72" s="338" t="e">
        <f t="shared" si="10"/>
        <v>#REF!</v>
      </c>
      <c r="AP72" s="349">
        <f t="shared" si="38"/>
        <v>0</v>
      </c>
      <c r="AQ72" s="358" t="e">
        <f t="shared" si="35"/>
        <v>#REF!</v>
      </c>
      <c r="AR72" s="358" t="e">
        <f t="shared" si="36"/>
        <v>#REF!</v>
      </c>
      <c r="AS72" s="327">
        <f t="shared" si="33"/>
        <v>47</v>
      </c>
      <c r="AT72" s="58"/>
      <c r="AU72" s="351">
        <f t="shared" si="20"/>
        <v>47</v>
      </c>
      <c r="AV72" s="329" t="e">
        <f t="shared" si="31"/>
        <v>#REF!</v>
      </c>
      <c r="AW72" s="330" t="e">
        <f t="shared" si="3"/>
        <v>#REF!</v>
      </c>
      <c r="AX72" s="330" t="e">
        <f t="shared" si="4"/>
        <v>#REF!</v>
      </c>
      <c r="AY72" s="330" t="e">
        <f t="shared" si="4"/>
        <v>#REF!</v>
      </c>
      <c r="AZ72" s="330">
        <f t="shared" si="4"/>
        <v>0</v>
      </c>
      <c r="BA72" s="330">
        <f t="shared" si="4"/>
        <v>0</v>
      </c>
      <c r="BB72" s="330">
        <f t="shared" si="5"/>
        <v>0</v>
      </c>
      <c r="BC72" s="331" t="e">
        <f t="shared" si="6"/>
        <v>#REF!</v>
      </c>
      <c r="BD72" s="329" t="e">
        <f t="shared" si="7"/>
        <v>#REF!</v>
      </c>
      <c r="BE72" s="330" t="e">
        <f t="shared" si="8"/>
        <v>#REF!</v>
      </c>
      <c r="BF72" s="330" t="e">
        <f t="shared" si="16"/>
        <v>#REF!</v>
      </c>
      <c r="BG72" s="331" t="e">
        <f t="shared" si="9"/>
        <v>#REF!</v>
      </c>
      <c r="BH72" s="332" t="e">
        <f t="shared" si="11"/>
        <v>#REF!</v>
      </c>
      <c r="BI72" s="333" t="e">
        <f>BJ71</f>
        <v>#REF!</v>
      </c>
      <c r="BJ72" s="334" t="e">
        <f t="shared" si="21"/>
        <v>#REF!</v>
      </c>
      <c r="BK72" s="335" t="e">
        <f>IF($BJ72&lt;0,$BJ72*-1,0)</f>
        <v>#REF!</v>
      </c>
      <c r="BL72" s="335" t="e">
        <f t="shared" si="1"/>
        <v>#REF!</v>
      </c>
    </row>
    <row r="73" spans="2:64" ht="15.75" customHeight="1">
      <c r="B73" s="310">
        <f t="shared" si="23"/>
        <v>48</v>
      </c>
      <c r="C73" s="311">
        <f t="shared" si="17"/>
        <v>5</v>
      </c>
      <c r="D73" s="312" t="str">
        <f t="shared" si="42"/>
        <v xml:space="preserve">             </v>
      </c>
      <c r="E73" s="340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 t="e">
        <f t="shared" si="40"/>
        <v>#REF!</v>
      </c>
      <c r="S73" s="352" t="e">
        <f t="shared" si="41"/>
        <v>#REF!</v>
      </c>
      <c r="T73" s="352"/>
      <c r="U73" s="352"/>
      <c r="V73" s="352"/>
      <c r="W73" s="331" t="e">
        <f t="shared" si="2"/>
        <v>#REF!</v>
      </c>
      <c r="X73" s="343" t="e">
        <f t="shared" si="13"/>
        <v>#REF!</v>
      </c>
      <c r="Y73" s="341" t="e">
        <f t="shared" si="14"/>
        <v>#REF!</v>
      </c>
      <c r="Z73" s="341"/>
      <c r="AA73" s="341"/>
      <c r="AB73" s="341"/>
      <c r="AC73" s="359"/>
      <c r="AD73" s="331" t="e">
        <f t="shared" si="29"/>
        <v>#REF!</v>
      </c>
      <c r="AE73" s="345" t="e">
        <f t="shared" si="0"/>
        <v>#REF!</v>
      </c>
      <c r="AF73" s="345" t="e">
        <f t="shared" si="15"/>
        <v>#REF!</v>
      </c>
      <c r="AG73" s="340" t="e">
        <f t="shared" si="34"/>
        <v>#REF!</v>
      </c>
      <c r="AH73" s="352" t="e">
        <f t="shared" si="19"/>
        <v>#REF!</v>
      </c>
      <c r="AI73" s="352" t="e">
        <f t="shared" si="25"/>
        <v>#REF!</v>
      </c>
      <c r="AJ73" s="352" t="e">
        <f t="shared" si="26"/>
        <v>#REF!</v>
      </c>
      <c r="AK73" s="354" t="e">
        <f t="shared" si="30"/>
        <v>#REF!</v>
      </c>
      <c r="AL73" s="355" t="e">
        <f t="shared" si="27"/>
        <v>#REF!</v>
      </c>
      <c r="AM73" s="356" t="e">
        <f t="shared" si="28"/>
        <v>#REF!</v>
      </c>
      <c r="AN73" s="357" t="e">
        <f t="shared" si="32"/>
        <v>#REF!</v>
      </c>
      <c r="AO73" s="338" t="e">
        <f t="shared" si="10"/>
        <v>#REF!</v>
      </c>
      <c r="AP73" s="349">
        <f t="shared" si="38"/>
        <v>0</v>
      </c>
      <c r="AQ73" s="358" t="e">
        <f t="shared" si="35"/>
        <v>#REF!</v>
      </c>
      <c r="AR73" s="358" t="e">
        <f t="shared" si="36"/>
        <v>#REF!</v>
      </c>
      <c r="AS73" s="327">
        <f t="shared" si="33"/>
        <v>48</v>
      </c>
      <c r="AT73" s="58"/>
      <c r="AU73" s="351">
        <f t="shared" si="20"/>
        <v>48</v>
      </c>
      <c r="AV73" s="329" t="e">
        <f t="shared" si="31"/>
        <v>#REF!</v>
      </c>
      <c r="AW73" s="330" t="e">
        <f t="shared" si="3"/>
        <v>#REF!</v>
      </c>
      <c r="AX73" s="330" t="e">
        <f t="shared" si="4"/>
        <v>#REF!</v>
      </c>
      <c r="AY73" s="330" t="e">
        <f t="shared" si="4"/>
        <v>#REF!</v>
      </c>
      <c r="AZ73" s="330">
        <f t="shared" si="4"/>
        <v>0</v>
      </c>
      <c r="BA73" s="330">
        <f t="shared" si="4"/>
        <v>0</v>
      </c>
      <c r="BB73" s="330">
        <f t="shared" si="5"/>
        <v>0</v>
      </c>
      <c r="BC73" s="331" t="e">
        <f t="shared" si="6"/>
        <v>#REF!</v>
      </c>
      <c r="BD73" s="329" t="e">
        <f t="shared" si="7"/>
        <v>#REF!</v>
      </c>
      <c r="BE73" s="330" t="e">
        <f t="shared" si="8"/>
        <v>#REF!</v>
      </c>
      <c r="BF73" s="330" t="e">
        <f t="shared" si="16"/>
        <v>#REF!</v>
      </c>
      <c r="BG73" s="331" t="e">
        <f t="shared" si="9"/>
        <v>#REF!</v>
      </c>
      <c r="BH73" s="332" t="e">
        <f t="shared" si="11"/>
        <v>#REF!</v>
      </c>
      <c r="BI73" s="333" t="e">
        <f t="shared" si="12"/>
        <v>#REF!</v>
      </c>
      <c r="BJ73" s="334" t="e">
        <f t="shared" si="21"/>
        <v>#REF!</v>
      </c>
      <c r="BK73" s="335" t="e">
        <f t="shared" si="22"/>
        <v>#REF!</v>
      </c>
      <c r="BL73" s="335" t="e">
        <f t="shared" si="1"/>
        <v>#REF!</v>
      </c>
    </row>
    <row r="74" spans="2:64" ht="15.75" customHeight="1">
      <c r="B74" s="310">
        <f t="shared" si="23"/>
        <v>49</v>
      </c>
      <c r="C74" s="311">
        <f t="shared" si="17"/>
        <v>6</v>
      </c>
      <c r="D74" s="312" t="str">
        <f>IF($C73=12,$D$73+1,"             ")</f>
        <v xml:space="preserve">             </v>
      </c>
      <c r="E74" s="340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 t="e">
        <f t="shared" si="40"/>
        <v>#REF!</v>
      </c>
      <c r="S74" s="352" t="e">
        <f t="shared" si="41"/>
        <v>#REF!</v>
      </c>
      <c r="T74" s="352"/>
      <c r="U74" s="352"/>
      <c r="V74" s="352"/>
      <c r="W74" s="331" t="e">
        <f t="shared" si="2"/>
        <v>#REF!</v>
      </c>
      <c r="X74" s="343" t="e">
        <f t="shared" si="13"/>
        <v>#REF!</v>
      </c>
      <c r="Y74" s="341" t="e">
        <f t="shared" si="14"/>
        <v>#REF!</v>
      </c>
      <c r="Z74" s="341"/>
      <c r="AA74" s="341"/>
      <c r="AB74" s="341"/>
      <c r="AC74" s="359"/>
      <c r="AD74" s="331" t="e">
        <f t="shared" si="29"/>
        <v>#REF!</v>
      </c>
      <c r="AE74" s="345" t="e">
        <f t="shared" si="0"/>
        <v>#REF!</v>
      </c>
      <c r="AF74" s="345" t="e">
        <f t="shared" si="15"/>
        <v>#REF!</v>
      </c>
      <c r="AG74" s="340" t="e">
        <f t="shared" si="34"/>
        <v>#REF!</v>
      </c>
      <c r="AH74" s="352" t="e">
        <f t="shared" si="19"/>
        <v>#REF!</v>
      </c>
      <c r="AI74" s="352" t="e">
        <f t="shared" si="25"/>
        <v>#REF!</v>
      </c>
      <c r="AJ74" s="352" t="e">
        <f t="shared" si="26"/>
        <v>#REF!</v>
      </c>
      <c r="AK74" s="354" t="e">
        <f t="shared" si="30"/>
        <v>#REF!</v>
      </c>
      <c r="AL74" s="355" t="e">
        <f t="shared" si="27"/>
        <v>#REF!</v>
      </c>
      <c r="AM74" s="356" t="e">
        <f t="shared" si="28"/>
        <v>#REF!</v>
      </c>
      <c r="AN74" s="357" t="e">
        <f t="shared" si="32"/>
        <v>#REF!</v>
      </c>
      <c r="AO74" s="338" t="e">
        <f t="shared" si="10"/>
        <v>#REF!</v>
      </c>
      <c r="AP74" s="349">
        <f t="shared" si="38"/>
        <v>0</v>
      </c>
      <c r="AQ74" s="358" t="e">
        <f t="shared" si="35"/>
        <v>#REF!</v>
      </c>
      <c r="AR74" s="358" t="e">
        <f t="shared" si="36"/>
        <v>#REF!</v>
      </c>
      <c r="AS74" s="327">
        <f t="shared" si="33"/>
        <v>49</v>
      </c>
      <c r="AT74" s="58"/>
      <c r="AU74" s="351">
        <f t="shared" si="20"/>
        <v>49</v>
      </c>
      <c r="AV74" s="329" t="e">
        <f t="shared" si="31"/>
        <v>#REF!</v>
      </c>
      <c r="AW74" s="330" t="e">
        <f t="shared" si="3"/>
        <v>#REF!</v>
      </c>
      <c r="AX74" s="330" t="e">
        <f t="shared" si="4"/>
        <v>#REF!</v>
      </c>
      <c r="AY74" s="330" t="e">
        <f t="shared" si="4"/>
        <v>#REF!</v>
      </c>
      <c r="AZ74" s="330">
        <f t="shared" si="4"/>
        <v>0</v>
      </c>
      <c r="BA74" s="330">
        <f t="shared" si="4"/>
        <v>0</v>
      </c>
      <c r="BB74" s="330">
        <f t="shared" si="5"/>
        <v>0</v>
      </c>
      <c r="BC74" s="331" t="e">
        <f t="shared" si="6"/>
        <v>#REF!</v>
      </c>
      <c r="BD74" s="329" t="e">
        <f t="shared" si="7"/>
        <v>#REF!</v>
      </c>
      <c r="BE74" s="330" t="e">
        <f t="shared" si="8"/>
        <v>#REF!</v>
      </c>
      <c r="BF74" s="330" t="e">
        <f t="shared" si="16"/>
        <v>#REF!</v>
      </c>
      <c r="BG74" s="331" t="e">
        <f t="shared" si="9"/>
        <v>#REF!</v>
      </c>
      <c r="BH74" s="332" t="e">
        <f t="shared" si="11"/>
        <v>#REF!</v>
      </c>
      <c r="BI74" s="333" t="e">
        <f t="shared" si="12"/>
        <v>#REF!</v>
      </c>
      <c r="BJ74" s="334" t="e">
        <f t="shared" si="21"/>
        <v>#REF!</v>
      </c>
      <c r="BK74" s="335" t="e">
        <f t="shared" si="22"/>
        <v>#REF!</v>
      </c>
      <c r="BL74" s="335" t="e">
        <f t="shared" si="1"/>
        <v>#REF!</v>
      </c>
    </row>
    <row r="75" spans="2:64" ht="15.75" customHeight="1" thickBot="1">
      <c r="B75" s="310">
        <f t="shared" si="23"/>
        <v>50</v>
      </c>
      <c r="C75" s="311">
        <f t="shared" si="17"/>
        <v>7</v>
      </c>
      <c r="D75" s="312" t="str">
        <f t="shared" ref="D75:D84" si="43">IF($C74=12,$D$73+1,"             ")</f>
        <v xml:space="preserve">             </v>
      </c>
      <c r="E75" s="340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 t="e">
        <f t="shared" si="40"/>
        <v>#REF!</v>
      </c>
      <c r="S75" s="352" t="e">
        <f t="shared" si="41"/>
        <v>#REF!</v>
      </c>
      <c r="T75" s="352"/>
      <c r="U75" s="352"/>
      <c r="V75" s="352"/>
      <c r="W75" s="331" t="e">
        <f t="shared" si="2"/>
        <v>#REF!</v>
      </c>
      <c r="X75" s="343" t="e">
        <f t="shared" si="13"/>
        <v>#REF!</v>
      </c>
      <c r="Y75" s="341" t="e">
        <f t="shared" si="14"/>
        <v>#REF!</v>
      </c>
      <c r="Z75" s="341"/>
      <c r="AA75" s="341"/>
      <c r="AB75" s="341"/>
      <c r="AC75" s="359"/>
      <c r="AD75" s="331" t="e">
        <f t="shared" si="29"/>
        <v>#REF!</v>
      </c>
      <c r="AE75" s="345" t="e">
        <f t="shared" si="0"/>
        <v>#REF!</v>
      </c>
      <c r="AF75" s="345" t="e">
        <f t="shared" si="15"/>
        <v>#REF!</v>
      </c>
      <c r="AG75" s="340" t="e">
        <f t="shared" si="34"/>
        <v>#REF!</v>
      </c>
      <c r="AH75" s="352" t="e">
        <f t="shared" si="19"/>
        <v>#REF!</v>
      </c>
      <c r="AI75" s="352" t="e">
        <f t="shared" si="25"/>
        <v>#REF!</v>
      </c>
      <c r="AJ75" s="352" t="e">
        <f t="shared" si="26"/>
        <v>#REF!</v>
      </c>
      <c r="AK75" s="354" t="e">
        <f t="shared" si="30"/>
        <v>#REF!</v>
      </c>
      <c r="AL75" s="355" t="e">
        <f t="shared" si="27"/>
        <v>#REF!</v>
      </c>
      <c r="AM75" s="356" t="e">
        <f t="shared" si="28"/>
        <v>#REF!</v>
      </c>
      <c r="AN75" s="357" t="e">
        <f t="shared" si="32"/>
        <v>#REF!</v>
      </c>
      <c r="AO75" s="338" t="e">
        <f t="shared" si="10"/>
        <v>#REF!</v>
      </c>
      <c r="AP75" s="349">
        <f>IF($C75=3,SUM(AK61:AK72),0)*-1</f>
        <v>0</v>
      </c>
      <c r="AQ75" s="358" t="e">
        <f>AE75+AI75+AK75+AP75</f>
        <v>#REF!</v>
      </c>
      <c r="AR75" s="358" t="e">
        <f>AQ75+Y75+AA75+AJ75+AN75</f>
        <v>#REF!</v>
      </c>
      <c r="AS75" s="327">
        <f t="shared" si="33"/>
        <v>50</v>
      </c>
      <c r="AT75" s="58"/>
      <c r="AU75" s="351">
        <f t="shared" si="20"/>
        <v>50</v>
      </c>
      <c r="AV75" s="329" t="e">
        <f t="shared" si="31"/>
        <v>#REF!</v>
      </c>
      <c r="AW75" s="330" t="e">
        <f t="shared" si="3"/>
        <v>#REF!</v>
      </c>
      <c r="AX75" s="330" t="e">
        <f t="shared" si="4"/>
        <v>#REF!</v>
      </c>
      <c r="AY75" s="330" t="e">
        <f t="shared" si="4"/>
        <v>#REF!</v>
      </c>
      <c r="AZ75" s="330">
        <f t="shared" si="4"/>
        <v>0</v>
      </c>
      <c r="BA75" s="330">
        <f t="shared" si="4"/>
        <v>0</v>
      </c>
      <c r="BB75" s="330">
        <f t="shared" si="5"/>
        <v>0</v>
      </c>
      <c r="BC75" s="331" t="e">
        <f t="shared" si="6"/>
        <v>#REF!</v>
      </c>
      <c r="BD75" s="329" t="e">
        <f t="shared" si="7"/>
        <v>#REF!</v>
      </c>
      <c r="BE75" s="330" t="e">
        <f t="shared" si="8"/>
        <v>#REF!</v>
      </c>
      <c r="BF75" s="330" t="e">
        <f t="shared" si="16"/>
        <v>#REF!</v>
      </c>
      <c r="BG75" s="331" t="e">
        <f t="shared" si="9"/>
        <v>#REF!</v>
      </c>
      <c r="BH75" s="332" t="e">
        <f>BC75+BG75</f>
        <v>#REF!</v>
      </c>
      <c r="BI75" s="333" t="e">
        <f t="shared" si="12"/>
        <v>#REF!</v>
      </c>
      <c r="BJ75" s="334" t="e">
        <f t="shared" si="21"/>
        <v>#REF!</v>
      </c>
      <c r="BK75" s="335" t="e">
        <f t="shared" si="22"/>
        <v>#REF!</v>
      </c>
      <c r="BL75" s="335" t="e">
        <f t="shared" si="1"/>
        <v>#REF!</v>
      </c>
    </row>
    <row r="76" spans="2:64" ht="15.75" hidden="1" customHeight="1">
      <c r="B76" s="310">
        <f t="shared" si="23"/>
        <v>51</v>
      </c>
      <c r="C76" s="311">
        <f t="shared" si="17"/>
        <v>8</v>
      </c>
      <c r="D76" s="312" t="str">
        <f t="shared" si="43"/>
        <v xml:space="preserve">             </v>
      </c>
      <c r="E76" s="340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 t="e">
        <f t="shared" ref="R76:R90" si="44">IF($AS76&lt;=$J$7,($V$8+$V$9+$V$11)*-1,0)</f>
        <v>#REF!</v>
      </c>
      <c r="S76" s="352" t="e">
        <f t="shared" si="41"/>
        <v>#REF!</v>
      </c>
      <c r="T76" s="352"/>
      <c r="U76" s="352"/>
      <c r="V76" s="352"/>
      <c r="W76" s="331" t="e">
        <f t="shared" si="2"/>
        <v>#REF!</v>
      </c>
      <c r="X76" s="343" t="e">
        <f t="shared" si="13"/>
        <v>#REF!</v>
      </c>
      <c r="Y76" s="341" t="e">
        <f t="shared" si="14"/>
        <v>#REF!</v>
      </c>
      <c r="Z76" s="341"/>
      <c r="AA76" s="341"/>
      <c r="AB76" s="341"/>
      <c r="AC76" s="359"/>
      <c r="AD76" s="331" t="e">
        <f t="shared" si="29"/>
        <v>#REF!</v>
      </c>
      <c r="AE76" s="345" t="e">
        <f t="shared" si="0"/>
        <v>#REF!</v>
      </c>
      <c r="AF76" s="345" t="e">
        <f t="shared" si="15"/>
        <v>#REF!</v>
      </c>
      <c r="AG76" s="340" t="e">
        <f t="shared" si="34"/>
        <v>#REF!</v>
      </c>
      <c r="AH76" s="352" t="e">
        <f t="shared" si="19"/>
        <v>#REF!</v>
      </c>
      <c r="AI76" s="352" t="e">
        <f t="shared" si="25"/>
        <v>#REF!</v>
      </c>
      <c r="AJ76" s="352" t="e">
        <f t="shared" si="26"/>
        <v>#REF!</v>
      </c>
      <c r="AK76" s="354" t="e">
        <f t="shared" si="30"/>
        <v>#REF!</v>
      </c>
      <c r="AL76" s="355" t="e">
        <f t="shared" si="27"/>
        <v>#REF!</v>
      </c>
      <c r="AM76" s="356" t="e">
        <f t="shared" si="28"/>
        <v>#REF!</v>
      </c>
      <c r="AN76" s="357" t="e">
        <f t="shared" si="32"/>
        <v>#REF!</v>
      </c>
      <c r="AO76" s="338" t="e">
        <f t="shared" si="10"/>
        <v>#REF!</v>
      </c>
      <c r="AP76" s="349">
        <f t="shared" si="38"/>
        <v>0</v>
      </c>
      <c r="AQ76" s="358" t="e">
        <f t="shared" si="35"/>
        <v>#REF!</v>
      </c>
      <c r="AR76" s="358" t="e">
        <f t="shared" si="36"/>
        <v>#REF!</v>
      </c>
      <c r="AS76" s="327">
        <f t="shared" si="33"/>
        <v>51</v>
      </c>
      <c r="AT76" s="58"/>
      <c r="AU76" s="351">
        <f t="shared" si="20"/>
        <v>51</v>
      </c>
      <c r="AV76" s="329" t="e">
        <f t="shared" ref="AV76:AV90" si="45">AI76-AK76</f>
        <v>#REF!</v>
      </c>
      <c r="AW76" s="330" t="e">
        <f t="shared" si="3"/>
        <v>#REF!</v>
      </c>
      <c r="AX76" s="330" t="e">
        <f t="shared" si="4"/>
        <v>#REF!</v>
      </c>
      <c r="AY76" s="330" t="e">
        <f t="shared" si="4"/>
        <v>#REF!</v>
      </c>
      <c r="AZ76" s="330">
        <f t="shared" si="4"/>
        <v>0</v>
      </c>
      <c r="BA76" s="330">
        <f t="shared" si="4"/>
        <v>0</v>
      </c>
      <c r="BB76" s="330">
        <f t="shared" si="5"/>
        <v>0</v>
      </c>
      <c r="BC76" s="331" t="e">
        <f t="shared" si="6"/>
        <v>#REF!</v>
      </c>
      <c r="BD76" s="329" t="e">
        <f t="shared" si="7"/>
        <v>#REF!</v>
      </c>
      <c r="BE76" s="330" t="e">
        <f t="shared" si="8"/>
        <v>#REF!</v>
      </c>
      <c r="BF76" s="330" t="e">
        <f t="shared" si="16"/>
        <v>#REF!</v>
      </c>
      <c r="BG76" s="331" t="e">
        <f t="shared" si="9"/>
        <v>#REF!</v>
      </c>
      <c r="BH76" s="332" t="e">
        <f t="shared" si="11"/>
        <v>#REF!</v>
      </c>
      <c r="BI76" s="333" t="e">
        <f t="shared" si="12"/>
        <v>#REF!</v>
      </c>
      <c r="BJ76" s="334" t="e">
        <f t="shared" si="21"/>
        <v>#REF!</v>
      </c>
      <c r="BK76" s="335" t="e">
        <f t="shared" si="22"/>
        <v>#REF!</v>
      </c>
      <c r="BL76" s="335" t="e">
        <f t="shared" si="1"/>
        <v>#REF!</v>
      </c>
    </row>
    <row r="77" spans="2:64" ht="15.75" hidden="1" customHeight="1">
      <c r="B77" s="310">
        <f t="shared" si="23"/>
        <v>52</v>
      </c>
      <c r="C77" s="311">
        <f t="shared" si="17"/>
        <v>9</v>
      </c>
      <c r="D77" s="312" t="str">
        <f t="shared" si="43"/>
        <v xml:space="preserve">             </v>
      </c>
      <c r="E77" s="340"/>
      <c r="F77" s="352"/>
      <c r="G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 t="e">
        <f t="shared" si="44"/>
        <v>#REF!</v>
      </c>
      <c r="S77" s="352" t="e">
        <f t="shared" si="41"/>
        <v>#REF!</v>
      </c>
      <c r="T77" s="352"/>
      <c r="U77" s="352"/>
      <c r="V77" s="352"/>
      <c r="W77" s="331" t="e">
        <f t="shared" si="2"/>
        <v>#REF!</v>
      </c>
      <c r="X77" s="343" t="e">
        <f t="shared" si="13"/>
        <v>#REF!</v>
      </c>
      <c r="Y77" s="341" t="e">
        <f t="shared" si="14"/>
        <v>#REF!</v>
      </c>
      <c r="Z77" s="341"/>
      <c r="AA77" s="341"/>
      <c r="AB77" s="341"/>
      <c r="AC77" s="359"/>
      <c r="AD77" s="331" t="e">
        <f t="shared" si="29"/>
        <v>#REF!</v>
      </c>
      <c r="AE77" s="345" t="e">
        <f t="shared" si="0"/>
        <v>#REF!</v>
      </c>
      <c r="AF77" s="345" t="e">
        <f t="shared" si="15"/>
        <v>#REF!</v>
      </c>
      <c r="AG77" s="340" t="e">
        <f t="shared" si="34"/>
        <v>#REF!</v>
      </c>
      <c r="AH77" s="352" t="e">
        <f t="shared" si="19"/>
        <v>#REF!</v>
      </c>
      <c r="AI77" s="352" t="e">
        <f t="shared" si="25"/>
        <v>#REF!</v>
      </c>
      <c r="AJ77" s="352" t="e">
        <f t="shared" si="26"/>
        <v>#REF!</v>
      </c>
      <c r="AK77" s="354" t="e">
        <f t="shared" si="30"/>
        <v>#REF!</v>
      </c>
      <c r="AL77" s="355" t="e">
        <f t="shared" si="27"/>
        <v>#REF!</v>
      </c>
      <c r="AM77" s="356" t="e">
        <f t="shared" si="28"/>
        <v>#REF!</v>
      </c>
      <c r="AN77" s="357" t="e">
        <f t="shared" si="32"/>
        <v>#REF!</v>
      </c>
      <c r="AO77" s="338" t="e">
        <f t="shared" si="10"/>
        <v>#REF!</v>
      </c>
      <c r="AP77" s="349">
        <f t="shared" si="38"/>
        <v>0</v>
      </c>
      <c r="AQ77" s="358" t="e">
        <f t="shared" si="35"/>
        <v>#REF!</v>
      </c>
      <c r="AR77" s="358" t="e">
        <f t="shared" si="36"/>
        <v>#REF!</v>
      </c>
      <c r="AS77" s="327">
        <f t="shared" si="33"/>
        <v>52</v>
      </c>
      <c r="AT77" s="58"/>
      <c r="AU77" s="351">
        <f t="shared" si="20"/>
        <v>52</v>
      </c>
      <c r="AV77" s="329" t="e">
        <f t="shared" si="45"/>
        <v>#REF!</v>
      </c>
      <c r="AW77" s="330" t="e">
        <f t="shared" si="3"/>
        <v>#REF!</v>
      </c>
      <c r="AX77" s="330" t="e">
        <f t="shared" si="4"/>
        <v>#REF!</v>
      </c>
      <c r="AY77" s="330" t="e">
        <f t="shared" si="4"/>
        <v>#REF!</v>
      </c>
      <c r="AZ77" s="330">
        <f t="shared" si="4"/>
        <v>0</v>
      </c>
      <c r="BA77" s="330">
        <f t="shared" si="4"/>
        <v>0</v>
      </c>
      <c r="BB77" s="330">
        <f t="shared" si="5"/>
        <v>0</v>
      </c>
      <c r="BC77" s="331" t="e">
        <f t="shared" si="6"/>
        <v>#REF!</v>
      </c>
      <c r="BD77" s="329" t="e">
        <f t="shared" si="7"/>
        <v>#REF!</v>
      </c>
      <c r="BE77" s="330" t="e">
        <f t="shared" si="8"/>
        <v>#REF!</v>
      </c>
      <c r="BF77" s="330" t="e">
        <f t="shared" si="16"/>
        <v>#REF!</v>
      </c>
      <c r="BG77" s="331" t="e">
        <f t="shared" si="9"/>
        <v>#REF!</v>
      </c>
      <c r="BH77" s="332" t="e">
        <f t="shared" si="11"/>
        <v>#REF!</v>
      </c>
      <c r="BI77" s="333" t="e">
        <f t="shared" si="12"/>
        <v>#REF!</v>
      </c>
      <c r="BJ77" s="334" t="e">
        <f t="shared" si="21"/>
        <v>#REF!</v>
      </c>
      <c r="BK77" s="335" t="e">
        <f t="shared" si="22"/>
        <v>#REF!</v>
      </c>
      <c r="BL77" s="335" t="e">
        <f t="shared" si="1"/>
        <v>#REF!</v>
      </c>
    </row>
    <row r="78" spans="2:64" ht="15.75" hidden="1" customHeight="1">
      <c r="B78" s="310">
        <f t="shared" si="23"/>
        <v>53</v>
      </c>
      <c r="C78" s="311">
        <f t="shared" si="17"/>
        <v>10</v>
      </c>
      <c r="D78" s="312" t="str">
        <f t="shared" si="43"/>
        <v xml:space="preserve">             </v>
      </c>
      <c r="E78" s="340"/>
      <c r="F78" s="352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 t="e">
        <f t="shared" si="44"/>
        <v>#REF!</v>
      </c>
      <c r="S78" s="352" t="e">
        <f t="shared" si="41"/>
        <v>#REF!</v>
      </c>
      <c r="T78" s="352"/>
      <c r="U78" s="352"/>
      <c r="V78" s="352"/>
      <c r="W78" s="331" t="e">
        <f t="shared" si="2"/>
        <v>#REF!</v>
      </c>
      <c r="X78" s="343" t="e">
        <f t="shared" si="13"/>
        <v>#REF!</v>
      </c>
      <c r="Y78" s="341" t="e">
        <f t="shared" si="14"/>
        <v>#REF!</v>
      </c>
      <c r="Z78" s="341"/>
      <c r="AA78" s="341"/>
      <c r="AB78" s="341"/>
      <c r="AC78" s="359"/>
      <c r="AD78" s="331" t="e">
        <f t="shared" si="29"/>
        <v>#REF!</v>
      </c>
      <c r="AE78" s="345" t="e">
        <f t="shared" si="0"/>
        <v>#REF!</v>
      </c>
      <c r="AF78" s="345" t="e">
        <f t="shared" si="15"/>
        <v>#REF!</v>
      </c>
      <c r="AG78" s="340" t="e">
        <f t="shared" si="34"/>
        <v>#REF!</v>
      </c>
      <c r="AH78" s="352" t="e">
        <f t="shared" si="19"/>
        <v>#REF!</v>
      </c>
      <c r="AI78" s="352" t="e">
        <f t="shared" si="25"/>
        <v>#REF!</v>
      </c>
      <c r="AJ78" s="352" t="e">
        <f t="shared" si="26"/>
        <v>#REF!</v>
      </c>
      <c r="AK78" s="354" t="e">
        <f t="shared" si="30"/>
        <v>#REF!</v>
      </c>
      <c r="AL78" s="355" t="e">
        <f t="shared" si="27"/>
        <v>#REF!</v>
      </c>
      <c r="AM78" s="356" t="e">
        <f t="shared" si="28"/>
        <v>#REF!</v>
      </c>
      <c r="AN78" s="357" t="e">
        <f t="shared" si="32"/>
        <v>#REF!</v>
      </c>
      <c r="AO78" s="338" t="e">
        <f t="shared" si="10"/>
        <v>#REF!</v>
      </c>
      <c r="AP78" s="349">
        <f t="shared" si="38"/>
        <v>0</v>
      </c>
      <c r="AQ78" s="358" t="e">
        <f t="shared" si="35"/>
        <v>#REF!</v>
      </c>
      <c r="AR78" s="358" t="e">
        <f t="shared" si="36"/>
        <v>#REF!</v>
      </c>
      <c r="AS78" s="327">
        <f t="shared" si="33"/>
        <v>53</v>
      </c>
      <c r="AT78" s="58"/>
      <c r="AU78" s="351">
        <f t="shared" si="20"/>
        <v>53</v>
      </c>
      <c r="AV78" s="329" t="e">
        <f t="shared" si="45"/>
        <v>#REF!</v>
      </c>
      <c r="AW78" s="330" t="e">
        <f t="shared" si="3"/>
        <v>#REF!</v>
      </c>
      <c r="AX78" s="330" t="e">
        <f t="shared" si="4"/>
        <v>#REF!</v>
      </c>
      <c r="AY78" s="330" t="e">
        <f t="shared" si="4"/>
        <v>#REF!</v>
      </c>
      <c r="AZ78" s="330">
        <f t="shared" si="4"/>
        <v>0</v>
      </c>
      <c r="BA78" s="330">
        <f t="shared" si="4"/>
        <v>0</v>
      </c>
      <c r="BB78" s="330">
        <f t="shared" si="5"/>
        <v>0</v>
      </c>
      <c r="BC78" s="331" t="e">
        <f t="shared" si="6"/>
        <v>#REF!</v>
      </c>
      <c r="BD78" s="329" t="e">
        <f t="shared" si="7"/>
        <v>#REF!</v>
      </c>
      <c r="BE78" s="330" t="e">
        <f t="shared" si="8"/>
        <v>#REF!</v>
      </c>
      <c r="BF78" s="330" t="e">
        <f t="shared" si="16"/>
        <v>#REF!</v>
      </c>
      <c r="BG78" s="331" t="e">
        <f t="shared" si="9"/>
        <v>#REF!</v>
      </c>
      <c r="BH78" s="332" t="e">
        <f t="shared" si="11"/>
        <v>#REF!</v>
      </c>
      <c r="BI78" s="333" t="e">
        <f t="shared" si="12"/>
        <v>#REF!</v>
      </c>
      <c r="BJ78" s="334" t="e">
        <f t="shared" si="21"/>
        <v>#REF!</v>
      </c>
      <c r="BK78" s="335" t="e">
        <f t="shared" si="22"/>
        <v>#REF!</v>
      </c>
      <c r="BL78" s="335" t="e">
        <f t="shared" si="1"/>
        <v>#REF!</v>
      </c>
    </row>
    <row r="79" spans="2:64" ht="15.75" hidden="1" customHeight="1">
      <c r="B79" s="310">
        <f t="shared" si="23"/>
        <v>54</v>
      </c>
      <c r="C79" s="311">
        <f t="shared" si="17"/>
        <v>11</v>
      </c>
      <c r="D79" s="312" t="str">
        <f t="shared" si="43"/>
        <v xml:space="preserve">             </v>
      </c>
      <c r="E79" s="340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 t="e">
        <f t="shared" si="44"/>
        <v>#REF!</v>
      </c>
      <c r="S79" s="352" t="e">
        <f t="shared" si="41"/>
        <v>#REF!</v>
      </c>
      <c r="T79" s="352"/>
      <c r="U79" s="352"/>
      <c r="V79" s="352"/>
      <c r="W79" s="331" t="e">
        <f t="shared" si="2"/>
        <v>#REF!</v>
      </c>
      <c r="X79" s="343" t="e">
        <f t="shared" si="13"/>
        <v>#REF!</v>
      </c>
      <c r="Y79" s="341" t="e">
        <f t="shared" si="14"/>
        <v>#REF!</v>
      </c>
      <c r="Z79" s="341"/>
      <c r="AA79" s="341"/>
      <c r="AB79" s="341"/>
      <c r="AC79" s="359"/>
      <c r="AD79" s="331" t="e">
        <f t="shared" si="29"/>
        <v>#REF!</v>
      </c>
      <c r="AE79" s="345" t="e">
        <f t="shared" si="0"/>
        <v>#REF!</v>
      </c>
      <c r="AF79" s="345" t="e">
        <f t="shared" si="15"/>
        <v>#REF!</v>
      </c>
      <c r="AG79" s="340" t="e">
        <f t="shared" si="34"/>
        <v>#REF!</v>
      </c>
      <c r="AH79" s="352" t="e">
        <f t="shared" si="19"/>
        <v>#REF!</v>
      </c>
      <c r="AI79" s="352" t="e">
        <f t="shared" si="25"/>
        <v>#REF!</v>
      </c>
      <c r="AJ79" s="352" t="e">
        <f t="shared" si="26"/>
        <v>#REF!</v>
      </c>
      <c r="AK79" s="354" t="e">
        <f t="shared" si="30"/>
        <v>#REF!</v>
      </c>
      <c r="AL79" s="355" t="e">
        <f t="shared" si="27"/>
        <v>#REF!</v>
      </c>
      <c r="AM79" s="356" t="e">
        <f t="shared" si="28"/>
        <v>#REF!</v>
      </c>
      <c r="AN79" s="357" t="e">
        <f t="shared" si="32"/>
        <v>#REF!</v>
      </c>
      <c r="AO79" s="338" t="e">
        <f t="shared" si="10"/>
        <v>#REF!</v>
      </c>
      <c r="AP79" s="349">
        <f t="shared" si="38"/>
        <v>0</v>
      </c>
      <c r="AQ79" s="358" t="e">
        <f t="shared" si="35"/>
        <v>#REF!</v>
      </c>
      <c r="AR79" s="358" t="e">
        <f t="shared" si="36"/>
        <v>#REF!</v>
      </c>
      <c r="AS79" s="327">
        <f t="shared" si="33"/>
        <v>54</v>
      </c>
      <c r="AT79" s="58"/>
      <c r="AU79" s="351">
        <f t="shared" si="20"/>
        <v>54</v>
      </c>
      <c r="AV79" s="329" t="e">
        <f t="shared" si="45"/>
        <v>#REF!</v>
      </c>
      <c r="AW79" s="330" t="e">
        <f t="shared" si="3"/>
        <v>#REF!</v>
      </c>
      <c r="AX79" s="330" t="e">
        <f t="shared" si="4"/>
        <v>#REF!</v>
      </c>
      <c r="AY79" s="330" t="e">
        <f t="shared" si="4"/>
        <v>#REF!</v>
      </c>
      <c r="AZ79" s="330">
        <f t="shared" si="4"/>
        <v>0</v>
      </c>
      <c r="BA79" s="330">
        <f t="shared" si="4"/>
        <v>0</v>
      </c>
      <c r="BB79" s="330">
        <f t="shared" si="5"/>
        <v>0</v>
      </c>
      <c r="BC79" s="331" t="e">
        <f t="shared" si="6"/>
        <v>#REF!</v>
      </c>
      <c r="BD79" s="329" t="e">
        <f t="shared" si="7"/>
        <v>#REF!</v>
      </c>
      <c r="BE79" s="330" t="e">
        <f t="shared" si="8"/>
        <v>#REF!</v>
      </c>
      <c r="BF79" s="330" t="e">
        <f t="shared" si="16"/>
        <v>#REF!</v>
      </c>
      <c r="BG79" s="331" t="e">
        <f t="shared" si="9"/>
        <v>#REF!</v>
      </c>
      <c r="BH79" s="332" t="e">
        <f t="shared" si="11"/>
        <v>#REF!</v>
      </c>
      <c r="BI79" s="333" t="e">
        <f t="shared" si="12"/>
        <v>#REF!</v>
      </c>
      <c r="BJ79" s="334" t="e">
        <f t="shared" si="21"/>
        <v>#REF!</v>
      </c>
      <c r="BK79" s="335" t="e">
        <f t="shared" si="22"/>
        <v>#REF!</v>
      </c>
      <c r="BL79" s="335" t="e">
        <f t="shared" si="1"/>
        <v>#REF!</v>
      </c>
    </row>
    <row r="80" spans="2:64" ht="15.75" hidden="1" customHeight="1">
      <c r="B80" s="310">
        <f t="shared" si="23"/>
        <v>55</v>
      </c>
      <c r="C80" s="311">
        <f t="shared" si="17"/>
        <v>12</v>
      </c>
      <c r="D80" s="312" t="str">
        <f t="shared" si="43"/>
        <v xml:space="preserve">             </v>
      </c>
      <c r="E80" s="340"/>
      <c r="F80" s="352"/>
      <c r="G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 t="e">
        <f t="shared" si="44"/>
        <v>#REF!</v>
      </c>
      <c r="S80" s="352" t="e">
        <f t="shared" si="41"/>
        <v>#REF!</v>
      </c>
      <c r="T80" s="352"/>
      <c r="U80" s="352"/>
      <c r="V80" s="352"/>
      <c r="W80" s="331" t="e">
        <f t="shared" si="2"/>
        <v>#REF!</v>
      </c>
      <c r="X80" s="343" t="e">
        <f t="shared" si="13"/>
        <v>#REF!</v>
      </c>
      <c r="Y80" s="341" t="e">
        <f t="shared" si="14"/>
        <v>#REF!</v>
      </c>
      <c r="Z80" s="341"/>
      <c r="AA80" s="341"/>
      <c r="AB80" s="341"/>
      <c r="AC80" s="359"/>
      <c r="AD80" s="331" t="e">
        <f t="shared" si="29"/>
        <v>#REF!</v>
      </c>
      <c r="AE80" s="345" t="e">
        <f t="shared" si="0"/>
        <v>#REF!</v>
      </c>
      <c r="AF80" s="345" t="e">
        <f t="shared" si="15"/>
        <v>#REF!</v>
      </c>
      <c r="AG80" s="340" t="e">
        <f t="shared" si="34"/>
        <v>#REF!</v>
      </c>
      <c r="AH80" s="352" t="e">
        <f t="shared" si="19"/>
        <v>#REF!</v>
      </c>
      <c r="AI80" s="352" t="e">
        <f t="shared" si="25"/>
        <v>#REF!</v>
      </c>
      <c r="AJ80" s="352" t="e">
        <f t="shared" si="26"/>
        <v>#REF!</v>
      </c>
      <c r="AK80" s="354" t="e">
        <f t="shared" si="30"/>
        <v>#REF!</v>
      </c>
      <c r="AL80" s="355" t="e">
        <f t="shared" si="27"/>
        <v>#REF!</v>
      </c>
      <c r="AM80" s="356" t="e">
        <f t="shared" si="28"/>
        <v>#REF!</v>
      </c>
      <c r="AN80" s="357" t="e">
        <f t="shared" si="32"/>
        <v>#REF!</v>
      </c>
      <c r="AO80" s="338" t="e">
        <f t="shared" si="10"/>
        <v>#REF!</v>
      </c>
      <c r="AP80" s="349">
        <f t="shared" si="38"/>
        <v>0</v>
      </c>
      <c r="AQ80" s="358" t="e">
        <f t="shared" si="35"/>
        <v>#REF!</v>
      </c>
      <c r="AR80" s="358" t="e">
        <f t="shared" si="36"/>
        <v>#REF!</v>
      </c>
      <c r="AS80" s="327">
        <f t="shared" si="33"/>
        <v>55</v>
      </c>
      <c r="AT80" s="58"/>
      <c r="AU80" s="351">
        <f t="shared" si="20"/>
        <v>55</v>
      </c>
      <c r="AV80" s="329" t="e">
        <f t="shared" si="45"/>
        <v>#REF!</v>
      </c>
      <c r="AW80" s="330" t="e">
        <f t="shared" si="3"/>
        <v>#REF!</v>
      </c>
      <c r="AX80" s="330" t="e">
        <f t="shared" si="4"/>
        <v>#REF!</v>
      </c>
      <c r="AY80" s="330" t="e">
        <f t="shared" si="4"/>
        <v>#REF!</v>
      </c>
      <c r="AZ80" s="330">
        <f t="shared" si="4"/>
        <v>0</v>
      </c>
      <c r="BA80" s="330">
        <f t="shared" si="4"/>
        <v>0</v>
      </c>
      <c r="BB80" s="330">
        <f t="shared" si="5"/>
        <v>0</v>
      </c>
      <c r="BC80" s="331" t="e">
        <f t="shared" si="6"/>
        <v>#REF!</v>
      </c>
      <c r="BD80" s="329" t="e">
        <f t="shared" si="7"/>
        <v>#REF!</v>
      </c>
      <c r="BE80" s="330" t="e">
        <f t="shared" si="8"/>
        <v>#REF!</v>
      </c>
      <c r="BF80" s="330" t="e">
        <f t="shared" si="16"/>
        <v>#REF!</v>
      </c>
      <c r="BG80" s="331" t="e">
        <f t="shared" si="9"/>
        <v>#REF!</v>
      </c>
      <c r="BH80" s="332" t="e">
        <f t="shared" si="11"/>
        <v>#REF!</v>
      </c>
      <c r="BI80" s="333" t="e">
        <f t="shared" si="12"/>
        <v>#REF!</v>
      </c>
      <c r="BJ80" s="334" t="e">
        <f t="shared" si="21"/>
        <v>#REF!</v>
      </c>
      <c r="BK80" s="335" t="e">
        <f t="shared" si="22"/>
        <v>#REF!</v>
      </c>
      <c r="BL80" s="335" t="e">
        <f t="shared" si="1"/>
        <v>#REF!</v>
      </c>
    </row>
    <row r="81" spans="2:64" ht="15.75" hidden="1" customHeight="1">
      <c r="B81" s="310">
        <f t="shared" si="23"/>
        <v>56</v>
      </c>
      <c r="C81" s="311">
        <f t="shared" si="17"/>
        <v>1</v>
      </c>
      <c r="D81" s="312" t="e">
        <f t="shared" si="43"/>
        <v>#VALUE!</v>
      </c>
      <c r="E81" s="340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 t="e">
        <f t="shared" si="44"/>
        <v>#REF!</v>
      </c>
      <c r="S81" s="352" t="e">
        <f t="shared" si="41"/>
        <v>#REF!</v>
      </c>
      <c r="T81" s="352"/>
      <c r="U81" s="352"/>
      <c r="V81" s="352"/>
      <c r="W81" s="331" t="e">
        <f t="shared" si="2"/>
        <v>#REF!</v>
      </c>
      <c r="X81" s="343" t="e">
        <f t="shared" si="13"/>
        <v>#REF!</v>
      </c>
      <c r="Y81" s="341" t="e">
        <f t="shared" si="14"/>
        <v>#REF!</v>
      </c>
      <c r="Z81" s="341"/>
      <c r="AA81" s="341"/>
      <c r="AB81" s="341"/>
      <c r="AC81" s="359"/>
      <c r="AD81" s="331" t="e">
        <f t="shared" si="29"/>
        <v>#REF!</v>
      </c>
      <c r="AE81" s="345" t="e">
        <f t="shared" si="0"/>
        <v>#REF!</v>
      </c>
      <c r="AF81" s="345" t="e">
        <f t="shared" si="15"/>
        <v>#REF!</v>
      </c>
      <c r="AG81" s="340" t="e">
        <f t="shared" si="34"/>
        <v>#REF!</v>
      </c>
      <c r="AH81" s="352" t="e">
        <f t="shared" si="19"/>
        <v>#REF!</v>
      </c>
      <c r="AI81" s="352" t="e">
        <f t="shared" si="25"/>
        <v>#REF!</v>
      </c>
      <c r="AJ81" s="352" t="e">
        <f t="shared" si="26"/>
        <v>#REF!</v>
      </c>
      <c r="AK81" s="354" t="e">
        <f t="shared" si="30"/>
        <v>#REF!</v>
      </c>
      <c r="AL81" s="355" t="e">
        <f t="shared" si="27"/>
        <v>#REF!</v>
      </c>
      <c r="AM81" s="356" t="e">
        <f t="shared" si="28"/>
        <v>#REF!</v>
      </c>
      <c r="AN81" s="357" t="e">
        <f t="shared" si="32"/>
        <v>#REF!</v>
      </c>
      <c r="AO81" s="338" t="e">
        <f t="shared" si="10"/>
        <v>#REF!</v>
      </c>
      <c r="AP81" s="349">
        <f t="shared" si="38"/>
        <v>0</v>
      </c>
      <c r="AQ81" s="358" t="e">
        <f t="shared" si="35"/>
        <v>#REF!</v>
      </c>
      <c r="AR81" s="358" t="e">
        <f t="shared" si="36"/>
        <v>#REF!</v>
      </c>
      <c r="AS81" s="327">
        <f t="shared" si="33"/>
        <v>56</v>
      </c>
      <c r="AT81" s="58"/>
      <c r="AU81" s="351">
        <f t="shared" si="20"/>
        <v>56</v>
      </c>
      <c r="AV81" s="329" t="e">
        <f t="shared" si="45"/>
        <v>#REF!</v>
      </c>
      <c r="AW81" s="330" t="e">
        <f t="shared" si="3"/>
        <v>#REF!</v>
      </c>
      <c r="AX81" s="330" t="e">
        <f t="shared" si="4"/>
        <v>#REF!</v>
      </c>
      <c r="AY81" s="330" t="e">
        <f t="shared" si="4"/>
        <v>#REF!</v>
      </c>
      <c r="AZ81" s="330">
        <f t="shared" si="4"/>
        <v>0</v>
      </c>
      <c r="BA81" s="330">
        <f t="shared" si="4"/>
        <v>0</v>
      </c>
      <c r="BB81" s="330">
        <f t="shared" si="5"/>
        <v>0</v>
      </c>
      <c r="BC81" s="331" t="e">
        <f t="shared" si="6"/>
        <v>#REF!</v>
      </c>
      <c r="BD81" s="329" t="e">
        <f t="shared" si="7"/>
        <v>#REF!</v>
      </c>
      <c r="BE81" s="330" t="e">
        <f t="shared" si="8"/>
        <v>#REF!</v>
      </c>
      <c r="BF81" s="330" t="e">
        <f t="shared" si="16"/>
        <v>#REF!</v>
      </c>
      <c r="BG81" s="331" t="e">
        <f t="shared" si="9"/>
        <v>#REF!</v>
      </c>
      <c r="BH81" s="332" t="e">
        <f t="shared" si="11"/>
        <v>#REF!</v>
      </c>
      <c r="BI81" s="333" t="e">
        <f t="shared" si="12"/>
        <v>#REF!</v>
      </c>
      <c r="BJ81" s="334" t="e">
        <f t="shared" si="21"/>
        <v>#REF!</v>
      </c>
      <c r="BK81" s="335" t="e">
        <f t="shared" si="22"/>
        <v>#REF!</v>
      </c>
      <c r="BL81" s="335" t="e">
        <f t="shared" si="1"/>
        <v>#REF!</v>
      </c>
    </row>
    <row r="82" spans="2:64" ht="15.75" hidden="1" customHeight="1">
      <c r="B82" s="310">
        <f t="shared" si="23"/>
        <v>57</v>
      </c>
      <c r="C82" s="311">
        <f t="shared" si="17"/>
        <v>2</v>
      </c>
      <c r="D82" s="312" t="str">
        <f t="shared" si="43"/>
        <v xml:space="preserve">             </v>
      </c>
      <c r="E82" s="340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 t="e">
        <f t="shared" si="44"/>
        <v>#REF!</v>
      </c>
      <c r="S82" s="352" t="e">
        <f t="shared" si="41"/>
        <v>#REF!</v>
      </c>
      <c r="T82" s="352"/>
      <c r="U82" s="352"/>
      <c r="V82" s="352"/>
      <c r="W82" s="331" t="e">
        <f t="shared" si="2"/>
        <v>#REF!</v>
      </c>
      <c r="X82" s="343" t="e">
        <f t="shared" si="13"/>
        <v>#REF!</v>
      </c>
      <c r="Y82" s="341" t="e">
        <f t="shared" si="14"/>
        <v>#REF!</v>
      </c>
      <c r="Z82" s="341"/>
      <c r="AA82" s="341"/>
      <c r="AB82" s="341"/>
      <c r="AC82" s="359"/>
      <c r="AD82" s="331" t="e">
        <f t="shared" si="29"/>
        <v>#REF!</v>
      </c>
      <c r="AE82" s="345" t="e">
        <f t="shared" si="0"/>
        <v>#REF!</v>
      </c>
      <c r="AF82" s="345" t="e">
        <f t="shared" si="15"/>
        <v>#REF!</v>
      </c>
      <c r="AG82" s="340" t="e">
        <f t="shared" si="34"/>
        <v>#REF!</v>
      </c>
      <c r="AH82" s="352" t="e">
        <f t="shared" si="19"/>
        <v>#REF!</v>
      </c>
      <c r="AI82" s="352" t="e">
        <f t="shared" si="25"/>
        <v>#REF!</v>
      </c>
      <c r="AJ82" s="352" t="e">
        <f t="shared" si="26"/>
        <v>#REF!</v>
      </c>
      <c r="AK82" s="354" t="e">
        <f t="shared" si="30"/>
        <v>#REF!</v>
      </c>
      <c r="AL82" s="355" t="e">
        <f t="shared" si="27"/>
        <v>#REF!</v>
      </c>
      <c r="AM82" s="356" t="e">
        <f t="shared" si="28"/>
        <v>#REF!</v>
      </c>
      <c r="AN82" s="357" t="e">
        <f t="shared" si="32"/>
        <v>#REF!</v>
      </c>
      <c r="AO82" s="338" t="e">
        <f t="shared" si="10"/>
        <v>#REF!</v>
      </c>
      <c r="AP82" s="349">
        <f t="shared" si="38"/>
        <v>0</v>
      </c>
      <c r="AQ82" s="358" t="e">
        <f t="shared" si="35"/>
        <v>#REF!</v>
      </c>
      <c r="AR82" s="358" t="e">
        <f t="shared" si="36"/>
        <v>#REF!</v>
      </c>
      <c r="AS82" s="327">
        <f t="shared" si="33"/>
        <v>57</v>
      </c>
      <c r="AT82" s="58"/>
      <c r="AU82" s="351">
        <f t="shared" si="20"/>
        <v>57</v>
      </c>
      <c r="AV82" s="329" t="e">
        <f t="shared" si="45"/>
        <v>#REF!</v>
      </c>
      <c r="AW82" s="330" t="e">
        <f t="shared" si="3"/>
        <v>#REF!</v>
      </c>
      <c r="AX82" s="330" t="e">
        <f t="shared" si="4"/>
        <v>#REF!</v>
      </c>
      <c r="AY82" s="330" t="e">
        <f t="shared" si="4"/>
        <v>#REF!</v>
      </c>
      <c r="AZ82" s="330">
        <f t="shared" si="4"/>
        <v>0</v>
      </c>
      <c r="BA82" s="330">
        <f t="shared" si="4"/>
        <v>0</v>
      </c>
      <c r="BB82" s="330">
        <f t="shared" si="5"/>
        <v>0</v>
      </c>
      <c r="BC82" s="331" t="e">
        <f t="shared" si="6"/>
        <v>#REF!</v>
      </c>
      <c r="BD82" s="329" t="e">
        <f t="shared" si="7"/>
        <v>#REF!</v>
      </c>
      <c r="BE82" s="330" t="e">
        <f t="shared" si="8"/>
        <v>#REF!</v>
      </c>
      <c r="BF82" s="330" t="e">
        <f t="shared" si="16"/>
        <v>#REF!</v>
      </c>
      <c r="BG82" s="331" t="e">
        <f t="shared" si="9"/>
        <v>#REF!</v>
      </c>
      <c r="BH82" s="332" t="e">
        <f t="shared" si="11"/>
        <v>#REF!</v>
      </c>
      <c r="BI82" s="333" t="e">
        <f t="shared" si="12"/>
        <v>#REF!</v>
      </c>
      <c r="BJ82" s="334" t="e">
        <f t="shared" si="21"/>
        <v>#REF!</v>
      </c>
      <c r="BK82" s="335" t="e">
        <f t="shared" si="22"/>
        <v>#REF!</v>
      </c>
      <c r="BL82" s="335" t="e">
        <f t="shared" si="1"/>
        <v>#REF!</v>
      </c>
    </row>
    <row r="83" spans="2:64" ht="15.75" hidden="1" customHeight="1">
      <c r="B83" s="310">
        <f t="shared" si="23"/>
        <v>58</v>
      </c>
      <c r="C83" s="311">
        <f t="shared" si="17"/>
        <v>3</v>
      </c>
      <c r="D83" s="312" t="str">
        <f t="shared" si="43"/>
        <v xml:space="preserve">             </v>
      </c>
      <c r="E83" s="340"/>
      <c r="F83" s="352"/>
      <c r="G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 t="e">
        <f t="shared" si="44"/>
        <v>#REF!</v>
      </c>
      <c r="S83" s="352" t="e">
        <f t="shared" si="41"/>
        <v>#REF!</v>
      </c>
      <c r="T83" s="352"/>
      <c r="U83" s="352"/>
      <c r="V83" s="352"/>
      <c r="W83" s="331" t="e">
        <f t="shared" si="2"/>
        <v>#REF!</v>
      </c>
      <c r="X83" s="343" t="e">
        <f t="shared" si="13"/>
        <v>#REF!</v>
      </c>
      <c r="Y83" s="341" t="e">
        <f t="shared" si="14"/>
        <v>#REF!</v>
      </c>
      <c r="Z83" s="341"/>
      <c r="AA83" s="341"/>
      <c r="AB83" s="341"/>
      <c r="AC83" s="359"/>
      <c r="AD83" s="331" t="e">
        <f t="shared" si="29"/>
        <v>#REF!</v>
      </c>
      <c r="AE83" s="345" t="e">
        <f t="shared" si="0"/>
        <v>#REF!</v>
      </c>
      <c r="AF83" s="345" t="e">
        <f t="shared" si="15"/>
        <v>#REF!</v>
      </c>
      <c r="AG83" s="340" t="e">
        <f t="shared" si="34"/>
        <v>#REF!</v>
      </c>
      <c r="AH83" s="352" t="e">
        <f t="shared" si="19"/>
        <v>#REF!</v>
      </c>
      <c r="AI83" s="352" t="e">
        <f t="shared" si="25"/>
        <v>#REF!</v>
      </c>
      <c r="AJ83" s="352" t="e">
        <f t="shared" si="26"/>
        <v>#REF!</v>
      </c>
      <c r="AK83" s="354" t="e">
        <f t="shared" si="30"/>
        <v>#REF!</v>
      </c>
      <c r="AL83" s="355" t="e">
        <f t="shared" si="27"/>
        <v>#REF!</v>
      </c>
      <c r="AM83" s="356" t="e">
        <f t="shared" si="28"/>
        <v>#REF!</v>
      </c>
      <c r="AN83" s="357" t="e">
        <f t="shared" si="32"/>
        <v>#REF!</v>
      </c>
      <c r="AO83" s="338" t="e">
        <f t="shared" si="10"/>
        <v>#REF!</v>
      </c>
      <c r="AP83" s="349" t="e">
        <f t="shared" si="38"/>
        <v>#REF!</v>
      </c>
      <c r="AQ83" s="358" t="e">
        <f t="shared" si="35"/>
        <v>#REF!</v>
      </c>
      <c r="AR83" s="358" t="e">
        <f t="shared" si="36"/>
        <v>#REF!</v>
      </c>
      <c r="AS83" s="327">
        <f t="shared" si="33"/>
        <v>58</v>
      </c>
      <c r="AT83" s="58"/>
      <c r="AU83" s="351">
        <f t="shared" si="20"/>
        <v>58</v>
      </c>
      <c r="AV83" s="329" t="e">
        <f t="shared" si="45"/>
        <v>#REF!</v>
      </c>
      <c r="AW83" s="330" t="e">
        <f t="shared" si="3"/>
        <v>#REF!</v>
      </c>
      <c r="AX83" s="330" t="e">
        <f t="shared" si="4"/>
        <v>#REF!</v>
      </c>
      <c r="AY83" s="330" t="e">
        <f t="shared" si="4"/>
        <v>#REF!</v>
      </c>
      <c r="AZ83" s="330">
        <f t="shared" si="4"/>
        <v>0</v>
      </c>
      <c r="BA83" s="330">
        <f t="shared" si="4"/>
        <v>0</v>
      </c>
      <c r="BB83" s="330" t="e">
        <f t="shared" si="5"/>
        <v>#REF!</v>
      </c>
      <c r="BC83" s="331" t="e">
        <f t="shared" si="6"/>
        <v>#REF!</v>
      </c>
      <c r="BD83" s="329" t="e">
        <f t="shared" si="7"/>
        <v>#REF!</v>
      </c>
      <c r="BE83" s="330" t="e">
        <f t="shared" si="8"/>
        <v>#REF!</v>
      </c>
      <c r="BF83" s="330" t="e">
        <f t="shared" si="16"/>
        <v>#REF!</v>
      </c>
      <c r="BG83" s="331" t="e">
        <f t="shared" si="9"/>
        <v>#REF!</v>
      </c>
      <c r="BH83" s="332" t="e">
        <f t="shared" si="11"/>
        <v>#REF!</v>
      </c>
      <c r="BI83" s="333" t="e">
        <f t="shared" si="12"/>
        <v>#REF!</v>
      </c>
      <c r="BJ83" s="334" t="e">
        <f t="shared" si="21"/>
        <v>#REF!</v>
      </c>
      <c r="BK83" s="335" t="e">
        <f t="shared" si="22"/>
        <v>#REF!</v>
      </c>
      <c r="BL83" s="335" t="e">
        <f t="shared" si="1"/>
        <v>#REF!</v>
      </c>
    </row>
    <row r="84" spans="2:64" ht="15.75" hidden="1" customHeight="1">
      <c r="B84" s="310">
        <f t="shared" si="23"/>
        <v>59</v>
      </c>
      <c r="C84" s="311">
        <f t="shared" si="17"/>
        <v>4</v>
      </c>
      <c r="D84" s="312" t="str">
        <f t="shared" si="43"/>
        <v xml:space="preserve">             </v>
      </c>
      <c r="E84" s="340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 t="e">
        <f t="shared" si="44"/>
        <v>#REF!</v>
      </c>
      <c r="S84" s="352" t="e">
        <f t="shared" si="41"/>
        <v>#REF!</v>
      </c>
      <c r="T84" s="352"/>
      <c r="U84" s="352"/>
      <c r="V84" s="352"/>
      <c r="W84" s="331" t="e">
        <f t="shared" si="2"/>
        <v>#REF!</v>
      </c>
      <c r="X84" s="343" t="e">
        <f t="shared" si="13"/>
        <v>#REF!</v>
      </c>
      <c r="Y84" s="341" t="e">
        <f t="shared" si="14"/>
        <v>#REF!</v>
      </c>
      <c r="Z84" s="341"/>
      <c r="AA84" s="341"/>
      <c r="AB84" s="341"/>
      <c r="AC84" s="359"/>
      <c r="AD84" s="331" t="e">
        <f t="shared" si="29"/>
        <v>#REF!</v>
      </c>
      <c r="AE84" s="345" t="e">
        <f t="shared" si="0"/>
        <v>#REF!</v>
      </c>
      <c r="AF84" s="345" t="e">
        <f t="shared" si="15"/>
        <v>#REF!</v>
      </c>
      <c r="AG84" s="340" t="e">
        <f>IF(AS84&lt;=$J$7,AG83,0)</f>
        <v>#REF!</v>
      </c>
      <c r="AH84" s="352" t="e">
        <f t="shared" si="19"/>
        <v>#REF!</v>
      </c>
      <c r="AI84" s="352" t="e">
        <f t="shared" si="25"/>
        <v>#REF!</v>
      </c>
      <c r="AJ84" s="352" t="e">
        <f t="shared" si="26"/>
        <v>#REF!</v>
      </c>
      <c r="AK84" s="354" t="e">
        <f t="shared" si="30"/>
        <v>#REF!</v>
      </c>
      <c r="AL84" s="355" t="e">
        <f t="shared" si="27"/>
        <v>#REF!</v>
      </c>
      <c r="AM84" s="356" t="e">
        <f t="shared" si="28"/>
        <v>#REF!</v>
      </c>
      <c r="AN84" s="357" t="e">
        <f t="shared" si="32"/>
        <v>#REF!</v>
      </c>
      <c r="AO84" s="338" t="e">
        <f t="shared" si="10"/>
        <v>#REF!</v>
      </c>
      <c r="AP84" s="349">
        <f t="shared" si="38"/>
        <v>0</v>
      </c>
      <c r="AQ84" s="358" t="e">
        <f t="shared" si="35"/>
        <v>#REF!</v>
      </c>
      <c r="AR84" s="358" t="e">
        <f t="shared" si="36"/>
        <v>#REF!</v>
      </c>
      <c r="AS84" s="327">
        <f t="shared" si="33"/>
        <v>59</v>
      </c>
      <c r="AT84" s="58"/>
      <c r="AU84" s="351">
        <f t="shared" si="20"/>
        <v>59</v>
      </c>
      <c r="AV84" s="329" t="e">
        <f t="shared" si="45"/>
        <v>#REF!</v>
      </c>
      <c r="AW84" s="330" t="e">
        <f t="shared" si="3"/>
        <v>#REF!</v>
      </c>
      <c r="AX84" s="330" t="e">
        <f t="shared" si="4"/>
        <v>#REF!</v>
      </c>
      <c r="AY84" s="330" t="e">
        <f t="shared" si="4"/>
        <v>#REF!</v>
      </c>
      <c r="AZ84" s="330">
        <f t="shared" si="4"/>
        <v>0</v>
      </c>
      <c r="BA84" s="330">
        <f t="shared" si="4"/>
        <v>0</v>
      </c>
      <c r="BB84" s="330">
        <f t="shared" si="5"/>
        <v>0</v>
      </c>
      <c r="BC84" s="331" t="e">
        <f t="shared" si="6"/>
        <v>#REF!</v>
      </c>
      <c r="BD84" s="329" t="e">
        <f t="shared" si="7"/>
        <v>#REF!</v>
      </c>
      <c r="BE84" s="330" t="e">
        <f t="shared" si="8"/>
        <v>#REF!</v>
      </c>
      <c r="BF84" s="330" t="e">
        <f t="shared" si="16"/>
        <v>#REF!</v>
      </c>
      <c r="BG84" s="331" t="e">
        <f t="shared" si="9"/>
        <v>#REF!</v>
      </c>
      <c r="BH84" s="332" t="e">
        <f t="shared" si="11"/>
        <v>#REF!</v>
      </c>
      <c r="BI84" s="333" t="e">
        <f t="shared" si="12"/>
        <v>#REF!</v>
      </c>
      <c r="BJ84" s="334" t="e">
        <f t="shared" si="21"/>
        <v>#REF!</v>
      </c>
      <c r="BK84" s="335" t="e">
        <f t="shared" si="22"/>
        <v>#REF!</v>
      </c>
      <c r="BL84" s="335" t="e">
        <f t="shared" si="1"/>
        <v>#REF!</v>
      </c>
    </row>
    <row r="85" spans="2:64" ht="15.75" hidden="1" customHeight="1">
      <c r="B85" s="310">
        <f t="shared" si="23"/>
        <v>60</v>
      </c>
      <c r="C85" s="311">
        <f t="shared" si="17"/>
        <v>5</v>
      </c>
      <c r="D85" s="312" t="str">
        <f>IF($C84=12,$D$73+1,"             ")</f>
        <v xml:space="preserve">             </v>
      </c>
      <c r="E85" s="340"/>
      <c r="F85" s="352"/>
      <c r="G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 t="e">
        <f t="shared" si="44"/>
        <v>#REF!</v>
      </c>
      <c r="S85" s="352" t="e">
        <f t="shared" si="41"/>
        <v>#REF!</v>
      </c>
      <c r="T85" s="352"/>
      <c r="U85" s="352"/>
      <c r="V85" s="352"/>
      <c r="W85" s="331" t="e">
        <f t="shared" si="2"/>
        <v>#REF!</v>
      </c>
      <c r="X85" s="343" t="e">
        <f t="shared" si="13"/>
        <v>#REF!</v>
      </c>
      <c r="Y85" s="341" t="e">
        <f t="shared" si="14"/>
        <v>#REF!</v>
      </c>
      <c r="Z85" s="352"/>
      <c r="AA85" s="352"/>
      <c r="AB85" s="352"/>
      <c r="AC85" s="387"/>
      <c r="AD85" s="331" t="e">
        <f t="shared" si="29"/>
        <v>#REF!</v>
      </c>
      <c r="AE85" s="345" t="e">
        <f t="shared" si="0"/>
        <v>#REF!</v>
      </c>
      <c r="AF85" s="345" t="e">
        <f t="shared" si="15"/>
        <v>#REF!</v>
      </c>
      <c r="AG85" s="340" t="e">
        <f t="shared" si="34"/>
        <v>#REF!</v>
      </c>
      <c r="AH85" s="352" t="e">
        <f t="shared" si="19"/>
        <v>#REF!</v>
      </c>
      <c r="AI85" s="352" t="e">
        <f t="shared" si="25"/>
        <v>#REF!</v>
      </c>
      <c r="AJ85" s="352" t="e">
        <f t="shared" si="26"/>
        <v>#REF!</v>
      </c>
      <c r="AK85" s="354" t="e">
        <f t="shared" si="30"/>
        <v>#REF!</v>
      </c>
      <c r="AL85" s="388" t="e">
        <f t="shared" si="27"/>
        <v>#REF!</v>
      </c>
      <c r="AM85" s="356" t="e">
        <f t="shared" si="28"/>
        <v>#REF!</v>
      </c>
      <c r="AN85" s="357" t="e">
        <f t="shared" si="32"/>
        <v>#REF!</v>
      </c>
      <c r="AO85" s="338" t="e">
        <f t="shared" si="10"/>
        <v>#REF!</v>
      </c>
      <c r="AP85" s="389">
        <f t="shared" si="38"/>
        <v>0</v>
      </c>
      <c r="AQ85" s="358" t="e">
        <f t="shared" si="35"/>
        <v>#REF!</v>
      </c>
      <c r="AR85" s="358" t="e">
        <f t="shared" si="36"/>
        <v>#REF!</v>
      </c>
      <c r="AS85" s="327">
        <f t="shared" si="33"/>
        <v>60</v>
      </c>
      <c r="AT85" s="58"/>
      <c r="AU85" s="351">
        <f t="shared" si="20"/>
        <v>60</v>
      </c>
      <c r="AV85" s="329" t="e">
        <f t="shared" si="45"/>
        <v>#REF!</v>
      </c>
      <c r="AW85" s="330" t="e">
        <f t="shared" si="3"/>
        <v>#REF!</v>
      </c>
      <c r="AX85" s="330" t="e">
        <f t="shared" si="4"/>
        <v>#REF!</v>
      </c>
      <c r="AY85" s="330" t="e">
        <f t="shared" si="4"/>
        <v>#REF!</v>
      </c>
      <c r="AZ85" s="330">
        <f t="shared" si="4"/>
        <v>0</v>
      </c>
      <c r="BA85" s="330">
        <f t="shared" si="4"/>
        <v>0</v>
      </c>
      <c r="BB85" s="330">
        <f t="shared" si="5"/>
        <v>0</v>
      </c>
      <c r="BC85" s="331" t="e">
        <f t="shared" si="6"/>
        <v>#REF!</v>
      </c>
      <c r="BD85" s="329" t="e">
        <f t="shared" si="7"/>
        <v>#REF!</v>
      </c>
      <c r="BE85" s="330" t="e">
        <f t="shared" si="8"/>
        <v>#REF!</v>
      </c>
      <c r="BF85" s="330" t="e">
        <f t="shared" si="16"/>
        <v>#REF!</v>
      </c>
      <c r="BG85" s="331" t="e">
        <f t="shared" si="9"/>
        <v>#REF!</v>
      </c>
      <c r="BH85" s="332" t="e">
        <f t="shared" si="11"/>
        <v>#REF!</v>
      </c>
      <c r="BI85" s="333" t="e">
        <f t="shared" si="12"/>
        <v>#REF!</v>
      </c>
      <c r="BJ85" s="334" t="e">
        <f t="shared" si="21"/>
        <v>#REF!</v>
      </c>
      <c r="BK85" s="335" t="e">
        <f t="shared" si="22"/>
        <v>#REF!</v>
      </c>
      <c r="BL85" s="335" t="e">
        <f t="shared" si="1"/>
        <v>#REF!</v>
      </c>
    </row>
    <row r="86" spans="2:64" ht="15.75" hidden="1" customHeight="1">
      <c r="B86" s="310">
        <f t="shared" si="23"/>
        <v>61</v>
      </c>
      <c r="C86" s="311">
        <f t="shared" si="17"/>
        <v>6</v>
      </c>
      <c r="D86" s="312" t="str">
        <f>IF($C85=12,$D$85+1,"             ")</f>
        <v xml:space="preserve">             </v>
      </c>
      <c r="E86" s="340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52" t="e">
        <f t="shared" si="44"/>
        <v>#REF!</v>
      </c>
      <c r="S86" s="341" t="e">
        <f t="shared" si="41"/>
        <v>#REF!</v>
      </c>
      <c r="T86" s="341"/>
      <c r="U86" s="341"/>
      <c r="V86" s="341"/>
      <c r="W86" s="331" t="e">
        <f>SUM(E86:V86)</f>
        <v>#REF!</v>
      </c>
      <c r="X86" s="343" t="e">
        <f t="shared" si="13"/>
        <v>#REF!</v>
      </c>
      <c r="Y86" s="341" t="e">
        <f t="shared" si="14"/>
        <v>#REF!</v>
      </c>
      <c r="Z86" s="341"/>
      <c r="AA86" s="341"/>
      <c r="AB86" s="341"/>
      <c r="AC86" s="359"/>
      <c r="AD86" s="331" t="e">
        <f t="shared" si="29"/>
        <v>#REF!</v>
      </c>
      <c r="AE86" s="345" t="e">
        <f>W86+AD86</f>
        <v>#REF!</v>
      </c>
      <c r="AF86" s="345" t="e">
        <f t="shared" si="15"/>
        <v>#REF!</v>
      </c>
      <c r="AG86" s="340" t="e">
        <f t="shared" si="34"/>
        <v>#REF!</v>
      </c>
      <c r="AH86" s="352" t="e">
        <f t="shared" si="19"/>
        <v>#REF!</v>
      </c>
      <c r="AI86" s="352" t="e">
        <f t="shared" si="25"/>
        <v>#REF!</v>
      </c>
      <c r="AJ86" s="352" t="e">
        <f t="shared" si="26"/>
        <v>#REF!</v>
      </c>
      <c r="AK86" s="354" t="e">
        <f t="shared" si="30"/>
        <v>#REF!</v>
      </c>
      <c r="AL86" s="388" t="e">
        <f t="shared" si="27"/>
        <v>#REF!</v>
      </c>
      <c r="AM86" s="356" t="e">
        <f t="shared" si="28"/>
        <v>#REF!</v>
      </c>
      <c r="AN86" s="357" t="e">
        <f t="shared" si="32"/>
        <v>#REF!</v>
      </c>
      <c r="AO86" s="338" t="e">
        <f t="shared" si="10"/>
        <v>#REF!</v>
      </c>
      <c r="AP86" s="389">
        <f t="shared" si="38"/>
        <v>0</v>
      </c>
      <c r="AQ86" s="358" t="e">
        <f t="shared" si="35"/>
        <v>#REF!</v>
      </c>
      <c r="AR86" s="358" t="e">
        <f t="shared" si="36"/>
        <v>#REF!</v>
      </c>
      <c r="AS86" s="327">
        <f t="shared" si="33"/>
        <v>61</v>
      </c>
      <c r="AT86" s="58"/>
      <c r="AU86" s="351">
        <f t="shared" si="20"/>
        <v>61</v>
      </c>
      <c r="AV86" s="329" t="e">
        <f t="shared" si="45"/>
        <v>#REF!</v>
      </c>
      <c r="AW86" s="330" t="e">
        <f t="shared" si="3"/>
        <v>#REF!</v>
      </c>
      <c r="AX86" s="330" t="e">
        <f t="shared" si="4"/>
        <v>#REF!</v>
      </c>
      <c r="AY86" s="330" t="e">
        <f t="shared" si="4"/>
        <v>#REF!</v>
      </c>
      <c r="AZ86" s="330">
        <f t="shared" si="4"/>
        <v>0</v>
      </c>
      <c r="BA86" s="330">
        <f>AA86</f>
        <v>0</v>
      </c>
      <c r="BB86" s="330">
        <f t="shared" si="5"/>
        <v>0</v>
      </c>
      <c r="BC86" s="331" t="e">
        <f t="shared" si="6"/>
        <v>#REF!</v>
      </c>
      <c r="BD86" s="329" t="e">
        <f t="shared" si="7"/>
        <v>#REF!</v>
      </c>
      <c r="BE86" s="330" t="e">
        <f t="shared" si="8"/>
        <v>#REF!</v>
      </c>
      <c r="BF86" s="330" t="e">
        <f t="shared" si="16"/>
        <v>#REF!</v>
      </c>
      <c r="BG86" s="331" t="e">
        <f t="shared" si="9"/>
        <v>#REF!</v>
      </c>
      <c r="BH86" s="332" t="e">
        <f t="shared" si="11"/>
        <v>#REF!</v>
      </c>
      <c r="BI86" s="333" t="e">
        <f t="shared" si="12"/>
        <v>#REF!</v>
      </c>
      <c r="BJ86" s="334" t="e">
        <f t="shared" si="21"/>
        <v>#REF!</v>
      </c>
      <c r="BK86" s="335" t="e">
        <f t="shared" si="22"/>
        <v>#REF!</v>
      </c>
      <c r="BL86" s="335" t="e">
        <f>$BK86*$G$14*1/12</f>
        <v>#REF!</v>
      </c>
    </row>
    <row r="87" spans="2:64" ht="15.75" hidden="1" customHeight="1">
      <c r="B87" s="310">
        <f t="shared" si="23"/>
        <v>62</v>
      </c>
      <c r="C87" s="311">
        <f t="shared" si="17"/>
        <v>7</v>
      </c>
      <c r="D87" s="312" t="str">
        <f>IF($C86=12,$D$85+1,"             ")</f>
        <v xml:space="preserve">             </v>
      </c>
      <c r="E87" s="343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52" t="e">
        <f t="shared" si="44"/>
        <v>#REF!</v>
      </c>
      <c r="S87" s="352" t="e">
        <f t="shared" si="41"/>
        <v>#REF!</v>
      </c>
      <c r="T87" s="341"/>
      <c r="U87" s="341"/>
      <c r="V87" s="341"/>
      <c r="W87" s="331" t="e">
        <f>SUM(E87:V87)</f>
        <v>#REF!</v>
      </c>
      <c r="X87" s="343" t="e">
        <f t="shared" si="13"/>
        <v>#REF!</v>
      </c>
      <c r="Y87" s="341" t="e">
        <f t="shared" si="14"/>
        <v>#REF!</v>
      </c>
      <c r="Z87" s="341"/>
      <c r="AA87" s="341"/>
      <c r="AB87" s="341"/>
      <c r="AC87" s="359"/>
      <c r="AD87" s="331" t="e">
        <f t="shared" si="29"/>
        <v>#REF!</v>
      </c>
      <c r="AE87" s="345" t="e">
        <f>W87+AD87</f>
        <v>#REF!</v>
      </c>
      <c r="AF87" s="345" t="e">
        <f t="shared" si="15"/>
        <v>#REF!</v>
      </c>
      <c r="AG87" s="340" t="e">
        <f t="shared" si="34"/>
        <v>#REF!</v>
      </c>
      <c r="AH87" s="352" t="e">
        <f t="shared" si="19"/>
        <v>#REF!</v>
      </c>
      <c r="AI87" s="352" t="e">
        <f t="shared" si="25"/>
        <v>#REF!</v>
      </c>
      <c r="AJ87" s="352" t="e">
        <f t="shared" si="26"/>
        <v>#REF!</v>
      </c>
      <c r="AK87" s="354" t="e">
        <f t="shared" si="30"/>
        <v>#REF!</v>
      </c>
      <c r="AL87" s="388" t="e">
        <f t="shared" si="27"/>
        <v>#REF!</v>
      </c>
      <c r="AM87" s="356" t="e">
        <f t="shared" si="28"/>
        <v>#REF!</v>
      </c>
      <c r="AN87" s="357" t="e">
        <f t="shared" si="32"/>
        <v>#REF!</v>
      </c>
      <c r="AO87" s="338" t="e">
        <f t="shared" si="10"/>
        <v>#REF!</v>
      </c>
      <c r="AP87" s="389">
        <f>IF($C87=3,SUM(AK73:AK85),0)*-1</f>
        <v>0</v>
      </c>
      <c r="AQ87" s="358" t="e">
        <f t="shared" si="35"/>
        <v>#REF!</v>
      </c>
      <c r="AR87" s="358" t="e">
        <f t="shared" si="36"/>
        <v>#REF!</v>
      </c>
      <c r="AS87" s="327">
        <f t="shared" si="33"/>
        <v>62</v>
      </c>
      <c r="AT87" s="58"/>
      <c r="AU87" s="351">
        <f t="shared" si="20"/>
        <v>62</v>
      </c>
      <c r="AV87" s="329" t="e">
        <f t="shared" si="45"/>
        <v>#REF!</v>
      </c>
      <c r="AW87" s="330" t="e">
        <f>AJ87</f>
        <v>#REF!</v>
      </c>
      <c r="AX87" s="330" t="e">
        <f t="shared" ref="AX87:BA90" si="46">X87</f>
        <v>#REF!</v>
      </c>
      <c r="AY87" s="330" t="e">
        <f t="shared" si="46"/>
        <v>#REF!</v>
      </c>
      <c r="AZ87" s="330">
        <f t="shared" si="46"/>
        <v>0</v>
      </c>
      <c r="BA87" s="330">
        <f t="shared" si="46"/>
        <v>0</v>
      </c>
      <c r="BB87" s="330">
        <f>AP87</f>
        <v>0</v>
      </c>
      <c r="BC87" s="331" t="e">
        <f>AV87+AW87+AX87+AY87+AZ87+BA87+BB87</f>
        <v>#REF!</v>
      </c>
      <c r="BD87" s="329" t="e">
        <f>W87</f>
        <v>#REF!</v>
      </c>
      <c r="BE87" s="330" t="e">
        <f>AN87</f>
        <v>#REF!</v>
      </c>
      <c r="BF87" s="330" t="e">
        <f t="shared" si="16"/>
        <v>#REF!</v>
      </c>
      <c r="BG87" s="331" t="e">
        <f>BD87+BE87+BF87</f>
        <v>#REF!</v>
      </c>
      <c r="BH87" s="332" t="e">
        <f>BC87+BG87</f>
        <v>#REF!</v>
      </c>
      <c r="BI87" s="333" t="e">
        <f t="shared" si="12"/>
        <v>#REF!</v>
      </c>
      <c r="BJ87" s="334" t="e">
        <f t="shared" si="21"/>
        <v>#REF!</v>
      </c>
      <c r="BK87" s="335" t="e">
        <f t="shared" si="22"/>
        <v>#REF!</v>
      </c>
      <c r="BL87" s="335" t="e">
        <f>$BK87*$G$14*1/12</f>
        <v>#REF!</v>
      </c>
    </row>
    <row r="88" spans="2:64" ht="15.75" hidden="1" customHeight="1">
      <c r="B88" s="310">
        <f t="shared" si="23"/>
        <v>63</v>
      </c>
      <c r="C88" s="311">
        <f t="shared" si="17"/>
        <v>8</v>
      </c>
      <c r="D88" s="312" t="str">
        <f>IF($C87=12,$D$85+1,"             ")</f>
        <v xml:space="preserve">             </v>
      </c>
      <c r="E88" s="343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52" t="e">
        <f t="shared" si="44"/>
        <v>#REF!</v>
      </c>
      <c r="S88" s="352" t="e">
        <f t="shared" si="41"/>
        <v>#REF!</v>
      </c>
      <c r="T88" s="341"/>
      <c r="U88" s="341"/>
      <c r="V88" s="341"/>
      <c r="W88" s="331" t="e">
        <f>SUM(E88:V88)</f>
        <v>#REF!</v>
      </c>
      <c r="X88" s="343" t="e">
        <f t="shared" si="13"/>
        <v>#REF!</v>
      </c>
      <c r="Y88" s="341" t="e">
        <f t="shared" si="14"/>
        <v>#REF!</v>
      </c>
      <c r="Z88" s="341"/>
      <c r="AA88" s="341"/>
      <c r="AB88" s="341"/>
      <c r="AC88" s="359"/>
      <c r="AD88" s="331" t="e">
        <f t="shared" si="29"/>
        <v>#REF!</v>
      </c>
      <c r="AE88" s="345" t="e">
        <f>W88+AD88</f>
        <v>#REF!</v>
      </c>
      <c r="AF88" s="345" t="e">
        <f t="shared" si="15"/>
        <v>#REF!</v>
      </c>
      <c r="AG88" s="340" t="e">
        <f t="shared" si="34"/>
        <v>#REF!</v>
      </c>
      <c r="AH88" s="352" t="e">
        <f t="shared" si="19"/>
        <v>#REF!</v>
      </c>
      <c r="AI88" s="352" t="e">
        <f t="shared" si="25"/>
        <v>#REF!</v>
      </c>
      <c r="AJ88" s="352" t="e">
        <f t="shared" si="26"/>
        <v>#REF!</v>
      </c>
      <c r="AK88" s="354" t="e">
        <f t="shared" si="30"/>
        <v>#REF!</v>
      </c>
      <c r="AL88" s="388" t="e">
        <f t="shared" si="27"/>
        <v>#REF!</v>
      </c>
      <c r="AM88" s="356" t="e">
        <f t="shared" si="28"/>
        <v>#REF!</v>
      </c>
      <c r="AN88" s="357" t="e">
        <f t="shared" si="32"/>
        <v>#REF!</v>
      </c>
      <c r="AO88" s="338" t="e">
        <f>IF(($AL88+$AO87+$AM88)&lt;0,($AL88+$AO87+$AM88),0)</f>
        <v>#REF!</v>
      </c>
      <c r="AP88" s="389">
        <f t="shared" si="38"/>
        <v>0</v>
      </c>
      <c r="AQ88" s="358" t="e">
        <f t="shared" si="35"/>
        <v>#REF!</v>
      </c>
      <c r="AR88" s="358" t="e">
        <f t="shared" si="36"/>
        <v>#REF!</v>
      </c>
      <c r="AS88" s="327">
        <f t="shared" si="33"/>
        <v>63</v>
      </c>
      <c r="AT88" s="58"/>
      <c r="AU88" s="351">
        <f t="shared" si="20"/>
        <v>63</v>
      </c>
      <c r="AV88" s="329" t="e">
        <f t="shared" si="45"/>
        <v>#REF!</v>
      </c>
      <c r="AW88" s="330" t="e">
        <f>AJ88</f>
        <v>#REF!</v>
      </c>
      <c r="AX88" s="330" t="e">
        <f t="shared" si="46"/>
        <v>#REF!</v>
      </c>
      <c r="AY88" s="330" t="e">
        <f t="shared" si="46"/>
        <v>#REF!</v>
      </c>
      <c r="AZ88" s="330">
        <f t="shared" si="46"/>
        <v>0</v>
      </c>
      <c r="BA88" s="330">
        <f t="shared" si="46"/>
        <v>0</v>
      </c>
      <c r="BB88" s="330">
        <f>AP88</f>
        <v>0</v>
      </c>
      <c r="BC88" s="331" t="e">
        <f>AV88+AW88+AX88+AY88+AZ88+BA88+BB88</f>
        <v>#REF!</v>
      </c>
      <c r="BD88" s="329" t="e">
        <f>W88</f>
        <v>#REF!</v>
      </c>
      <c r="BE88" s="330" t="e">
        <f>AN88</f>
        <v>#REF!</v>
      </c>
      <c r="BF88" s="330" t="e">
        <f t="shared" si="16"/>
        <v>#REF!</v>
      </c>
      <c r="BG88" s="331" t="e">
        <f>BD88+BE88+BF88</f>
        <v>#REF!</v>
      </c>
      <c r="BH88" s="332" t="e">
        <f>BC88+BG88</f>
        <v>#REF!</v>
      </c>
      <c r="BI88" s="333" t="e">
        <f>BJ87</f>
        <v>#REF!</v>
      </c>
      <c r="BJ88" s="334" t="e">
        <f>BH88+BI88</f>
        <v>#REF!</v>
      </c>
      <c r="BK88" s="335" t="e">
        <f>IF($BJ88&lt;0,$BJ88*-1,0)</f>
        <v>#REF!</v>
      </c>
      <c r="BL88" s="335" t="e">
        <f>$BK88*$G$14*1/12</f>
        <v>#REF!</v>
      </c>
    </row>
    <row r="89" spans="2:64" ht="15.75" hidden="1" customHeight="1">
      <c r="B89" s="310">
        <f t="shared" si="23"/>
        <v>64</v>
      </c>
      <c r="C89" s="311">
        <f t="shared" si="17"/>
        <v>9</v>
      </c>
      <c r="D89" s="312" t="str">
        <f>IF($C88=12,$D$85+1,"             ")</f>
        <v xml:space="preserve">             </v>
      </c>
      <c r="E89" s="343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52" t="e">
        <f t="shared" si="44"/>
        <v>#REF!</v>
      </c>
      <c r="S89" s="352" t="e">
        <f t="shared" si="41"/>
        <v>#REF!</v>
      </c>
      <c r="T89" s="341"/>
      <c r="U89" s="341"/>
      <c r="V89" s="341"/>
      <c r="W89" s="331" t="e">
        <f>SUM(E89:V89)</f>
        <v>#REF!</v>
      </c>
      <c r="X89" s="343" t="e">
        <f>IF($AS89=$J$7+1,$O$14,0)</f>
        <v>#REF!</v>
      </c>
      <c r="Y89" s="341" t="e">
        <f>IF($AS89=$J$7+1,$O$15,0)</f>
        <v>#REF!</v>
      </c>
      <c r="Z89" s="341"/>
      <c r="AA89" s="341"/>
      <c r="AB89" s="341"/>
      <c r="AC89" s="359"/>
      <c r="AD89" s="331" t="e">
        <f t="shared" si="29"/>
        <v>#REF!</v>
      </c>
      <c r="AE89" s="345" t="e">
        <f>W89+AD89</f>
        <v>#REF!</v>
      </c>
      <c r="AF89" s="345" t="e">
        <f>PV($G$14/12,$B89,0,$AE89*-1,0)</f>
        <v>#REF!</v>
      </c>
      <c r="AG89" s="340" t="e">
        <f t="shared" si="34"/>
        <v>#REF!</v>
      </c>
      <c r="AH89" s="352" t="e">
        <f t="shared" si="19"/>
        <v>#REF!</v>
      </c>
      <c r="AI89" s="352" t="e">
        <f t="shared" si="25"/>
        <v>#REF!</v>
      </c>
      <c r="AJ89" s="352" t="e">
        <f t="shared" si="26"/>
        <v>#REF!</v>
      </c>
      <c r="AK89" s="354" t="e">
        <f t="shared" si="30"/>
        <v>#REF!</v>
      </c>
      <c r="AL89" s="388" t="e">
        <f t="shared" si="27"/>
        <v>#REF!</v>
      </c>
      <c r="AM89" s="356" t="e">
        <f t="shared" si="28"/>
        <v>#REF!</v>
      </c>
      <c r="AN89" s="357" t="e">
        <f t="shared" si="32"/>
        <v>#REF!</v>
      </c>
      <c r="AO89" s="338" t="e">
        <f>IF(($AL89+$AO88+$AM89)&lt;0,($AL89+$AO88+$AM89),0)</f>
        <v>#REF!</v>
      </c>
      <c r="AP89" s="389">
        <f t="shared" si="38"/>
        <v>0</v>
      </c>
      <c r="AQ89" s="358" t="e">
        <f t="shared" si="35"/>
        <v>#REF!</v>
      </c>
      <c r="AR89" s="358" t="e">
        <f t="shared" si="36"/>
        <v>#REF!</v>
      </c>
      <c r="AS89" s="327">
        <f t="shared" si="33"/>
        <v>64</v>
      </c>
      <c r="AT89" s="58"/>
      <c r="AU89" s="351">
        <f t="shared" si="20"/>
        <v>64</v>
      </c>
      <c r="AV89" s="329" t="e">
        <f t="shared" si="45"/>
        <v>#REF!</v>
      </c>
      <c r="AW89" s="330" t="e">
        <f>AJ89</f>
        <v>#REF!</v>
      </c>
      <c r="AX89" s="330" t="e">
        <f t="shared" si="46"/>
        <v>#REF!</v>
      </c>
      <c r="AY89" s="330" t="e">
        <f t="shared" si="46"/>
        <v>#REF!</v>
      </c>
      <c r="AZ89" s="330">
        <f t="shared" si="46"/>
        <v>0</v>
      </c>
      <c r="BA89" s="330">
        <f t="shared" si="46"/>
        <v>0</v>
      </c>
      <c r="BB89" s="330">
        <f>AP89</f>
        <v>0</v>
      </c>
      <c r="BC89" s="331" t="e">
        <f>AV89+AW89+AX89+AY89+AZ89+BA89+BB89</f>
        <v>#REF!</v>
      </c>
      <c r="BD89" s="329" t="e">
        <f>W89</f>
        <v>#REF!</v>
      </c>
      <c r="BE89" s="330" t="e">
        <f>AN89</f>
        <v>#REF!</v>
      </c>
      <c r="BF89" s="330" t="e">
        <f>BL88*-1</f>
        <v>#REF!</v>
      </c>
      <c r="BG89" s="331" t="e">
        <f>BD89+BE89+BF89</f>
        <v>#REF!</v>
      </c>
      <c r="BH89" s="332" t="e">
        <f>BC89+BG89</f>
        <v>#REF!</v>
      </c>
      <c r="BI89" s="333" t="e">
        <f>BJ88</f>
        <v>#REF!</v>
      </c>
      <c r="BJ89" s="334" t="e">
        <f>BH89+BI89</f>
        <v>#REF!</v>
      </c>
      <c r="BK89" s="335" t="e">
        <f>IF($BJ89&lt;0,$BJ89*-1,0)</f>
        <v>#REF!</v>
      </c>
      <c r="BL89" s="335" t="e">
        <f>$BK89*$G$14*1/12</f>
        <v>#REF!</v>
      </c>
    </row>
    <row r="90" spans="2:64" ht="15.75" hidden="1" customHeight="1">
      <c r="B90" s="310">
        <f t="shared" si="23"/>
        <v>65</v>
      </c>
      <c r="C90" s="311">
        <f>IF($C89=12,1,$C89+1)</f>
        <v>10</v>
      </c>
      <c r="D90" s="312" t="str">
        <f>IF($C89=12,$D$85+1,"             ")</f>
        <v xml:space="preserve">             </v>
      </c>
      <c r="E90" s="390"/>
      <c r="F90" s="391"/>
      <c r="G90" s="391"/>
      <c r="H90" s="391"/>
      <c r="I90" s="391"/>
      <c r="J90" s="391"/>
      <c r="K90" s="391"/>
      <c r="L90" s="391"/>
      <c r="M90" s="391"/>
      <c r="N90" s="391"/>
      <c r="O90" s="391"/>
      <c r="P90" s="391"/>
      <c r="Q90" s="391"/>
      <c r="R90" s="352" t="e">
        <f t="shared" si="44"/>
        <v>#REF!</v>
      </c>
      <c r="S90" s="391" t="e">
        <f t="shared" si="41"/>
        <v>#REF!</v>
      </c>
      <c r="T90" s="391"/>
      <c r="U90" s="391"/>
      <c r="V90" s="391"/>
      <c r="W90" s="392" t="e">
        <f>SUM(E90:V90)</f>
        <v>#REF!</v>
      </c>
      <c r="X90" s="343" t="e">
        <f>IF($AS90=$J$7+1,$O$14,0)</f>
        <v>#REF!</v>
      </c>
      <c r="Y90" s="341" t="e">
        <f>IF($AS90=$J$7+1,$O$15,0)</f>
        <v>#REF!</v>
      </c>
      <c r="Z90" s="393"/>
      <c r="AA90" s="393"/>
      <c r="AB90" s="393"/>
      <c r="AC90" s="394"/>
      <c r="AD90" s="395" t="e">
        <f t="shared" si="29"/>
        <v>#REF!</v>
      </c>
      <c r="AE90" s="396" t="e">
        <f>W90+AD90</f>
        <v>#REF!</v>
      </c>
      <c r="AF90" s="396" t="e">
        <f>PV($G$14/12,$B90,0,$AE90*-1,0)</f>
        <v>#REF!</v>
      </c>
      <c r="AG90" s="340" t="e">
        <f t="shared" si="34"/>
        <v>#REF!</v>
      </c>
      <c r="AH90" s="352" t="e">
        <f>IF($AS90&lt;=$J$7,$V$10,0)</f>
        <v>#REF!</v>
      </c>
      <c r="AI90" s="397" t="e">
        <f t="shared" si="25"/>
        <v>#REF!</v>
      </c>
      <c r="AJ90" s="397" t="e">
        <f t="shared" si="26"/>
        <v>#REF!</v>
      </c>
      <c r="AK90" s="398" t="e">
        <f t="shared" si="30"/>
        <v>#REF!</v>
      </c>
      <c r="AL90" s="399" t="e">
        <f t="shared" si="27"/>
        <v>#REF!</v>
      </c>
      <c r="AM90" s="400" t="e">
        <f>($F90*$O$12)+($H90*$R$14)+($J90*$R$14)+($N90*$R$14)+($S90*$W$14)</f>
        <v>#REF!</v>
      </c>
      <c r="AN90" s="401" t="e">
        <f t="shared" si="32"/>
        <v>#REF!</v>
      </c>
      <c r="AO90" s="402" t="e">
        <f>IF(($AL90+$AO89+$AM90)&lt;0,($AL90+$AO89+$AM90),0)</f>
        <v>#REF!</v>
      </c>
      <c r="AP90" s="403">
        <f t="shared" si="38"/>
        <v>0</v>
      </c>
      <c r="AQ90" s="358" t="e">
        <f t="shared" si="35"/>
        <v>#REF!</v>
      </c>
      <c r="AR90" s="404" t="e">
        <f t="shared" si="36"/>
        <v>#REF!</v>
      </c>
      <c r="AS90" s="327">
        <f t="shared" si="33"/>
        <v>65</v>
      </c>
      <c r="AT90" s="58"/>
      <c r="AU90" s="405">
        <f>B90</f>
        <v>65</v>
      </c>
      <c r="AV90" s="406" t="e">
        <f t="shared" si="45"/>
        <v>#REF!</v>
      </c>
      <c r="AW90" s="407" t="e">
        <f>AJ90</f>
        <v>#REF!</v>
      </c>
      <c r="AX90" s="407" t="e">
        <f t="shared" si="46"/>
        <v>#REF!</v>
      </c>
      <c r="AY90" s="407" t="e">
        <f t="shared" si="46"/>
        <v>#REF!</v>
      </c>
      <c r="AZ90" s="407">
        <f t="shared" si="46"/>
        <v>0</v>
      </c>
      <c r="BA90" s="407">
        <f t="shared" si="46"/>
        <v>0</v>
      </c>
      <c r="BB90" s="407">
        <f>AP90</f>
        <v>0</v>
      </c>
      <c r="BC90" s="408" t="e">
        <f>AV90+AW90+AX90+AY90+AZ90+BA90+BB90</f>
        <v>#REF!</v>
      </c>
      <c r="BD90" s="406" t="e">
        <f>W90</f>
        <v>#REF!</v>
      </c>
      <c r="BE90" s="407" t="e">
        <f>AN90</f>
        <v>#REF!</v>
      </c>
      <c r="BF90" s="407" t="e">
        <f>BL89*-1</f>
        <v>#REF!</v>
      </c>
      <c r="BG90" s="408" t="e">
        <f>BD90+BE90+BF90</f>
        <v>#REF!</v>
      </c>
      <c r="BH90" s="409" t="e">
        <f>BC90+BG90</f>
        <v>#REF!</v>
      </c>
      <c r="BI90" s="410" t="e">
        <f>BJ89</f>
        <v>#REF!</v>
      </c>
      <c r="BJ90" s="411" t="e">
        <f>BH90+BI90</f>
        <v>#REF!</v>
      </c>
      <c r="BK90" s="412" t="e">
        <f>IF($BJ90&lt;0,$BJ90*-1,0)</f>
        <v>#REF!</v>
      </c>
      <c r="BL90" s="412" t="e">
        <f>$BK90*$G$14*1/12</f>
        <v>#REF!</v>
      </c>
    </row>
    <row r="91" spans="2:64" s="435" customFormat="1" ht="20.100000000000001" customHeight="1" thickTop="1" thickBot="1">
      <c r="B91" s="1393"/>
      <c r="C91" s="1394"/>
      <c r="D91" s="1395"/>
      <c r="E91" s="413">
        <f t="shared" ref="E91:AN91" si="47">SUM(E22:E90)</f>
        <v>-272727273</v>
      </c>
      <c r="F91" s="414">
        <f t="shared" si="47"/>
        <v>0</v>
      </c>
      <c r="G91" s="415">
        <f t="shared" si="47"/>
        <v>-45454545</v>
      </c>
      <c r="H91" s="415">
        <f t="shared" si="47"/>
        <v>0</v>
      </c>
      <c r="I91" s="415">
        <f t="shared" si="47"/>
        <v>0</v>
      </c>
      <c r="J91" s="415">
        <f t="shared" si="47"/>
        <v>0</v>
      </c>
      <c r="K91" s="415"/>
      <c r="L91" s="415"/>
      <c r="M91" s="415">
        <f t="shared" si="47"/>
        <v>0</v>
      </c>
      <c r="N91" s="415">
        <f t="shared" si="47"/>
        <v>0</v>
      </c>
      <c r="O91" s="414">
        <f t="shared" si="47"/>
        <v>-30000000</v>
      </c>
      <c r="P91" s="416">
        <f t="shared" si="47"/>
        <v>-26249999.985000003</v>
      </c>
      <c r="Q91" s="414">
        <f t="shared" si="47"/>
        <v>0</v>
      </c>
      <c r="R91" s="414" t="e">
        <f t="shared" si="47"/>
        <v>#REF!</v>
      </c>
      <c r="S91" s="414" t="e">
        <f>SUM(S26:S90)</f>
        <v>#REF!</v>
      </c>
      <c r="T91" s="414">
        <f t="shared" si="47"/>
        <v>-1103712.6256319333</v>
      </c>
      <c r="U91" s="414">
        <f t="shared" si="47"/>
        <v>0</v>
      </c>
      <c r="V91" s="414">
        <f t="shared" si="47"/>
        <v>0</v>
      </c>
      <c r="W91" s="417" t="e">
        <f t="shared" si="47"/>
        <v>#REF!</v>
      </c>
      <c r="X91" s="418" t="e">
        <f t="shared" si="47"/>
        <v>#REF!</v>
      </c>
      <c r="Y91" s="419" t="e">
        <f t="shared" si="47"/>
        <v>#REF!</v>
      </c>
      <c r="Z91" s="419">
        <f t="shared" si="47"/>
        <v>0</v>
      </c>
      <c r="AA91" s="419">
        <f t="shared" si="47"/>
        <v>0</v>
      </c>
      <c r="AB91" s="419">
        <f t="shared" si="47"/>
        <v>0</v>
      </c>
      <c r="AC91" s="420">
        <f>SUM(AC22:AC75)</f>
        <v>6562499.9962500008</v>
      </c>
      <c r="AD91" s="421" t="e">
        <f>SUM(AD22:AD90)</f>
        <v>#REF!</v>
      </c>
      <c r="AE91" s="422" t="e">
        <f t="shared" si="47"/>
        <v>#REF!</v>
      </c>
      <c r="AF91" s="423" t="e">
        <f>SUM(AF22:AF90)</f>
        <v>#REF!</v>
      </c>
      <c r="AG91" s="424" t="e">
        <f t="shared" si="47"/>
        <v>#REF!</v>
      </c>
      <c r="AH91" s="425" t="e">
        <f t="shared" si="47"/>
        <v>#REF!</v>
      </c>
      <c r="AI91" s="425" t="e">
        <f t="shared" si="47"/>
        <v>#REF!</v>
      </c>
      <c r="AJ91" s="425" t="e">
        <f t="shared" si="47"/>
        <v>#REF!</v>
      </c>
      <c r="AK91" s="426" t="e">
        <f t="shared" si="47"/>
        <v>#REF!</v>
      </c>
      <c r="AL91" s="427" t="e">
        <f t="shared" si="47"/>
        <v>#REF!</v>
      </c>
      <c r="AM91" s="428" t="e">
        <f>SUM(AM22:AM90)</f>
        <v>#REF!</v>
      </c>
      <c r="AN91" s="429" t="e">
        <f t="shared" si="47"/>
        <v>#REF!</v>
      </c>
      <c r="AO91" s="430"/>
      <c r="AP91" s="431" t="e">
        <f>SUM(AP22:AP90)</f>
        <v>#REF!</v>
      </c>
      <c r="AQ91" s="432" t="e">
        <f>SUM(AQ22:AQ90)</f>
        <v>#REF!</v>
      </c>
      <c r="AR91" s="433" t="e">
        <f>SUM(AR22:AR90)</f>
        <v>#REF!</v>
      </c>
      <c r="AS91" s="434"/>
      <c r="AU91" s="436"/>
      <c r="AV91" s="437" t="e">
        <f>SUM(AV22:AV90)</f>
        <v>#REF!</v>
      </c>
      <c r="AW91" s="438" t="e">
        <f>SUM(AW22:AW90)</f>
        <v>#REF!</v>
      </c>
      <c r="AX91" s="438" t="e">
        <f t="shared" ref="AX91:BE91" si="48">SUM(AX22:AX90)</f>
        <v>#REF!</v>
      </c>
      <c r="AY91" s="438" t="e">
        <f t="shared" si="48"/>
        <v>#REF!</v>
      </c>
      <c r="AZ91" s="438">
        <f t="shared" si="48"/>
        <v>0</v>
      </c>
      <c r="BA91" s="438">
        <f t="shared" si="48"/>
        <v>0</v>
      </c>
      <c r="BB91" s="438" t="e">
        <f t="shared" si="48"/>
        <v>#REF!</v>
      </c>
      <c r="BC91" s="439" t="e">
        <f t="shared" si="48"/>
        <v>#REF!</v>
      </c>
      <c r="BD91" s="437" t="e">
        <f t="shared" si="48"/>
        <v>#REF!</v>
      </c>
      <c r="BE91" s="438" t="e">
        <f t="shared" si="48"/>
        <v>#REF!</v>
      </c>
      <c r="BF91" s="440" t="e">
        <f t="shared" ref="BF91:BH91" si="49">SUM(BF22:BF61)</f>
        <v>#REF!</v>
      </c>
      <c r="BG91" s="440" t="e">
        <f t="shared" si="49"/>
        <v>#REF!</v>
      </c>
      <c r="BH91" s="440" t="e">
        <f t="shared" si="49"/>
        <v>#REF!</v>
      </c>
      <c r="BI91" s="438"/>
      <c r="BJ91" s="439"/>
      <c r="BK91" s="440" t="e">
        <f>SUM(BK22:BK90)</f>
        <v>#REF!</v>
      </c>
      <c r="BL91" s="440" t="e">
        <f>SUM(BL22:BL62)</f>
        <v>#REF!</v>
      </c>
    </row>
    <row r="92" spans="2:64" s="446" customFormat="1" ht="22.5" customHeight="1" thickTop="1">
      <c r="B92" s="441"/>
      <c r="C92" s="442"/>
      <c r="D92" s="441"/>
      <c r="E92" s="443"/>
      <c r="F92" s="443"/>
      <c r="G92" s="443"/>
      <c r="H92" s="443"/>
      <c r="I92" s="443"/>
      <c r="J92" s="443"/>
      <c r="K92" s="443"/>
      <c r="L92" s="443"/>
      <c r="M92" s="443"/>
      <c r="N92" s="443"/>
      <c r="O92" s="443"/>
      <c r="P92" s="443"/>
      <c r="Q92" s="443"/>
      <c r="R92" s="443"/>
      <c r="S92" s="443"/>
      <c r="T92" s="443"/>
      <c r="U92" s="443"/>
      <c r="V92" s="443"/>
      <c r="W92" s="443"/>
      <c r="X92" s="443"/>
      <c r="Y92" s="443"/>
      <c r="Z92" s="443"/>
      <c r="AA92" s="443"/>
      <c r="AB92" s="443"/>
      <c r="AC92" s="443"/>
      <c r="AD92" s="444"/>
      <c r="AE92" s="444"/>
      <c r="AF92" s="444" t="e">
        <f>'①Tidak termasuk VAT TAX'!AI91-'OPL - VAT'!AF91</f>
        <v>#REF!</v>
      </c>
      <c r="AG92" s="444" t="e">
        <f>AG91-'①Tidak termasuk VAT TAX'!AJ91</f>
        <v>#REF!</v>
      </c>
      <c r="AH92" s="444"/>
      <c r="AI92" s="444"/>
      <c r="AJ92" s="444"/>
      <c r="AK92" s="445"/>
      <c r="AL92" s="445"/>
      <c r="AM92" s="443"/>
      <c r="AP92" s="447"/>
      <c r="AS92" s="447"/>
      <c r="AT92" s="447"/>
      <c r="AU92" s="447"/>
      <c r="AV92" s="447"/>
      <c r="AW92" s="447"/>
      <c r="AX92" s="447"/>
      <c r="AY92" s="447"/>
      <c r="AZ92" s="447"/>
      <c r="BA92" s="447"/>
      <c r="BB92" s="447"/>
      <c r="BC92" s="447"/>
      <c r="BD92" s="448"/>
      <c r="BK92" s="449"/>
      <c r="BL92" s="449"/>
    </row>
    <row r="93" spans="2:64" ht="18" customHeight="1">
      <c r="B93" s="450" t="s">
        <v>220</v>
      </c>
      <c r="C93" s="451"/>
      <c r="D93" s="48"/>
      <c r="E93" s="452"/>
      <c r="F93" s="452"/>
      <c r="G93" s="452"/>
      <c r="H93" s="452"/>
      <c r="I93" s="452"/>
      <c r="J93" s="452"/>
      <c r="K93" s="452"/>
      <c r="L93" s="452"/>
      <c r="M93" s="450" t="s">
        <v>221</v>
      </c>
      <c r="N93" s="452"/>
      <c r="O93" s="452"/>
      <c r="P93" s="452"/>
      <c r="Q93" s="452"/>
      <c r="R93" s="452"/>
      <c r="S93" s="452"/>
      <c r="T93" s="452"/>
      <c r="U93" s="453"/>
      <c r="V93" s="453"/>
      <c r="W93" s="453"/>
      <c r="X93" s="453"/>
      <c r="Y93" s="453"/>
      <c r="Z93" s="453"/>
      <c r="AA93" s="453"/>
      <c r="AB93" s="453"/>
      <c r="AC93" s="453"/>
      <c r="AD93" s="59"/>
      <c r="AE93" s="59"/>
      <c r="AF93" s="59" t="e">
        <f>AG92-AF92</f>
        <v>#REF!</v>
      </c>
      <c r="AG93" s="59"/>
      <c r="AH93" s="59"/>
      <c r="AI93" s="59"/>
      <c r="AJ93" s="59"/>
      <c r="AK93" s="453"/>
      <c r="AL93" s="453"/>
      <c r="AM93" s="59"/>
      <c r="BD93" s="454"/>
    </row>
    <row r="94" spans="2:64" ht="18" customHeight="1">
      <c r="B94" s="1396" t="s">
        <v>222</v>
      </c>
      <c r="C94" s="1397" t="s">
        <v>223</v>
      </c>
      <c r="D94" s="1397"/>
      <c r="E94" s="1397"/>
      <c r="F94" s="1397"/>
      <c r="G94" s="1397"/>
      <c r="H94" s="1397"/>
      <c r="I94" s="1398" t="s">
        <v>224</v>
      </c>
      <c r="J94" s="455"/>
      <c r="K94" s="455"/>
      <c r="L94" s="455"/>
      <c r="M94" s="1396" t="s">
        <v>222</v>
      </c>
      <c r="N94" s="1397" t="s">
        <v>223</v>
      </c>
      <c r="O94" s="1397"/>
      <c r="P94" s="1397"/>
      <c r="Q94" s="1397"/>
      <c r="R94" s="1397"/>
      <c r="S94" s="1397"/>
      <c r="T94" s="1398" t="s">
        <v>224</v>
      </c>
      <c r="U94" s="453"/>
      <c r="V94" s="453"/>
      <c r="W94" s="453"/>
      <c r="X94" s="453"/>
      <c r="Y94" s="453"/>
      <c r="Z94" s="453"/>
      <c r="AA94" s="453"/>
      <c r="AB94" s="453"/>
      <c r="AC94" s="453"/>
      <c r="AD94" s="456"/>
      <c r="AE94" s="456"/>
      <c r="AF94" s="456" t="e">
        <f>SUM(AF91/36)</f>
        <v>#REF!</v>
      </c>
      <c r="AG94" s="456"/>
      <c r="AH94" s="456"/>
      <c r="AI94" s="456"/>
      <c r="AJ94" s="456"/>
      <c r="AK94" s="457"/>
      <c r="AL94" s="457"/>
      <c r="AM94" s="59"/>
      <c r="BD94" s="454"/>
    </row>
    <row r="95" spans="2:64" ht="18" customHeight="1">
      <c r="B95" s="1399" t="s">
        <v>225</v>
      </c>
      <c r="C95" s="1400" t="s">
        <v>226</v>
      </c>
      <c r="D95" s="1401"/>
      <c r="E95" s="1401"/>
      <c r="F95" s="1401"/>
      <c r="G95" s="1401"/>
      <c r="H95" s="1402"/>
      <c r="I95" s="1403"/>
      <c r="J95" s="455"/>
      <c r="K95" s="455"/>
      <c r="L95" s="455"/>
      <c r="M95" s="1399" t="s">
        <v>225</v>
      </c>
      <c r="N95" s="1400" t="s">
        <v>226</v>
      </c>
      <c r="O95" s="1401"/>
      <c r="P95" s="1401"/>
      <c r="Q95" s="1401"/>
      <c r="R95" s="1401"/>
      <c r="S95" s="1402"/>
      <c r="T95" s="1403"/>
      <c r="U95" s="453"/>
      <c r="V95" s="453"/>
      <c r="W95" s="453"/>
      <c r="X95" s="453"/>
      <c r="Y95" s="453"/>
      <c r="Z95" s="453"/>
      <c r="AA95" s="453"/>
      <c r="AB95" s="453"/>
      <c r="AC95" s="453"/>
      <c r="AD95" s="456"/>
      <c r="AE95" s="456"/>
      <c r="AF95" s="456"/>
      <c r="AG95" s="456"/>
      <c r="AH95" s="456"/>
      <c r="AI95" s="456"/>
      <c r="AJ95" s="456"/>
      <c r="AK95" s="457"/>
      <c r="AL95" s="457"/>
      <c r="AM95" s="59"/>
      <c r="BD95" s="454"/>
    </row>
    <row r="96" spans="2:64" ht="18" customHeight="1">
      <c r="B96" s="458"/>
      <c r="C96" s="459" t="s">
        <v>227</v>
      </c>
      <c r="D96" s="48"/>
      <c r="E96" s="452"/>
      <c r="F96" s="452"/>
      <c r="G96" s="452"/>
      <c r="H96" s="460"/>
      <c r="I96" s="461" t="e">
        <f>AI91</f>
        <v>#REF!</v>
      </c>
      <c r="J96" s="452"/>
      <c r="K96" s="452"/>
      <c r="L96" s="452"/>
      <c r="M96" s="458"/>
      <c r="N96" s="459" t="s">
        <v>228</v>
      </c>
      <c r="O96" s="48"/>
      <c r="P96" s="452"/>
      <c r="Q96" s="452"/>
      <c r="R96" s="452"/>
      <c r="S96" s="460"/>
      <c r="T96" s="462" t="e">
        <f>AI91</f>
        <v>#REF!</v>
      </c>
      <c r="U96" s="453"/>
      <c r="V96" s="453"/>
      <c r="W96" s="453"/>
      <c r="X96" s="453"/>
      <c r="Y96" s="453"/>
      <c r="Z96" s="453"/>
      <c r="AA96" s="453"/>
      <c r="AB96" s="453"/>
      <c r="AC96" s="453"/>
      <c r="AD96" s="456"/>
      <c r="AE96" s="456"/>
      <c r="AF96" s="456"/>
      <c r="AG96" s="456"/>
      <c r="AH96" s="456"/>
      <c r="AI96" s="456"/>
      <c r="AJ96" s="456"/>
      <c r="AK96" s="457"/>
      <c r="AL96" s="457"/>
      <c r="AM96" s="59"/>
      <c r="BD96" s="454"/>
    </row>
    <row r="97" spans="2:56" ht="18" customHeight="1">
      <c r="B97" s="463"/>
      <c r="C97" s="459" t="s">
        <v>229</v>
      </c>
      <c r="D97" s="48"/>
      <c r="E97" s="452"/>
      <c r="F97" s="452"/>
      <c r="G97" s="452"/>
      <c r="H97" s="460"/>
      <c r="I97" s="464" t="e">
        <f>O14</f>
        <v>#REF!</v>
      </c>
      <c r="J97" s="452"/>
      <c r="K97" s="452"/>
      <c r="L97" s="452"/>
      <c r="M97" s="463"/>
      <c r="N97" s="459" t="s">
        <v>229</v>
      </c>
      <c r="O97" s="48"/>
      <c r="P97" s="452"/>
      <c r="Q97" s="452"/>
      <c r="R97" s="452"/>
      <c r="S97" s="460"/>
      <c r="T97" s="464" t="e">
        <f>O14</f>
        <v>#REF!</v>
      </c>
      <c r="U97" s="453"/>
      <c r="V97" s="453"/>
      <c r="W97" s="453"/>
      <c r="X97" s="453"/>
      <c r="Y97" s="453"/>
      <c r="Z97" s="453"/>
      <c r="AA97" s="453"/>
      <c r="AB97" s="453"/>
      <c r="AC97" s="453"/>
      <c r="AD97" s="59"/>
      <c r="AE97" s="59"/>
      <c r="AF97" s="59"/>
      <c r="AG97" s="59"/>
      <c r="AH97" s="59"/>
      <c r="AI97" s="59"/>
      <c r="AJ97" s="59"/>
      <c r="AK97" s="453"/>
      <c r="AL97" s="453"/>
      <c r="AM97" s="59"/>
      <c r="BD97" s="454"/>
    </row>
    <row r="98" spans="2:56" ht="18" customHeight="1">
      <c r="B98" s="463"/>
      <c r="C98" s="459" t="s">
        <v>230</v>
      </c>
      <c r="D98" s="48"/>
      <c r="E98" s="452"/>
      <c r="F98" s="452"/>
      <c r="G98" s="452"/>
      <c r="H98" s="460"/>
      <c r="I98" s="464">
        <f>O11</f>
        <v>0</v>
      </c>
      <c r="J98" s="452"/>
      <c r="K98" s="452"/>
      <c r="L98" s="452"/>
      <c r="M98" s="463"/>
      <c r="N98" s="459" t="s">
        <v>230</v>
      </c>
      <c r="O98" s="48"/>
      <c r="P98" s="452"/>
      <c r="Q98" s="452"/>
      <c r="R98" s="452"/>
      <c r="S98" s="460"/>
      <c r="T98" s="461">
        <f>O11</f>
        <v>0</v>
      </c>
      <c r="U98" s="453"/>
      <c r="V98" s="453"/>
      <c r="W98" s="453"/>
      <c r="X98" s="453"/>
      <c r="Y98" s="453"/>
      <c r="Z98" s="453"/>
      <c r="AA98" s="453"/>
      <c r="AB98" s="453"/>
      <c r="AC98" s="453"/>
      <c r="AD98" s="59"/>
      <c r="AE98" s="59"/>
      <c r="AF98" s="59"/>
      <c r="AG98" s="59"/>
      <c r="AH98" s="59"/>
      <c r="AI98" s="59"/>
      <c r="AJ98" s="59"/>
      <c r="AK98" s="453"/>
      <c r="AL98" s="453"/>
      <c r="AM98" s="59"/>
      <c r="BD98" s="454"/>
    </row>
    <row r="99" spans="2:56" ht="18" customHeight="1">
      <c r="B99" s="463"/>
      <c r="C99" s="459" t="s">
        <v>231</v>
      </c>
      <c r="D99" s="48"/>
      <c r="E99" s="452"/>
      <c r="F99" s="452"/>
      <c r="G99" s="452"/>
      <c r="H99" s="460"/>
      <c r="I99" s="464">
        <f>AC91</f>
        <v>6562499.9962500008</v>
      </c>
      <c r="J99" s="452"/>
      <c r="K99" s="452"/>
      <c r="L99" s="452"/>
      <c r="M99" s="463"/>
      <c r="N99" s="459" t="s">
        <v>231</v>
      </c>
      <c r="O99" s="48"/>
      <c r="P99" s="452"/>
      <c r="Q99" s="452"/>
      <c r="R99" s="452"/>
      <c r="S99" s="460"/>
      <c r="T99" s="464">
        <f>AC91</f>
        <v>6562499.9962500008</v>
      </c>
      <c r="U99" s="453"/>
      <c r="V99" s="453"/>
      <c r="W99" s="453"/>
      <c r="X99" s="453"/>
      <c r="Y99" s="453"/>
      <c r="Z99" s="453"/>
      <c r="AA99" s="453"/>
      <c r="AB99" s="453"/>
      <c r="AC99" s="453"/>
      <c r="AD99" s="59"/>
      <c r="AE99" s="59"/>
      <c r="AF99" s="59"/>
      <c r="AG99" s="59"/>
      <c r="AH99" s="59"/>
      <c r="AI99" s="59"/>
      <c r="AJ99" s="59"/>
      <c r="AK99" s="453"/>
      <c r="AL99" s="453"/>
      <c r="AM99" s="59"/>
      <c r="BD99" s="454"/>
    </row>
    <row r="100" spans="2:56" ht="18" customHeight="1">
      <c r="B100" s="465"/>
      <c r="C100" s="1404" t="s">
        <v>232</v>
      </c>
      <c r="D100" s="1405"/>
      <c r="E100" s="1406"/>
      <c r="F100" s="1406"/>
      <c r="G100" s="1406"/>
      <c r="H100" s="1407"/>
      <c r="I100" s="1408" t="e">
        <f>SUM(I96:I99)</f>
        <v>#REF!</v>
      </c>
      <c r="J100" s="452"/>
      <c r="K100" s="452"/>
      <c r="L100" s="452"/>
      <c r="M100" s="465"/>
      <c r="N100" s="1404" t="s">
        <v>232</v>
      </c>
      <c r="O100" s="1405"/>
      <c r="P100" s="1406"/>
      <c r="Q100" s="1406"/>
      <c r="R100" s="1406"/>
      <c r="S100" s="1407"/>
      <c r="T100" s="1408" t="e">
        <f>SUM(T96:T99)</f>
        <v>#REF!</v>
      </c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BD100" s="454"/>
    </row>
    <row r="101" spans="2:56" ht="18" customHeight="1">
      <c r="B101" s="1409" t="s">
        <v>233</v>
      </c>
      <c r="C101" s="1410" t="s">
        <v>234</v>
      </c>
      <c r="D101" s="1411"/>
      <c r="E101" s="1412"/>
      <c r="F101" s="1412"/>
      <c r="G101" s="1412"/>
      <c r="H101" s="1413"/>
      <c r="I101" s="1413"/>
      <c r="J101" s="42"/>
      <c r="K101" s="42"/>
      <c r="L101" s="42"/>
      <c r="M101" s="1409" t="s">
        <v>233</v>
      </c>
      <c r="N101" s="1410" t="s">
        <v>234</v>
      </c>
      <c r="O101" s="1411"/>
      <c r="P101" s="1412"/>
      <c r="Q101" s="1412"/>
      <c r="R101" s="1412"/>
      <c r="S101" s="1413"/>
      <c r="T101" s="1413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</row>
    <row r="102" spans="2:56" ht="18" customHeight="1">
      <c r="B102" s="466"/>
      <c r="C102" s="467" t="s">
        <v>235</v>
      </c>
      <c r="D102" s="41"/>
      <c r="E102" s="42"/>
      <c r="F102" s="42"/>
      <c r="G102" s="42"/>
      <c r="H102" s="468"/>
      <c r="I102" s="468">
        <f>(E91+G91+I91)*-1</f>
        <v>318181818</v>
      </c>
      <c r="J102" s="42"/>
      <c r="K102" s="42"/>
      <c r="L102" s="42"/>
      <c r="M102" s="466"/>
      <c r="N102" s="467" t="s">
        <v>235</v>
      </c>
      <c r="O102" s="41"/>
      <c r="P102" s="42"/>
      <c r="Q102" s="42"/>
      <c r="R102" s="42"/>
      <c r="S102" s="468"/>
      <c r="T102" s="468">
        <f>(E91+G91+I91)*-1</f>
        <v>318181818</v>
      </c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</row>
    <row r="103" spans="2:56" ht="18" customHeight="1">
      <c r="B103" s="466"/>
      <c r="C103" s="467" t="s">
        <v>236</v>
      </c>
      <c r="D103" s="41"/>
      <c r="E103" s="42"/>
      <c r="F103" s="42"/>
      <c r="G103" s="42"/>
      <c r="H103" s="468"/>
      <c r="I103" s="468">
        <f>(M91)*-1</f>
        <v>0</v>
      </c>
      <c r="J103" s="42"/>
      <c r="K103" s="42"/>
      <c r="L103" s="42"/>
      <c r="M103" s="466"/>
      <c r="N103" s="467" t="s">
        <v>236</v>
      </c>
      <c r="O103" s="41"/>
      <c r="P103" s="42"/>
      <c r="Q103" s="42"/>
      <c r="R103" s="42"/>
      <c r="S103" s="468"/>
      <c r="T103" s="468">
        <f>(M91)*-1</f>
        <v>0</v>
      </c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</row>
    <row r="104" spans="2:56" ht="18" customHeight="1">
      <c r="B104" s="466"/>
      <c r="C104" s="467" t="s">
        <v>237</v>
      </c>
      <c r="D104" s="41"/>
      <c r="E104" s="42"/>
      <c r="F104" s="42"/>
      <c r="G104" s="42"/>
      <c r="H104" s="468"/>
      <c r="I104" s="469">
        <f>O91*-1</f>
        <v>30000000</v>
      </c>
      <c r="J104" s="42"/>
      <c r="K104" s="42"/>
      <c r="L104" s="42"/>
      <c r="M104" s="466"/>
      <c r="N104" s="467" t="s">
        <v>237</v>
      </c>
      <c r="O104" s="41"/>
      <c r="P104" s="42"/>
      <c r="Q104" s="42"/>
      <c r="R104" s="42"/>
      <c r="S104" s="468"/>
      <c r="T104" s="469">
        <f>O91*-1</f>
        <v>30000000</v>
      </c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</row>
    <row r="105" spans="2:56" ht="18" customHeight="1">
      <c r="B105" s="466"/>
      <c r="C105" s="467" t="s">
        <v>238</v>
      </c>
      <c r="D105" s="41"/>
      <c r="E105" s="42"/>
      <c r="F105" s="42"/>
      <c r="G105" s="42"/>
      <c r="H105" s="468"/>
      <c r="I105" s="469">
        <f>P91*-1</f>
        <v>26249999.985000003</v>
      </c>
      <c r="J105" s="42"/>
      <c r="K105" s="42"/>
      <c r="L105" s="42"/>
      <c r="M105" s="466"/>
      <c r="N105" s="467" t="s">
        <v>239</v>
      </c>
      <c r="O105" s="41"/>
      <c r="P105" s="42"/>
      <c r="Q105" s="42"/>
      <c r="R105" s="42"/>
      <c r="S105" s="468"/>
      <c r="T105" s="469">
        <f>P91*-1</f>
        <v>26249999.985000003</v>
      </c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</row>
    <row r="106" spans="2:56" ht="18" customHeight="1">
      <c r="B106" s="466"/>
      <c r="C106" s="467" t="s">
        <v>240</v>
      </c>
      <c r="D106" s="41"/>
      <c r="E106" s="42"/>
      <c r="F106" s="42"/>
      <c r="G106" s="42"/>
      <c r="H106" s="468"/>
      <c r="I106" s="468">
        <f>Q91*-1</f>
        <v>0</v>
      </c>
      <c r="J106" s="42"/>
      <c r="K106" s="42"/>
      <c r="L106" s="42"/>
      <c r="M106" s="466"/>
      <c r="N106" s="467" t="s">
        <v>240</v>
      </c>
      <c r="O106" s="41"/>
      <c r="P106" s="42"/>
      <c r="Q106" s="42"/>
      <c r="R106" s="42"/>
      <c r="S106" s="468"/>
      <c r="T106" s="468">
        <f>Q91*-1</f>
        <v>0</v>
      </c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</row>
    <row r="107" spans="2:56" ht="18" customHeight="1">
      <c r="B107" s="466"/>
      <c r="C107" s="467" t="s">
        <v>241</v>
      </c>
      <c r="D107" s="41"/>
      <c r="E107" s="42"/>
      <c r="F107" s="42"/>
      <c r="G107" s="42"/>
      <c r="H107" s="468"/>
      <c r="I107" s="469" t="e">
        <f>R91*-1+AH91</f>
        <v>#REF!</v>
      </c>
      <c r="J107" s="42"/>
      <c r="K107" s="42"/>
      <c r="L107" s="42"/>
      <c r="M107" s="466"/>
      <c r="N107" s="467" t="s">
        <v>241</v>
      </c>
      <c r="O107" s="41"/>
      <c r="P107" s="42"/>
      <c r="Q107" s="42"/>
      <c r="R107" s="42"/>
      <c r="S107" s="468"/>
      <c r="T107" s="469" t="e">
        <f>R91*-1+AH91</f>
        <v>#REF!</v>
      </c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</row>
    <row r="108" spans="2:56" ht="18" customHeight="1">
      <c r="B108" s="466"/>
      <c r="C108" s="467" t="s">
        <v>242</v>
      </c>
      <c r="D108" s="41"/>
      <c r="E108" s="41"/>
      <c r="F108" s="41"/>
      <c r="G108" s="41"/>
      <c r="H108" s="470"/>
      <c r="I108" s="468">
        <f>V91*-1</f>
        <v>0</v>
      </c>
      <c r="J108" s="42"/>
      <c r="K108" s="42"/>
      <c r="L108" s="42"/>
      <c r="M108" s="466"/>
      <c r="N108" s="467" t="s">
        <v>242</v>
      </c>
      <c r="O108" s="41"/>
      <c r="P108" s="41"/>
      <c r="Q108" s="41"/>
      <c r="R108" s="41"/>
      <c r="S108" s="470"/>
      <c r="T108" s="468">
        <f>V91*-1</f>
        <v>0</v>
      </c>
    </row>
    <row r="109" spans="2:56" ht="18" customHeight="1">
      <c r="B109" s="466"/>
      <c r="C109" s="471" t="s">
        <v>243</v>
      </c>
      <c r="D109" s="472"/>
      <c r="E109" s="472"/>
      <c r="F109" s="472"/>
      <c r="G109" s="472"/>
      <c r="H109" s="473"/>
      <c r="I109" s="474" t="e">
        <f>AM91*-1</f>
        <v>#REF!</v>
      </c>
      <c r="J109" s="41"/>
      <c r="K109" s="41"/>
      <c r="L109" s="41"/>
      <c r="M109" s="466"/>
      <c r="N109" s="475" t="s">
        <v>243</v>
      </c>
      <c r="O109" s="41"/>
      <c r="P109" s="41"/>
      <c r="Q109" s="41"/>
      <c r="R109" s="41"/>
      <c r="S109" s="470"/>
      <c r="T109" s="476" t="e">
        <f>(AM91*-1)-(AL91+AN91)</f>
        <v>#REF!</v>
      </c>
    </row>
    <row r="110" spans="2:56" ht="18" customHeight="1">
      <c r="B110" s="466"/>
      <c r="C110" s="467" t="s">
        <v>244</v>
      </c>
      <c r="D110" s="41"/>
      <c r="E110" s="41"/>
      <c r="F110" s="41"/>
      <c r="G110" s="41"/>
      <c r="H110" s="470"/>
      <c r="I110" s="468">
        <f>T91*-1</f>
        <v>1103712.6256319333</v>
      </c>
      <c r="J110" s="41"/>
      <c r="K110" s="41"/>
      <c r="L110" s="41"/>
      <c r="M110" s="466"/>
      <c r="N110" s="467" t="s">
        <v>244</v>
      </c>
      <c r="O110" s="41"/>
      <c r="P110" s="41"/>
      <c r="Q110" s="41"/>
      <c r="R110" s="41"/>
      <c r="S110" s="470"/>
      <c r="T110" s="469">
        <f>T91*-1</f>
        <v>1103712.6256319333</v>
      </c>
    </row>
    <row r="111" spans="2:56" ht="18" customHeight="1">
      <c r="B111" s="466"/>
      <c r="C111" s="467" t="s">
        <v>245</v>
      </c>
      <c r="D111" s="41"/>
      <c r="E111" s="41"/>
      <c r="F111" s="41"/>
      <c r="G111" s="41"/>
      <c r="H111" s="470"/>
      <c r="I111" s="468">
        <f>U91*-1</f>
        <v>0</v>
      </c>
      <c r="J111" s="41"/>
      <c r="K111" s="41"/>
      <c r="L111" s="41"/>
      <c r="M111" s="466"/>
      <c r="N111" s="467" t="s">
        <v>245</v>
      </c>
      <c r="O111" s="41"/>
      <c r="P111" s="41"/>
      <c r="Q111" s="41"/>
      <c r="R111" s="41"/>
      <c r="S111" s="470"/>
      <c r="T111" s="468">
        <f>U91*-1</f>
        <v>0</v>
      </c>
    </row>
    <row r="112" spans="2:56" ht="18" customHeight="1">
      <c r="B112" s="466"/>
      <c r="C112" s="467" t="s">
        <v>246</v>
      </c>
      <c r="D112" s="41"/>
      <c r="E112" s="41"/>
      <c r="F112" s="41"/>
      <c r="G112" s="41"/>
      <c r="H112" s="470"/>
      <c r="I112" s="468" t="e">
        <f>($BL91)-(T110+T111)</f>
        <v>#REF!</v>
      </c>
      <c r="J112" s="41"/>
      <c r="K112" s="41"/>
      <c r="L112" s="41"/>
      <c r="M112" s="466"/>
      <c r="N112" s="467" t="s">
        <v>246</v>
      </c>
      <c r="O112" s="41"/>
      <c r="P112" s="41"/>
      <c r="Q112" s="41"/>
      <c r="R112" s="41"/>
      <c r="S112" s="470"/>
      <c r="T112" s="477" t="e">
        <f>($BL91)-(T110+T111)</f>
        <v>#REF!</v>
      </c>
    </row>
    <row r="113" spans="2:21" ht="18" customHeight="1">
      <c r="B113" s="466"/>
      <c r="C113" s="467"/>
      <c r="D113" s="41"/>
      <c r="E113" s="41"/>
      <c r="F113" s="41"/>
      <c r="G113" s="41"/>
      <c r="H113" s="470"/>
      <c r="I113" s="468"/>
      <c r="J113" s="41"/>
      <c r="K113" s="41"/>
      <c r="L113" s="41"/>
      <c r="M113" s="466"/>
      <c r="N113" s="467"/>
      <c r="O113" s="41"/>
      <c r="P113" s="41"/>
      <c r="Q113" s="41"/>
      <c r="R113" s="41"/>
      <c r="S113" s="470"/>
      <c r="T113" s="468"/>
    </row>
    <row r="114" spans="2:21" ht="18" customHeight="1">
      <c r="B114" s="465"/>
      <c r="C114" s="1404" t="s">
        <v>247</v>
      </c>
      <c r="D114" s="1405"/>
      <c r="E114" s="1405"/>
      <c r="F114" s="1405"/>
      <c r="G114" s="1405"/>
      <c r="H114" s="1414"/>
      <c r="I114" s="1407" t="e">
        <f>SUM(I102:I112)</f>
        <v>#REF!</v>
      </c>
      <c r="J114" s="41"/>
      <c r="K114" s="41"/>
      <c r="L114" s="41"/>
      <c r="M114" s="465"/>
      <c r="N114" s="1404" t="s">
        <v>247</v>
      </c>
      <c r="O114" s="1405"/>
      <c r="P114" s="1405"/>
      <c r="Q114" s="1405"/>
      <c r="R114" s="1405"/>
      <c r="S114" s="1414"/>
      <c r="T114" s="1407" t="e">
        <f>SUM(T102:T112)</f>
        <v>#REF!</v>
      </c>
    </row>
    <row r="115" spans="2:21" ht="18" customHeight="1">
      <c r="B115" s="1415" t="s">
        <v>248</v>
      </c>
      <c r="C115" s="1404" t="s">
        <v>249</v>
      </c>
      <c r="D115" s="1405"/>
      <c r="E115" s="1405"/>
      <c r="F115" s="1405"/>
      <c r="G115" s="1405"/>
      <c r="H115" s="1414"/>
      <c r="I115" s="1407" t="e">
        <f>I100-I114</f>
        <v>#REF!</v>
      </c>
      <c r="J115" s="41"/>
      <c r="K115" s="41"/>
      <c r="L115" s="41"/>
      <c r="M115" s="1415" t="s">
        <v>248</v>
      </c>
      <c r="N115" s="1404" t="s">
        <v>249</v>
      </c>
      <c r="O115" s="1405"/>
      <c r="P115" s="1405"/>
      <c r="Q115" s="1405"/>
      <c r="R115" s="1405"/>
      <c r="S115" s="1414"/>
      <c r="T115" s="1407" t="e">
        <f>T100-T114</f>
        <v>#REF!</v>
      </c>
      <c r="U115" s="59" t="e">
        <f>T115-O9-R11</f>
        <v>#REF!</v>
      </c>
    </row>
    <row r="116" spans="2:21" ht="18" customHeight="1">
      <c r="J116" s="41"/>
      <c r="K116" s="41"/>
      <c r="L116" s="41"/>
      <c r="T116" s="59"/>
    </row>
  </sheetData>
  <mergeCells count="74">
    <mergeCell ref="BJ19:BJ20"/>
    <mergeCell ref="C94:H94"/>
    <mergeCell ref="N94:S94"/>
    <mergeCell ref="AV19:AW19"/>
    <mergeCell ref="AX19:AY19"/>
    <mergeCell ref="AZ19:BA19"/>
    <mergeCell ref="BD19:BD20"/>
    <mergeCell ref="BF19:BF20"/>
    <mergeCell ref="BI19:BI20"/>
    <mergeCell ref="N19:N20"/>
    <mergeCell ref="R19:R20"/>
    <mergeCell ref="S19:S20"/>
    <mergeCell ref="X19:X20"/>
    <mergeCell ref="Y19:Y20"/>
    <mergeCell ref="Z19:Z20"/>
    <mergeCell ref="AA19:AA20"/>
    <mergeCell ref="AV18:BC18"/>
    <mergeCell ref="BD18:BG18"/>
    <mergeCell ref="BH18:BJ18"/>
    <mergeCell ref="E19:E20"/>
    <mergeCell ref="F19:F20"/>
    <mergeCell ref="G19:G20"/>
    <mergeCell ref="H19:H20"/>
    <mergeCell ref="I19:I20"/>
    <mergeCell ref="J19:J20"/>
    <mergeCell ref="M19:M20"/>
    <mergeCell ref="Z18:AB18"/>
    <mergeCell ref="AG18:AG20"/>
    <mergeCell ref="AH18:AH20"/>
    <mergeCell ref="AI18:AI20"/>
    <mergeCell ref="AJ18:AJ20"/>
    <mergeCell ref="AK18:AK20"/>
    <mergeCell ref="AS17:AS20"/>
    <mergeCell ref="E18:F18"/>
    <mergeCell ref="G18:H18"/>
    <mergeCell ref="I18:J18"/>
    <mergeCell ref="K18:L18"/>
    <mergeCell ref="M18:N18"/>
    <mergeCell ref="O18:O20"/>
    <mergeCell ref="P18:P20"/>
    <mergeCell ref="Q18:Q20"/>
    <mergeCell ref="R18:S18"/>
    <mergeCell ref="AF17:AF20"/>
    <mergeCell ref="AG17:AK17"/>
    <mergeCell ref="AL17:AO17"/>
    <mergeCell ref="AP17:AP20"/>
    <mergeCell ref="AQ17:AQ20"/>
    <mergeCell ref="AR17:AR20"/>
    <mergeCell ref="AL18:AL20"/>
    <mergeCell ref="AM18:AM20"/>
    <mergeCell ref="AN18:AN20"/>
    <mergeCell ref="S13:U14"/>
    <mergeCell ref="E17:V17"/>
    <mergeCell ref="W17:W20"/>
    <mergeCell ref="X17:AB17"/>
    <mergeCell ref="AD17:AD20"/>
    <mergeCell ref="AE17:AE20"/>
    <mergeCell ref="T18:T20"/>
    <mergeCell ref="U18:U20"/>
    <mergeCell ref="V18:V20"/>
    <mergeCell ref="X18:Y18"/>
    <mergeCell ref="AB19:AB20"/>
    <mergeCell ref="X5:AB5"/>
    <mergeCell ref="AD5:AM5"/>
    <mergeCell ref="S6:U6"/>
    <mergeCell ref="X6:Z6"/>
    <mergeCell ref="AD6:AF6"/>
    <mergeCell ref="AI6:AL6"/>
    <mergeCell ref="S5:W5"/>
    <mergeCell ref="B4:G4"/>
    <mergeCell ref="E5:G5"/>
    <mergeCell ref="H5:J5"/>
    <mergeCell ref="M5:O5"/>
    <mergeCell ref="P5:R5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T64"/>
  <sheetViews>
    <sheetView topLeftCell="A28" zoomScale="70" zoomScaleNormal="70" workbookViewId="0">
      <selection activeCell="B34" sqref="B34:D59"/>
    </sheetView>
  </sheetViews>
  <sheetFormatPr defaultRowHeight="15"/>
  <cols>
    <col min="1" max="1" width="4.28515625" customWidth="1"/>
    <col min="2" max="2" width="29.5703125" customWidth="1"/>
    <col min="3" max="3" width="8.42578125" customWidth="1"/>
    <col min="4" max="4" width="13.140625" customWidth="1"/>
    <col min="5" max="5" width="4.28515625" customWidth="1"/>
    <col min="6" max="6" width="29.7109375" customWidth="1"/>
    <col min="7" max="7" width="8.42578125" customWidth="1"/>
    <col min="8" max="8" width="13.140625" customWidth="1"/>
    <col min="9" max="9" width="4.28515625" customWidth="1"/>
    <col min="10" max="10" width="29.5703125" customWidth="1"/>
    <col min="11" max="11" width="8.42578125" customWidth="1"/>
    <col min="12" max="12" width="13.140625" customWidth="1"/>
    <col min="13" max="13" width="4.28515625" customWidth="1"/>
    <col min="14" max="14" width="29.5703125" customWidth="1"/>
    <col min="15" max="15" width="8.42578125" customWidth="1"/>
    <col min="16" max="16" width="13.140625" customWidth="1"/>
    <col min="17" max="17" width="4.28515625" customWidth="1"/>
    <col min="18" max="18" width="29.5703125" customWidth="1"/>
    <col min="19" max="19" width="8.42578125" customWidth="1"/>
    <col min="20" max="20" width="13.140625" customWidth="1"/>
  </cols>
  <sheetData>
    <row r="2" spans="2:12">
      <c r="B2" t="s">
        <v>250</v>
      </c>
    </row>
    <row r="3" spans="2:12" ht="15.75" thickBot="1"/>
    <row r="4" spans="2:12" ht="15.75" thickBot="1">
      <c r="B4" s="1206" t="s">
        <v>251</v>
      </c>
      <c r="C4" s="1207"/>
      <c r="D4" s="1208"/>
      <c r="F4" s="1206" t="s">
        <v>252</v>
      </c>
      <c r="G4" s="1207"/>
      <c r="H4" s="1208"/>
      <c r="K4" t="s">
        <v>253</v>
      </c>
    </row>
    <row r="5" spans="2:12">
      <c r="B5" s="1" t="s">
        <v>254</v>
      </c>
      <c r="D5" s="2" t="s">
        <v>255</v>
      </c>
      <c r="F5" s="1" t="s">
        <v>256</v>
      </c>
      <c r="H5" s="2" t="s">
        <v>255</v>
      </c>
      <c r="K5" t="s">
        <v>257</v>
      </c>
      <c r="L5" t="s">
        <v>258</v>
      </c>
    </row>
    <row r="6" spans="2:12">
      <c r="B6" s="1" t="s">
        <v>259</v>
      </c>
      <c r="D6" s="3">
        <v>193500000</v>
      </c>
      <c r="F6" s="1" t="s">
        <v>259</v>
      </c>
      <c r="H6" s="3">
        <v>185000000</v>
      </c>
      <c r="K6" t="s">
        <v>260</v>
      </c>
      <c r="L6" t="s">
        <v>4</v>
      </c>
    </row>
    <row r="7" spans="2:12">
      <c r="B7" s="1" t="s">
        <v>261</v>
      </c>
      <c r="D7" s="4">
        <v>60</v>
      </c>
      <c r="F7" s="1" t="s">
        <v>261</v>
      </c>
      <c r="H7" s="4">
        <v>60</v>
      </c>
      <c r="K7" t="s">
        <v>262</v>
      </c>
      <c r="L7" t="s">
        <v>263</v>
      </c>
    </row>
    <row r="8" spans="2:12">
      <c r="B8" s="1" t="s">
        <v>264</v>
      </c>
      <c r="C8" t="s">
        <v>265</v>
      </c>
      <c r="D8" s="5">
        <v>0.126</v>
      </c>
      <c r="F8" s="1" t="s">
        <v>264</v>
      </c>
      <c r="G8" t="s">
        <v>265</v>
      </c>
      <c r="H8" s="5">
        <v>0.12</v>
      </c>
      <c r="K8" t="s">
        <v>266</v>
      </c>
      <c r="L8" t="s">
        <v>267</v>
      </c>
    </row>
    <row r="9" spans="2:12">
      <c r="B9" s="6"/>
      <c r="C9" s="7" t="s">
        <v>268</v>
      </c>
      <c r="D9" s="8">
        <v>6.7799999999999999E-2</v>
      </c>
      <c r="F9" s="6"/>
      <c r="G9" s="7" t="s">
        <v>268</v>
      </c>
      <c r="H9" s="8">
        <v>6.4299999999999996E-2</v>
      </c>
      <c r="K9" t="s">
        <v>269</v>
      </c>
      <c r="L9" t="s">
        <v>270</v>
      </c>
    </row>
    <row r="10" spans="2:12">
      <c r="B10" s="1" t="s">
        <v>271</v>
      </c>
      <c r="C10" s="9">
        <v>0.2</v>
      </c>
      <c r="D10" s="10">
        <f>C10*D6</f>
        <v>38700000</v>
      </c>
      <c r="F10" s="1" t="s">
        <v>271</v>
      </c>
      <c r="G10" s="9">
        <v>0.2</v>
      </c>
      <c r="H10" s="10">
        <f>G10*H6</f>
        <v>37000000</v>
      </c>
    </row>
    <row r="11" spans="2:12">
      <c r="B11" s="1" t="s">
        <v>272</v>
      </c>
      <c r="D11" s="3">
        <f>D6-D10</f>
        <v>154800000</v>
      </c>
      <c r="F11" s="1" t="s">
        <v>272</v>
      </c>
      <c r="H11" s="3">
        <f>H6-H10</f>
        <v>148000000</v>
      </c>
    </row>
    <row r="12" spans="2:12">
      <c r="B12" s="1" t="s">
        <v>273</v>
      </c>
      <c r="D12" s="3">
        <v>18421200</v>
      </c>
      <c r="F12" s="1" t="s">
        <v>273</v>
      </c>
      <c r="H12" s="3">
        <v>17612000</v>
      </c>
    </row>
    <row r="13" spans="2:12">
      <c r="B13" s="1" t="s">
        <v>274</v>
      </c>
      <c r="D13" s="3">
        <f>ROUNDUP((((((D12+D11)*D9)*D7/12)+D12+D11)/D7),-2)</f>
        <v>3865800</v>
      </c>
      <c r="F13" s="1" t="s">
        <v>274</v>
      </c>
      <c r="H13" s="3">
        <f>ROUNDUP((((((H11+H12)*H9)*H7/12)+H11+H12)/H7),-2)</f>
        <v>3647700</v>
      </c>
    </row>
    <row r="14" spans="2:12">
      <c r="B14" s="1" t="s">
        <v>275</v>
      </c>
      <c r="C14" s="11">
        <v>0.12239999999999999</v>
      </c>
      <c r="D14" s="3">
        <f>D6*C14</f>
        <v>23684400</v>
      </c>
      <c r="F14" s="1" t="s">
        <v>275</v>
      </c>
      <c r="G14" s="11">
        <v>0.12239999999999999</v>
      </c>
      <c r="H14" s="3">
        <f>H6*G14</f>
        <v>22644000</v>
      </c>
    </row>
    <row r="15" spans="2:12">
      <c r="B15" s="1" t="s">
        <v>276</v>
      </c>
      <c r="D15" s="3"/>
      <c r="F15" s="1" t="s">
        <v>276</v>
      </c>
      <c r="H15" s="3"/>
    </row>
    <row r="16" spans="2:12">
      <c r="B16" s="1416" t="s">
        <v>277</v>
      </c>
      <c r="C16" s="1417"/>
      <c r="D16" s="1418"/>
      <c r="F16" s="1416" t="s">
        <v>277</v>
      </c>
      <c r="G16" s="1417"/>
      <c r="H16" s="1418"/>
    </row>
    <row r="17" spans="2:10">
      <c r="B17" s="12" t="s">
        <v>278</v>
      </c>
      <c r="C17" s="1419"/>
      <c r="D17" s="1420">
        <f>((D11+D12)*D9)*D7/12</f>
        <v>58721986.79999999</v>
      </c>
      <c r="F17" s="12" t="s">
        <v>278</v>
      </c>
      <c r="G17" s="1419"/>
      <c r="H17" s="1420">
        <f>((H11+H12)*H9)*H7/12</f>
        <v>53244258</v>
      </c>
    </row>
    <row r="18" spans="2:10">
      <c r="B18" s="12" t="s">
        <v>279</v>
      </c>
      <c r="C18" s="13"/>
      <c r="D18" s="3">
        <v>2300000</v>
      </c>
      <c r="F18" s="12" t="s">
        <v>279</v>
      </c>
      <c r="G18" s="13"/>
      <c r="H18" s="3">
        <v>2300000</v>
      </c>
    </row>
    <row r="19" spans="2:10">
      <c r="B19" s="12" t="s">
        <v>280</v>
      </c>
      <c r="C19" s="14">
        <v>0.25</v>
      </c>
      <c r="D19" s="10">
        <f>C19*D14</f>
        <v>5921100</v>
      </c>
      <c r="F19" s="12" t="s">
        <v>280</v>
      </c>
      <c r="G19" s="14">
        <v>0.25</v>
      </c>
      <c r="H19" s="3">
        <f>G19*H14</f>
        <v>5661000</v>
      </c>
    </row>
    <row r="20" spans="2:10">
      <c r="B20" s="1421" t="s">
        <v>281</v>
      </c>
      <c r="C20" s="1422"/>
      <c r="D20" s="1423">
        <f>SUM(D17:D19)</f>
        <v>66943086.79999999</v>
      </c>
      <c r="F20" s="12" t="s">
        <v>282</v>
      </c>
      <c r="G20" s="14"/>
      <c r="H20" s="3">
        <f>(H30*2%)*98%</f>
        <v>3508400</v>
      </c>
    </row>
    <row r="21" spans="2:10">
      <c r="B21" s="1416" t="s">
        <v>283</v>
      </c>
      <c r="C21" s="1417"/>
      <c r="D21" s="1418"/>
      <c r="F21" s="12" t="s">
        <v>284</v>
      </c>
      <c r="G21" s="14"/>
      <c r="H21" s="10">
        <v>5000000</v>
      </c>
    </row>
    <row r="22" spans="2:10">
      <c r="B22" s="12" t="s">
        <v>285</v>
      </c>
      <c r="C22" s="14">
        <v>-0.15</v>
      </c>
      <c r="D22" s="3">
        <f>D14*C22</f>
        <v>-3552660</v>
      </c>
      <c r="F22" s="1421" t="s">
        <v>281</v>
      </c>
      <c r="G22" s="1422"/>
      <c r="H22" s="1423">
        <f>SUM(H17:H21)</f>
        <v>69713658</v>
      </c>
    </row>
    <row r="23" spans="2:10">
      <c r="B23" s="15" t="s">
        <v>286</v>
      </c>
      <c r="C23" s="16">
        <v>5.5100000000000003E-2</v>
      </c>
      <c r="D23" s="10">
        <f>-(D11*C23)*D7/12</f>
        <v>-42647400</v>
      </c>
      <c r="F23" s="1416" t="s">
        <v>283</v>
      </c>
      <c r="G23" s="1417"/>
      <c r="H23" s="1418"/>
    </row>
    <row r="24" spans="2:10">
      <c r="B24" s="17" t="s">
        <v>281</v>
      </c>
      <c r="C24" s="18"/>
      <c r="D24" s="10">
        <f>SUM(D22:D23)</f>
        <v>-46200060</v>
      </c>
      <c r="F24" s="1424" t="s">
        <v>287</v>
      </c>
      <c r="G24" s="1419"/>
      <c r="H24" s="1420">
        <v>-550000</v>
      </c>
    </row>
    <row r="25" spans="2:10" ht="15.75" thickBot="1">
      <c r="B25" s="19" t="s">
        <v>68</v>
      </c>
      <c r="C25" s="20"/>
      <c r="D25" s="21">
        <f>D20+D24</f>
        <v>20743026.79999999</v>
      </c>
      <c r="F25" s="12" t="s">
        <v>285</v>
      </c>
      <c r="G25" s="14">
        <v>-0.25</v>
      </c>
      <c r="H25" s="3">
        <f>H14*G25</f>
        <v>-5661000</v>
      </c>
    </row>
    <row r="26" spans="2:10">
      <c r="B26" s="22" t="s">
        <v>288</v>
      </c>
      <c r="C26" s="22"/>
      <c r="D26" s="23"/>
      <c r="F26" s="15" t="s">
        <v>286</v>
      </c>
      <c r="G26" s="16">
        <v>5.5100000000000003E-2</v>
      </c>
      <c r="H26" s="10">
        <f>-(H11*G26)*H7/12</f>
        <v>-40774000</v>
      </c>
    </row>
    <row r="27" spans="2:10">
      <c r="F27" s="17" t="s">
        <v>281</v>
      </c>
      <c r="G27" s="18"/>
      <c r="H27" s="10">
        <f>SUM(H24:H26)</f>
        <v>-46985000</v>
      </c>
    </row>
    <row r="28" spans="2:10" ht="15.75" thickBot="1">
      <c r="F28" s="19" t="s">
        <v>68</v>
      </c>
      <c r="G28" s="20"/>
      <c r="H28" s="21">
        <f>H22+H27</f>
        <v>22728658</v>
      </c>
    </row>
    <row r="29" spans="2:10">
      <c r="F29" s="22" t="s">
        <v>288</v>
      </c>
      <c r="G29" s="22"/>
      <c r="H29" s="23"/>
    </row>
    <row r="30" spans="2:10">
      <c r="F30" s="22" t="s">
        <v>289</v>
      </c>
      <c r="G30" s="22"/>
      <c r="H30" s="24">
        <v>179000000</v>
      </c>
      <c r="J30" s="33"/>
    </row>
    <row r="32" spans="2:10">
      <c r="B32" t="s">
        <v>290</v>
      </c>
    </row>
    <row r="33" spans="2:20" ht="15.75" thickBot="1"/>
    <row r="34" spans="2:20" ht="15.75" thickBot="1">
      <c r="B34" s="1206" t="s">
        <v>291</v>
      </c>
      <c r="C34" s="1207"/>
      <c r="D34" s="1208"/>
      <c r="F34" s="1206" t="s">
        <v>292</v>
      </c>
      <c r="G34" s="1207"/>
      <c r="H34" s="1208"/>
      <c r="J34" s="1206" t="s">
        <v>292</v>
      </c>
      <c r="K34" s="1207"/>
      <c r="L34" s="1208"/>
      <c r="N34" s="1206" t="s">
        <v>293</v>
      </c>
      <c r="O34" s="1207"/>
      <c r="P34" s="1208"/>
      <c r="R34" s="1206" t="s">
        <v>293</v>
      </c>
      <c r="S34" s="1207"/>
      <c r="T34" s="1208"/>
    </row>
    <row r="35" spans="2:20">
      <c r="B35" s="1" t="s">
        <v>294</v>
      </c>
      <c r="D35" s="2" t="s">
        <v>255</v>
      </c>
      <c r="F35" s="1" t="s">
        <v>256</v>
      </c>
      <c r="H35" s="2" t="s">
        <v>255</v>
      </c>
      <c r="J35" s="1" t="s">
        <v>295</v>
      </c>
      <c r="L35" s="2" t="s">
        <v>255</v>
      </c>
      <c r="N35" s="1" t="s">
        <v>296</v>
      </c>
      <c r="P35" s="2" t="s">
        <v>255</v>
      </c>
      <c r="R35" s="1" t="s">
        <v>297</v>
      </c>
      <c r="T35" s="2" t="s">
        <v>255</v>
      </c>
    </row>
    <row r="36" spans="2:20">
      <c r="B36" s="1" t="s">
        <v>259</v>
      </c>
      <c r="D36" s="3">
        <v>190400000</v>
      </c>
      <c r="F36" s="1" t="s">
        <v>298</v>
      </c>
      <c r="H36" s="25">
        <v>197500000</v>
      </c>
      <c r="J36" s="1" t="s">
        <v>259</v>
      </c>
      <c r="L36" s="25">
        <v>171500000</v>
      </c>
      <c r="N36" s="1" t="s">
        <v>259</v>
      </c>
      <c r="P36" s="3">
        <v>122550000</v>
      </c>
      <c r="R36" s="1" t="s">
        <v>259</v>
      </c>
      <c r="T36" s="3">
        <v>116950000</v>
      </c>
    </row>
    <row r="37" spans="2:20" ht="17.25">
      <c r="B37" s="1" t="s">
        <v>261</v>
      </c>
      <c r="D37" s="4">
        <v>60</v>
      </c>
      <c r="F37" s="1" t="s">
        <v>299</v>
      </c>
      <c r="H37" s="26">
        <v>25000000</v>
      </c>
      <c r="J37" s="1" t="s">
        <v>299</v>
      </c>
      <c r="L37" s="26">
        <v>25000000</v>
      </c>
      <c r="N37" s="1" t="s">
        <v>261</v>
      </c>
      <c r="P37" s="4">
        <v>60</v>
      </c>
      <c r="R37" s="1" t="s">
        <v>261</v>
      </c>
      <c r="T37" s="4">
        <v>60</v>
      </c>
    </row>
    <row r="38" spans="2:20">
      <c r="B38" s="1" t="s">
        <v>264</v>
      </c>
      <c r="C38" t="s">
        <v>265</v>
      </c>
      <c r="D38" s="5">
        <v>0.115</v>
      </c>
      <c r="F38" s="1" t="s">
        <v>300</v>
      </c>
      <c r="H38" s="3">
        <f>H36-H37</f>
        <v>172500000</v>
      </c>
      <c r="J38" s="1" t="s">
        <v>259</v>
      </c>
      <c r="L38" s="3">
        <f>L36-L37</f>
        <v>146500000</v>
      </c>
      <c r="N38" s="1" t="s">
        <v>264</v>
      </c>
      <c r="O38" t="s">
        <v>265</v>
      </c>
      <c r="P38" s="5">
        <v>0.121</v>
      </c>
      <c r="R38" s="1" t="s">
        <v>264</v>
      </c>
      <c r="S38" t="s">
        <v>265</v>
      </c>
      <c r="T38" s="5">
        <v>0.121</v>
      </c>
    </row>
    <row r="39" spans="2:20">
      <c r="B39" s="6"/>
      <c r="C39" s="7" t="s">
        <v>268</v>
      </c>
      <c r="D39" s="8">
        <v>6.1499999999999999E-2</v>
      </c>
      <c r="F39" s="1" t="s">
        <v>261</v>
      </c>
      <c r="H39" s="4">
        <v>60</v>
      </c>
      <c r="J39" s="1" t="s">
        <v>261</v>
      </c>
      <c r="L39" s="4">
        <v>60</v>
      </c>
      <c r="N39" s="6"/>
      <c r="O39" s="7" t="s">
        <v>268</v>
      </c>
      <c r="P39" s="8">
        <v>6.4899999999999999E-2</v>
      </c>
      <c r="R39" s="6"/>
      <c r="S39" s="7" t="s">
        <v>268</v>
      </c>
      <c r="T39" s="8">
        <v>6.4899999999999999E-2</v>
      </c>
    </row>
    <row r="40" spans="2:20">
      <c r="B40" s="1" t="s">
        <v>301</v>
      </c>
      <c r="C40" s="9">
        <v>0.2</v>
      </c>
      <c r="D40" s="10">
        <f>C40*D36</f>
        <v>38080000</v>
      </c>
      <c r="F40" s="1" t="s">
        <v>264</v>
      </c>
      <c r="G40" t="s">
        <v>265</v>
      </c>
      <c r="H40" s="5">
        <v>0.115</v>
      </c>
      <c r="J40" s="1" t="s">
        <v>264</v>
      </c>
      <c r="K40" t="s">
        <v>265</v>
      </c>
      <c r="L40" s="5">
        <v>0.115</v>
      </c>
      <c r="N40" s="1" t="s">
        <v>301</v>
      </c>
      <c r="O40" s="9">
        <v>0.2</v>
      </c>
      <c r="P40" s="10">
        <f>O40*P36</f>
        <v>24510000</v>
      </c>
      <c r="R40" s="1" t="s">
        <v>301</v>
      </c>
      <c r="S40" s="9">
        <v>0.2</v>
      </c>
      <c r="T40" s="10">
        <f>S40*T36</f>
        <v>23390000</v>
      </c>
    </row>
    <row r="41" spans="2:20">
      <c r="B41" s="1" t="s">
        <v>272</v>
      </c>
      <c r="D41" s="3">
        <f>D36-D40</f>
        <v>152320000</v>
      </c>
      <c r="F41" s="6"/>
      <c r="G41" s="7" t="s">
        <v>268</v>
      </c>
      <c r="H41" s="8">
        <v>6.1499999999999999E-2</v>
      </c>
      <c r="J41" s="6"/>
      <c r="K41" s="7" t="s">
        <v>268</v>
      </c>
      <c r="L41" s="8">
        <v>6.1499999999999999E-2</v>
      </c>
      <c r="N41" s="1" t="s">
        <v>272</v>
      </c>
      <c r="P41" s="3">
        <f>P36-P40</f>
        <v>98040000</v>
      </c>
      <c r="R41" s="1" t="s">
        <v>272</v>
      </c>
      <c r="T41" s="3">
        <f>T36-T40</f>
        <v>93560000</v>
      </c>
    </row>
    <row r="42" spans="2:20">
      <c r="B42" s="1" t="s">
        <v>273</v>
      </c>
      <c r="C42" s="11"/>
      <c r="D42" s="34"/>
      <c r="F42" s="1" t="s">
        <v>301</v>
      </c>
      <c r="G42" s="9">
        <v>0.2</v>
      </c>
      <c r="H42" s="10">
        <f>G42*H38</f>
        <v>34500000</v>
      </c>
      <c r="J42" s="1" t="s">
        <v>301</v>
      </c>
      <c r="K42" s="9">
        <v>0.2</v>
      </c>
      <c r="L42" s="10">
        <f>K42*L38</f>
        <v>29300000</v>
      </c>
      <c r="N42" s="1" t="s">
        <v>273</v>
      </c>
      <c r="O42" s="27"/>
      <c r="P42" s="3">
        <v>15058219</v>
      </c>
      <c r="R42" s="1" t="s">
        <v>273</v>
      </c>
      <c r="S42" s="27"/>
      <c r="T42" s="34">
        <v>14396718.75</v>
      </c>
    </row>
    <row r="43" spans="2:20">
      <c r="B43" s="1" t="s">
        <v>274</v>
      </c>
      <c r="D43" s="3">
        <f>ROUNDUP((((((D41+D42)*D39)*D37/12)+(D41+D42))/D37),-2)</f>
        <v>3319400</v>
      </c>
      <c r="F43" s="1" t="s">
        <v>272</v>
      </c>
      <c r="H43" s="3">
        <f>H38-H42</f>
        <v>138000000</v>
      </c>
      <c r="J43" s="1" t="s">
        <v>272</v>
      </c>
      <c r="L43" s="3">
        <f>L38-L42</f>
        <v>117200000</v>
      </c>
      <c r="N43" s="1" t="s">
        <v>274</v>
      </c>
      <c r="P43" s="3">
        <f>ROUNDUP((((((P41+P42)*P39)*P37/12)+(P41+P42))/P37),-2)</f>
        <v>2496700</v>
      </c>
      <c r="R43" s="1" t="s">
        <v>274</v>
      </c>
      <c r="T43" s="3">
        <f>ROUNDUP((((((T41+T42)*T39)*T37/12)+(T41+T42))/T37),-2)</f>
        <v>2383200</v>
      </c>
    </row>
    <row r="44" spans="2:20">
      <c r="B44" s="1" t="s">
        <v>263</v>
      </c>
      <c r="C44" s="28"/>
      <c r="D44" s="3">
        <v>19959679</v>
      </c>
      <c r="F44" s="1" t="s">
        <v>273</v>
      </c>
      <c r="G44" s="27"/>
      <c r="H44" s="3">
        <v>15687825</v>
      </c>
      <c r="J44" s="1" t="s">
        <v>273</v>
      </c>
      <c r="K44" s="27"/>
      <c r="L44" s="3">
        <v>17887313</v>
      </c>
      <c r="N44" s="1" t="s">
        <v>263</v>
      </c>
      <c r="O44" s="28"/>
      <c r="P44" s="3">
        <v>19799344</v>
      </c>
      <c r="R44" s="1" t="s">
        <v>263</v>
      </c>
      <c r="S44" s="28"/>
      <c r="T44" s="3">
        <v>18927844</v>
      </c>
    </row>
    <row r="45" spans="2:20">
      <c r="B45" s="1" t="s">
        <v>302</v>
      </c>
      <c r="D45" s="3"/>
      <c r="F45" s="1" t="s">
        <v>274</v>
      </c>
      <c r="H45" s="3">
        <f>ROUNDUP((((((H43+H44)*H41)*H39/12)+(H43+H44))/H39),-2)</f>
        <v>3349200</v>
      </c>
      <c r="J45" s="1" t="s">
        <v>274</v>
      </c>
      <c r="L45" s="3">
        <f>ROUNDUP((((((L43+L44)*L41)*L39/12)+(L43+L44))/L39),-2)</f>
        <v>2943800</v>
      </c>
      <c r="N45" s="1" t="s">
        <v>302</v>
      </c>
      <c r="P45" s="3"/>
      <c r="R45" s="1" t="s">
        <v>302</v>
      </c>
      <c r="T45" s="3"/>
    </row>
    <row r="46" spans="2:20">
      <c r="B46" s="1416" t="s">
        <v>277</v>
      </c>
      <c r="C46" s="1417"/>
      <c r="D46" s="1418"/>
      <c r="F46" s="1" t="s">
        <v>263</v>
      </c>
      <c r="G46" s="11"/>
      <c r="H46" s="3">
        <v>20628825</v>
      </c>
      <c r="J46" s="1" t="s">
        <v>263</v>
      </c>
      <c r="K46" s="28"/>
      <c r="L46" s="3">
        <v>22105513</v>
      </c>
      <c r="N46" s="1416" t="s">
        <v>277</v>
      </c>
      <c r="O46" s="1417"/>
      <c r="P46" s="1418"/>
      <c r="R46" s="1416" t="s">
        <v>277</v>
      </c>
      <c r="S46" s="1417"/>
      <c r="T46" s="1418"/>
    </row>
    <row r="47" spans="2:20">
      <c r="B47" s="12" t="s">
        <v>278</v>
      </c>
      <c r="C47" s="1419"/>
      <c r="D47" s="1420">
        <f>((D41+D42)*D39)*D37/12</f>
        <v>46838400</v>
      </c>
      <c r="F47" s="1" t="s">
        <v>302</v>
      </c>
      <c r="H47" s="3"/>
      <c r="J47" s="1" t="s">
        <v>302</v>
      </c>
      <c r="L47" s="3"/>
      <c r="N47" s="12" t="s">
        <v>278</v>
      </c>
      <c r="O47" s="1419"/>
      <c r="P47" s="1420">
        <f>((P41+P42)*P39)*P37/12</f>
        <v>36700372.065499999</v>
      </c>
      <c r="R47" s="12" t="s">
        <v>278</v>
      </c>
      <c r="S47" s="1419"/>
      <c r="T47" s="1420">
        <f>((T41+T42)*T39)*T37/12</f>
        <v>35031955.234375</v>
      </c>
    </row>
    <row r="48" spans="2:20">
      <c r="B48" s="12" t="s">
        <v>279</v>
      </c>
      <c r="C48" s="13"/>
      <c r="D48" s="3">
        <v>500000</v>
      </c>
      <c r="F48" s="1425" t="s">
        <v>277</v>
      </c>
      <c r="G48" s="1426"/>
      <c r="H48" s="1427"/>
      <c r="J48" s="1425" t="s">
        <v>277</v>
      </c>
      <c r="K48" s="1426"/>
      <c r="L48" s="1427"/>
      <c r="N48" s="12" t="s">
        <v>279</v>
      </c>
      <c r="O48" s="13"/>
      <c r="P48" s="3">
        <v>700000</v>
      </c>
      <c r="R48" s="12" t="s">
        <v>279</v>
      </c>
      <c r="S48" s="13"/>
      <c r="T48" s="3">
        <v>700000</v>
      </c>
    </row>
    <row r="49" spans="2:20">
      <c r="B49" s="12" t="s">
        <v>280</v>
      </c>
      <c r="C49" s="32">
        <v>0.32500000000000001</v>
      </c>
      <c r="D49" s="10">
        <f>D44*C49</f>
        <v>6486895.6749999998</v>
      </c>
      <c r="F49" s="12" t="s">
        <v>278</v>
      </c>
      <c r="G49" s="1419"/>
      <c r="H49" s="1420">
        <f>((H43+H44)*H41)*H39/12</f>
        <v>47259006.1875</v>
      </c>
      <c r="J49" s="12" t="s">
        <v>278</v>
      </c>
      <c r="K49" s="1419"/>
      <c r="L49" s="1420">
        <f>((L43+L44)*L41)*L39/12</f>
        <v>41539348.747499995</v>
      </c>
      <c r="N49" s="12" t="s">
        <v>280</v>
      </c>
      <c r="O49" s="32">
        <v>0.32500000000000001</v>
      </c>
      <c r="P49" s="10">
        <f>O49*P44</f>
        <v>6434786.7999999998</v>
      </c>
      <c r="R49" s="12" t="s">
        <v>280</v>
      </c>
      <c r="S49" s="32">
        <v>0.32500000000000001</v>
      </c>
      <c r="T49" s="10">
        <f>S49*T44</f>
        <v>6151549.2999999998</v>
      </c>
    </row>
    <row r="50" spans="2:20">
      <c r="B50" s="1421" t="s">
        <v>281</v>
      </c>
      <c r="C50" s="1422"/>
      <c r="D50" s="1423">
        <f>SUM(D47:D49)</f>
        <v>53825295.674999997</v>
      </c>
      <c r="F50" s="12" t="s">
        <v>279</v>
      </c>
      <c r="G50" s="13"/>
      <c r="H50" s="3">
        <v>700000</v>
      </c>
      <c r="J50" s="12" t="s">
        <v>279</v>
      </c>
      <c r="K50" s="13"/>
      <c r="L50" s="3">
        <v>700000</v>
      </c>
      <c r="N50" s="1421" t="s">
        <v>281</v>
      </c>
      <c r="O50" s="1422"/>
      <c r="P50" s="1423">
        <f>SUM(P47:P49)</f>
        <v>43835158.865499996</v>
      </c>
      <c r="R50" s="1421" t="s">
        <v>281</v>
      </c>
      <c r="S50" s="1422"/>
      <c r="T50" s="1423">
        <f>SUM(T47:T49)</f>
        <v>41883504.534374997</v>
      </c>
    </row>
    <row r="51" spans="2:20">
      <c r="B51" s="1416" t="s">
        <v>283</v>
      </c>
      <c r="C51" s="1417"/>
      <c r="D51" s="1418"/>
      <c r="F51" s="12" t="s">
        <v>280</v>
      </c>
      <c r="G51" s="32">
        <v>0.32500000000000001</v>
      </c>
      <c r="H51" s="3">
        <f>G51*H46</f>
        <v>6704368.125</v>
      </c>
      <c r="J51" s="12" t="s">
        <v>280</v>
      </c>
      <c r="K51" s="32">
        <v>0.32500000000000001</v>
      </c>
      <c r="L51" s="3">
        <f>K51*L46</f>
        <v>7184291.7250000006</v>
      </c>
      <c r="N51" s="1416" t="s">
        <v>283</v>
      </c>
      <c r="O51" s="1417"/>
      <c r="P51" s="1418"/>
      <c r="R51" s="1416" t="s">
        <v>283</v>
      </c>
      <c r="S51" s="1417"/>
      <c r="T51" s="1418"/>
    </row>
    <row r="52" spans="2:20">
      <c r="B52" s="12" t="s">
        <v>303</v>
      </c>
      <c r="C52" s="32">
        <v>-0.17499999999999999</v>
      </c>
      <c r="D52" s="3">
        <f>D44*C52</f>
        <v>-3492943.8249999997</v>
      </c>
      <c r="F52" s="12" t="s">
        <v>282</v>
      </c>
      <c r="G52" s="14"/>
      <c r="H52" s="3">
        <f>(H64*2%)*98%</f>
        <v>3488800</v>
      </c>
      <c r="J52" s="12" t="s">
        <v>282</v>
      </c>
      <c r="K52" s="14"/>
      <c r="L52" s="3">
        <f>(L64*2%)*98%</f>
        <v>2910600</v>
      </c>
      <c r="N52" s="12" t="s">
        <v>303</v>
      </c>
      <c r="O52" s="39">
        <v>-0.16750000000000001</v>
      </c>
      <c r="P52" s="3">
        <f>P44*O52</f>
        <v>-3316390.12</v>
      </c>
      <c r="R52" s="12" t="s">
        <v>303</v>
      </c>
      <c r="S52" s="32">
        <v>-0.13</v>
      </c>
      <c r="T52" s="3">
        <f>T44*S52</f>
        <v>-2460619.7200000002</v>
      </c>
    </row>
    <row r="53" spans="2:20">
      <c r="B53" s="15" t="s">
        <v>304</v>
      </c>
      <c r="C53" s="16">
        <v>5.21E-2</v>
      </c>
      <c r="D53" s="10">
        <f>-((D41+D42)*C53)*D37/12</f>
        <v>-39679360</v>
      </c>
      <c r="F53" s="12" t="s">
        <v>284</v>
      </c>
      <c r="G53" s="14"/>
      <c r="H53" s="10">
        <v>5000000</v>
      </c>
      <c r="J53" s="12" t="s">
        <v>284</v>
      </c>
      <c r="K53" s="14"/>
      <c r="L53" s="10">
        <v>5000000</v>
      </c>
      <c r="N53" s="15" t="s">
        <v>304</v>
      </c>
      <c r="O53" s="16">
        <v>5.21E-2</v>
      </c>
      <c r="P53" s="10">
        <f>-((P41+P42)*O53)*P37/12</f>
        <v>-29462086.0495</v>
      </c>
      <c r="R53" s="15" t="s">
        <v>304</v>
      </c>
      <c r="S53" s="16">
        <v>5.21E-2</v>
      </c>
      <c r="T53" s="10">
        <f>-(T41*S53)*T37/12</f>
        <v>-24372380</v>
      </c>
    </row>
    <row r="54" spans="2:20">
      <c r="B54" s="17" t="s">
        <v>281</v>
      </c>
      <c r="C54" s="18"/>
      <c r="D54" s="10">
        <f>SUM(D52:D53)</f>
        <v>-43172303.825000003</v>
      </c>
      <c r="F54" s="1421" t="s">
        <v>281</v>
      </c>
      <c r="G54" s="1422"/>
      <c r="H54" s="1423">
        <f>SUM(H49:H53)</f>
        <v>63152174.3125</v>
      </c>
      <c r="J54" s="1421" t="s">
        <v>281</v>
      </c>
      <c r="K54" s="1422"/>
      <c r="L54" s="1423">
        <f>SUM(L49:L53)</f>
        <v>57334240.472499996</v>
      </c>
      <c r="N54" s="17" t="s">
        <v>281</v>
      </c>
      <c r="O54" s="18"/>
      <c r="P54" s="10">
        <f>SUM(P52:P53)</f>
        <v>-32778476.169500001</v>
      </c>
      <c r="R54" s="17" t="s">
        <v>281</v>
      </c>
      <c r="S54" s="18"/>
      <c r="T54" s="10">
        <f>SUM(T52:T53)</f>
        <v>-26832999.719999999</v>
      </c>
    </row>
    <row r="55" spans="2:20" ht="15.75" thickBot="1">
      <c r="B55" s="19" t="s">
        <v>68</v>
      </c>
      <c r="C55" s="20"/>
      <c r="D55" s="21">
        <f>D50+D54</f>
        <v>10652991.849999994</v>
      </c>
      <c r="F55" s="1425" t="s">
        <v>283</v>
      </c>
      <c r="G55" s="1426"/>
      <c r="H55" s="1427"/>
      <c r="J55" s="1425" t="s">
        <v>283</v>
      </c>
      <c r="K55" s="1426"/>
      <c r="L55" s="1427"/>
      <c r="N55" s="19" t="s">
        <v>68</v>
      </c>
      <c r="O55" s="20"/>
      <c r="P55" s="21">
        <f>P50+P54</f>
        <v>11056682.695999995</v>
      </c>
      <c r="R55" s="19" t="s">
        <v>68</v>
      </c>
      <c r="S55" s="20"/>
      <c r="T55" s="21">
        <f>T50+T54</f>
        <v>15050504.814374998</v>
      </c>
    </row>
    <row r="56" spans="2:20">
      <c r="B56" s="37"/>
      <c r="D56" s="38"/>
      <c r="F56" s="12" t="s">
        <v>303</v>
      </c>
      <c r="G56" s="39">
        <v>-0.20250000000000001</v>
      </c>
      <c r="H56" s="3">
        <f>H46*G56</f>
        <v>-4177337.0625000005</v>
      </c>
      <c r="J56" s="12" t="s">
        <v>303</v>
      </c>
      <c r="K56" s="32">
        <v>-0.255</v>
      </c>
      <c r="L56" s="3">
        <f>L46*K56</f>
        <v>-5636905.8150000004</v>
      </c>
      <c r="N56" s="37"/>
      <c r="P56" s="38"/>
      <c r="R56" s="37"/>
      <c r="T56" s="38"/>
    </row>
    <row r="57" spans="2:20" ht="15.75" thickBot="1">
      <c r="C57" s="22"/>
      <c r="D57" s="23"/>
      <c r="F57" s="15" t="s">
        <v>304</v>
      </c>
      <c r="G57" s="16">
        <v>5.21E-2</v>
      </c>
      <c r="H57" s="10">
        <f>-((H43+H44)*G57)*H39/12</f>
        <v>-40035678.412500001</v>
      </c>
      <c r="J57" s="15" t="s">
        <v>304</v>
      </c>
      <c r="K57" s="16">
        <v>5.21E-2</v>
      </c>
      <c r="L57" s="10">
        <f>-((L43+L44)*K57)*L39/12</f>
        <v>-35190245.036499999</v>
      </c>
    </row>
    <row r="58" spans="2:20" ht="15.75" thickBot="1">
      <c r="B58" s="35" t="s">
        <v>305</v>
      </c>
      <c r="C58" s="29"/>
      <c r="D58" s="36">
        <f>D44+D52</f>
        <v>16466735.175000001</v>
      </c>
      <c r="F58" s="17" t="s">
        <v>281</v>
      </c>
      <c r="G58" s="18"/>
      <c r="H58" s="10">
        <f>SUM(H56:H57)</f>
        <v>-44213015.475000001</v>
      </c>
      <c r="J58" s="17" t="s">
        <v>281</v>
      </c>
      <c r="K58" s="18"/>
      <c r="L58" s="10">
        <f>SUM(L56:L57)</f>
        <v>-40827150.851499997</v>
      </c>
      <c r="N58" s="35" t="s">
        <v>305</v>
      </c>
      <c r="O58" s="29"/>
      <c r="P58" s="36">
        <f>P44+P52</f>
        <v>16482953.879999999</v>
      </c>
      <c r="R58" s="35" t="s">
        <v>305</v>
      </c>
      <c r="S58" s="29"/>
      <c r="T58" s="36">
        <f>T44+T52</f>
        <v>16467224.279999999</v>
      </c>
    </row>
    <row r="59" spans="2:20" ht="15.75" thickBot="1">
      <c r="B59" s="22" t="s">
        <v>288</v>
      </c>
      <c r="F59" s="19" t="s">
        <v>68</v>
      </c>
      <c r="G59" s="20"/>
      <c r="H59" s="21">
        <f>H54+H58</f>
        <v>18939158.837499999</v>
      </c>
      <c r="J59" s="19" t="s">
        <v>68</v>
      </c>
      <c r="K59" s="20"/>
      <c r="L59" s="21">
        <f>L54+L58</f>
        <v>16507089.620999999</v>
      </c>
      <c r="N59" s="22" t="s">
        <v>288</v>
      </c>
      <c r="R59" s="22" t="s">
        <v>288</v>
      </c>
      <c r="T59" s="33"/>
    </row>
    <row r="60" spans="2:20">
      <c r="D60" s="33"/>
      <c r="F60" s="37"/>
      <c r="H60" s="38"/>
      <c r="J60" s="37"/>
      <c r="L60" s="38"/>
      <c r="P60" s="33"/>
    </row>
    <row r="61" spans="2:20" ht="15.75" thickBot="1">
      <c r="P61" s="33"/>
    </row>
    <row r="62" spans="2:20" ht="15.75" thickBot="1">
      <c r="F62" s="35" t="s">
        <v>305</v>
      </c>
      <c r="G62" s="29"/>
      <c r="H62" s="36">
        <f>H46+H56</f>
        <v>16451487.9375</v>
      </c>
      <c r="J62" s="35" t="s">
        <v>305</v>
      </c>
      <c r="K62" s="29"/>
      <c r="L62" s="36">
        <f>L46+L56</f>
        <v>16468607.184999999</v>
      </c>
    </row>
    <row r="63" spans="2:20">
      <c r="F63" s="22" t="s">
        <v>288</v>
      </c>
      <c r="J63" s="22" t="s">
        <v>288</v>
      </c>
      <c r="K63" s="22"/>
    </row>
    <row r="64" spans="2:20">
      <c r="F64" s="30" t="s">
        <v>289</v>
      </c>
      <c r="H64" s="31">
        <v>178000000</v>
      </c>
      <c r="J64" s="30" t="s">
        <v>289</v>
      </c>
      <c r="K64" s="31"/>
      <c r="L64" s="31">
        <v>148500000</v>
      </c>
    </row>
  </sheetData>
  <mergeCells count="17">
    <mergeCell ref="F23:H23"/>
    <mergeCell ref="B4:D4"/>
    <mergeCell ref="F4:H4"/>
    <mergeCell ref="B16:D16"/>
    <mergeCell ref="F16:H16"/>
    <mergeCell ref="B21:D21"/>
    <mergeCell ref="B51:D51"/>
    <mergeCell ref="N51:P51"/>
    <mergeCell ref="R51:T51"/>
    <mergeCell ref="B34:D34"/>
    <mergeCell ref="F34:H34"/>
    <mergeCell ref="J34:L34"/>
    <mergeCell ref="N34:P34"/>
    <mergeCell ref="R34:T34"/>
    <mergeCell ref="B46:D46"/>
    <mergeCell ref="N46:P46"/>
    <mergeCell ref="R46:T46"/>
  </mergeCells>
  <phoneticPr fontId="69"/>
  <pageMargins left="0.25" right="0.25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7"/>
  <sheetViews>
    <sheetView workbookViewId="0">
      <selection activeCell="E6" sqref="E6"/>
    </sheetView>
  </sheetViews>
  <sheetFormatPr defaultColWidth="9.140625" defaultRowHeight="12.75"/>
  <cols>
    <col min="1" max="1" width="6" style="504" customWidth="1"/>
    <col min="2" max="2" width="24.5703125" style="504" customWidth="1"/>
    <col min="3" max="3" width="17.42578125" style="549" hidden="1" customWidth="1"/>
    <col min="4" max="4" width="18.42578125" style="549" hidden="1" customWidth="1"/>
    <col min="5" max="5" width="18.28515625" style="549" customWidth="1"/>
    <col min="6" max="6" width="17.7109375" style="549" hidden="1" customWidth="1"/>
    <col min="7" max="7" width="16.7109375" style="549" hidden="1" customWidth="1"/>
    <col min="8" max="8" width="16.5703125" style="504" hidden="1" customWidth="1"/>
    <col min="9" max="9" width="15.28515625" style="504" customWidth="1"/>
    <col min="10" max="11" width="0" style="504" hidden="1" customWidth="1"/>
    <col min="12" max="12" width="15.140625" style="504" hidden="1" customWidth="1"/>
    <col min="13" max="13" width="18.140625" style="504" customWidth="1"/>
    <col min="14" max="14" width="18.5703125" style="504" customWidth="1"/>
    <col min="15" max="15" width="14" style="504" bestFit="1" customWidth="1"/>
    <col min="16" max="16384" width="9.140625" style="504"/>
  </cols>
  <sheetData>
    <row r="1" spans="1:15">
      <c r="A1" s="1428"/>
      <c r="B1" s="1429" t="s">
        <v>306</v>
      </c>
      <c r="C1" s="1430">
        <f>+C4/C2</f>
        <v>2.2988057246067433E-2</v>
      </c>
      <c r="D1" s="1430" t="e">
        <f>+D4/D2</f>
        <v>#REF!</v>
      </c>
      <c r="E1" s="1431"/>
      <c r="F1" s="1431"/>
      <c r="G1" s="1431"/>
      <c r="H1" s="1431"/>
      <c r="I1" s="1431"/>
      <c r="J1" s="1431"/>
      <c r="K1" s="1431"/>
      <c r="L1" s="1431"/>
    </row>
    <row r="2" spans="1:15">
      <c r="A2" s="505" t="s">
        <v>307</v>
      </c>
      <c r="B2" s="506" t="s">
        <v>308</v>
      </c>
      <c r="C2" s="507">
        <f>PV(C3/12,C5,-C4,-C6,C7)</f>
        <v>16913999988.690451</v>
      </c>
      <c r="D2" s="508">
        <f>[7]Sheet1!$L$31</f>
        <v>0</v>
      </c>
      <c r="E2" s="508" t="e">
        <f>Calculation!#REF!+Calculation!#REF!-Calculation!#REF!</f>
        <v>#REF!</v>
      </c>
      <c r="F2" s="508" t="e">
        <f>E2</f>
        <v>#REF!</v>
      </c>
      <c r="G2" s="508">
        <v>0</v>
      </c>
      <c r="H2" s="508">
        <v>318181818</v>
      </c>
      <c r="I2" s="508" t="e">
        <f>E2</f>
        <v>#REF!</v>
      </c>
      <c r="J2" s="508">
        <v>0</v>
      </c>
      <c r="K2" s="508">
        <v>318181818</v>
      </c>
      <c r="L2" s="508">
        <f>H2</f>
        <v>318181818</v>
      </c>
    </row>
    <row r="3" spans="1:15">
      <c r="A3" s="505" t="s">
        <v>309</v>
      </c>
      <c r="B3" s="506" t="s">
        <v>310</v>
      </c>
      <c r="C3" s="509">
        <v>0.1788543168</v>
      </c>
      <c r="D3" s="510" t="e">
        <f>RATE(D5,-D4,D2,-D6,D7)*12</f>
        <v>#REF!</v>
      </c>
      <c r="E3" s="509">
        <f>Calculation!D13</f>
        <v>0.17499999999999999</v>
      </c>
      <c r="F3" s="509">
        <f>E3</f>
        <v>0.17499999999999999</v>
      </c>
      <c r="G3" s="511"/>
      <c r="H3" s="509">
        <v>0.14000000000000001</v>
      </c>
      <c r="I3" s="509">
        <f>Calculation!D14</f>
        <v>9.2999999999999999E-2</v>
      </c>
      <c r="J3" s="511"/>
      <c r="K3" s="509">
        <v>0.14000000000000001</v>
      </c>
      <c r="L3" s="509">
        <v>8.2400000000000001E-2</v>
      </c>
      <c r="M3" s="523"/>
      <c r="N3" s="523"/>
    </row>
    <row r="4" spans="1:15">
      <c r="A4" s="505" t="s">
        <v>311</v>
      </c>
      <c r="B4" s="506" t="s">
        <v>312</v>
      </c>
      <c r="C4" s="508">
        <v>388820000</v>
      </c>
      <c r="D4" s="508" t="e">
        <f>E4</f>
        <v>#REF!</v>
      </c>
      <c r="E4" s="512" t="e">
        <f>PMT(E3/12,E5,-E2,E6,E7)</f>
        <v>#REF!</v>
      </c>
      <c r="F4" s="513" t="e">
        <f>E4</f>
        <v>#REF!</v>
      </c>
      <c r="G4" s="513"/>
      <c r="H4" s="512">
        <f>(PMT(H3/12,H5,-H2,H6,H7))*1.1</f>
        <v>9362154.1714214813</v>
      </c>
      <c r="I4" s="512" t="e">
        <f>PMT(I3/12,I5,-I2,I6,I7)</f>
        <v>#REF!</v>
      </c>
      <c r="J4" s="513"/>
      <c r="K4" s="512">
        <f>PMT(K3/12,K5,-K2,K6,K7)</f>
        <v>8511049.2467468008</v>
      </c>
      <c r="L4" s="512">
        <f>PMT(L3/12,L5,-L2,L6,L7)</f>
        <v>7424971.3117593247</v>
      </c>
      <c r="M4" s="514" t="s">
        <v>313</v>
      </c>
      <c r="N4" s="514" t="e">
        <f>I4*I5-I2</f>
        <v>#REF!</v>
      </c>
      <c r="O4" s="514"/>
    </row>
    <row r="5" spans="1:15">
      <c r="A5" s="505" t="s">
        <v>314</v>
      </c>
      <c r="B5" s="506" t="s">
        <v>315</v>
      </c>
      <c r="C5" s="508">
        <v>36</v>
      </c>
      <c r="D5" s="508">
        <v>36</v>
      </c>
      <c r="E5" s="508" t="e">
        <f>Calculation!#REF!</f>
        <v>#REF!</v>
      </c>
      <c r="F5" s="515"/>
      <c r="G5" s="508"/>
      <c r="H5" s="508">
        <v>36</v>
      </c>
      <c r="I5" s="508" t="e">
        <f>E5</f>
        <v>#REF!</v>
      </c>
      <c r="J5" s="508"/>
      <c r="K5" s="508">
        <v>36</v>
      </c>
      <c r="L5" s="508">
        <v>36</v>
      </c>
      <c r="M5" s="554"/>
      <c r="N5" s="514"/>
      <c r="O5" s="554"/>
    </row>
    <row r="6" spans="1:15">
      <c r="A6" s="505" t="s">
        <v>316</v>
      </c>
      <c r="B6" s="506" t="s">
        <v>317</v>
      </c>
      <c r="C6" s="508">
        <v>10461800000</v>
      </c>
      <c r="D6" s="508">
        <f>E6</f>
        <v>148416000</v>
      </c>
      <c r="E6" s="508">
        <f>Calculation!D21</f>
        <v>148416000</v>
      </c>
      <c r="F6" s="508">
        <f>E6</f>
        <v>148416000</v>
      </c>
      <c r="G6" s="507">
        <f>FV(G3/12,G5,G4,-G2,G7)</f>
        <v>0</v>
      </c>
      <c r="H6" s="508">
        <v>105000000</v>
      </c>
      <c r="I6" s="508">
        <v>0</v>
      </c>
      <c r="J6" s="507">
        <f>FV(J3/12,J5,J4,-J2,J7)</f>
        <v>0</v>
      </c>
      <c r="K6" s="508">
        <v>105000000</v>
      </c>
      <c r="L6" s="508">
        <v>105000000</v>
      </c>
    </row>
    <row r="7" spans="1:15">
      <c r="A7" s="505" t="s">
        <v>318</v>
      </c>
      <c r="B7" s="516" t="s">
        <v>319</v>
      </c>
      <c r="C7" s="508">
        <v>0</v>
      </c>
      <c r="D7" s="508">
        <v>0</v>
      </c>
      <c r="E7" s="508">
        <v>0</v>
      </c>
      <c r="F7" s="508">
        <v>0</v>
      </c>
      <c r="G7" s="508">
        <v>0</v>
      </c>
      <c r="H7" s="508">
        <v>0</v>
      </c>
      <c r="I7" s="508">
        <v>0</v>
      </c>
      <c r="J7" s="508">
        <v>0</v>
      </c>
      <c r="K7" s="508">
        <v>0</v>
      </c>
      <c r="L7" s="508">
        <v>0</v>
      </c>
    </row>
    <row r="8" spans="1:15">
      <c r="A8" s="505" t="s">
        <v>320</v>
      </c>
      <c r="B8" s="517" t="s">
        <v>321</v>
      </c>
      <c r="C8" s="518">
        <v>43097</v>
      </c>
      <c r="D8" s="518"/>
      <c r="E8" s="518"/>
      <c r="F8" s="518"/>
      <c r="G8" s="518"/>
      <c r="H8" s="518"/>
      <c r="I8" s="518"/>
      <c r="J8" s="518"/>
      <c r="K8" s="518"/>
      <c r="L8" s="518"/>
    </row>
    <row r="9" spans="1:15" s="519" customFormat="1">
      <c r="B9" s="520"/>
      <c r="C9" s="521"/>
      <c r="D9" s="521"/>
      <c r="E9" s="521"/>
      <c r="F9" s="521"/>
      <c r="G9" s="521"/>
    </row>
    <row r="10" spans="1:15" s="523" customFormat="1" hidden="1">
      <c r="A10" s="522" t="s">
        <v>322</v>
      </c>
      <c r="B10" s="522" t="s">
        <v>320</v>
      </c>
      <c r="C10" s="522" t="s">
        <v>323</v>
      </c>
      <c r="D10" s="522" t="s">
        <v>324</v>
      </c>
      <c r="E10" s="522" t="s">
        <v>325</v>
      </c>
      <c r="F10" s="522" t="s">
        <v>326</v>
      </c>
      <c r="G10" s="522" t="s">
        <v>327</v>
      </c>
    </row>
    <row r="11" spans="1:15" hidden="1">
      <c r="A11" s="522"/>
      <c r="B11" s="524"/>
      <c r="C11" s="525">
        <f>PV(C3/12,C5,-C4,-C6,C7)</f>
        <v>16913999988.690451</v>
      </c>
      <c r="D11" s="526"/>
      <c r="E11" s="526"/>
      <c r="F11" s="526"/>
      <c r="G11" s="526"/>
    </row>
    <row r="12" spans="1:15" s="532" customFormat="1" hidden="1">
      <c r="A12" s="527">
        <f t="shared" ref="A12:A47" si="0">IF(A11&lt;$C$5,A11+1,"")</f>
        <v>1</v>
      </c>
      <c r="B12" s="528">
        <f t="shared" ref="B12:B47" si="1">IF(A12="","",EDATE($C$8,A12))</f>
        <v>43128</v>
      </c>
      <c r="C12" s="529">
        <f t="shared" ref="C12:C47" si="2">IF(A12="","",ROUND(PV($C$3/12,$C$5-A12,-$C$4,-$C$6,$C$7),0))</f>
        <v>16777275148</v>
      </c>
      <c r="D12" s="530">
        <f>IF(A12="","",+C12/$C$11)</f>
        <v>0.99191646915088849</v>
      </c>
      <c r="E12" s="531">
        <f t="shared" ref="E12:E47" si="3">IF(A12="","",+C11-C12)</f>
        <v>136724840.69045067</v>
      </c>
      <c r="F12" s="529">
        <f t="shared" ref="F12:F47" si="4">IF(A12="","",G12-E12)</f>
        <v>252095159.30954933</v>
      </c>
      <c r="G12" s="529">
        <f t="shared" ref="G12:G47" si="5">IF(A12="","",ROUND($C$4,0))</f>
        <v>388820000</v>
      </c>
    </row>
    <row r="13" spans="1:15" s="532" customFormat="1" hidden="1">
      <c r="A13" s="527">
        <f t="shared" si="0"/>
        <v>2</v>
      </c>
      <c r="B13" s="528">
        <f t="shared" si="1"/>
        <v>43159</v>
      </c>
      <c r="C13" s="529">
        <f t="shared" si="2"/>
        <v>16638512488</v>
      </c>
      <c r="D13" s="530">
        <f t="shared" ref="D13:D47" si="6">IF(A13="","",+C13/$C$11)</f>
        <v>0.98371245708438837</v>
      </c>
      <c r="E13" s="529">
        <f t="shared" si="3"/>
        <v>138762660</v>
      </c>
      <c r="F13" s="529">
        <f t="shared" si="4"/>
        <v>250057340</v>
      </c>
      <c r="G13" s="529">
        <f t="shared" si="5"/>
        <v>388820000</v>
      </c>
    </row>
    <row r="14" spans="1:15" s="537" customFormat="1" hidden="1">
      <c r="A14" s="533">
        <f t="shared" si="0"/>
        <v>3</v>
      </c>
      <c r="B14" s="534">
        <f t="shared" si="1"/>
        <v>43187</v>
      </c>
      <c r="C14" s="535">
        <f t="shared" si="2"/>
        <v>16497681637</v>
      </c>
      <c r="D14" s="536">
        <f t="shared" si="6"/>
        <v>0.97538616814657553</v>
      </c>
      <c r="E14" s="535">
        <f t="shared" si="3"/>
        <v>140830851</v>
      </c>
      <c r="F14" s="535">
        <f t="shared" si="4"/>
        <v>247989149</v>
      </c>
      <c r="G14" s="535">
        <f t="shared" si="5"/>
        <v>388820000</v>
      </c>
    </row>
    <row r="15" spans="1:15" s="532" customFormat="1" hidden="1">
      <c r="A15" s="527">
        <f t="shared" si="0"/>
        <v>4</v>
      </c>
      <c r="B15" s="528">
        <f t="shared" si="1"/>
        <v>43218</v>
      </c>
      <c r="C15" s="529">
        <f t="shared" si="2"/>
        <v>16354751769</v>
      </c>
      <c r="D15" s="530">
        <f t="shared" si="6"/>
        <v>0.96693577982355494</v>
      </c>
      <c r="E15" s="529">
        <f t="shared" si="3"/>
        <v>142929868</v>
      </c>
      <c r="F15" s="529">
        <f t="shared" si="4"/>
        <v>245890132</v>
      </c>
      <c r="G15" s="529">
        <f t="shared" si="5"/>
        <v>388820000</v>
      </c>
    </row>
    <row r="16" spans="1:15" s="542" customFormat="1" hidden="1">
      <c r="A16" s="538">
        <f t="shared" si="0"/>
        <v>5</v>
      </c>
      <c r="B16" s="539">
        <f t="shared" si="1"/>
        <v>43248</v>
      </c>
      <c r="C16" s="540">
        <f t="shared" si="2"/>
        <v>16209691598</v>
      </c>
      <c r="D16" s="541">
        <f t="shared" si="6"/>
        <v>0.95835944240502624</v>
      </c>
      <c r="E16" s="540">
        <f t="shared" si="3"/>
        <v>145060171</v>
      </c>
      <c r="F16" s="540">
        <f t="shared" si="4"/>
        <v>243759829</v>
      </c>
      <c r="G16" s="540">
        <f t="shared" si="5"/>
        <v>388820000</v>
      </c>
    </row>
    <row r="17" spans="1:7" s="542" customFormat="1" hidden="1">
      <c r="A17" s="538">
        <f t="shared" si="0"/>
        <v>6</v>
      </c>
      <c r="B17" s="539">
        <f t="shared" si="1"/>
        <v>43279</v>
      </c>
      <c r="C17" s="540">
        <f t="shared" si="2"/>
        <v>16062469374</v>
      </c>
      <c r="D17" s="541">
        <f t="shared" si="6"/>
        <v>0.9496552787477931</v>
      </c>
      <c r="E17" s="540">
        <f t="shared" si="3"/>
        <v>147222224</v>
      </c>
      <c r="F17" s="540">
        <f t="shared" si="4"/>
        <v>241597776</v>
      </c>
      <c r="G17" s="540">
        <f t="shared" si="5"/>
        <v>388820000</v>
      </c>
    </row>
    <row r="18" spans="1:7" s="542" customFormat="1" hidden="1">
      <c r="A18" s="538">
        <f t="shared" si="0"/>
        <v>7</v>
      </c>
      <c r="B18" s="539">
        <f t="shared" si="1"/>
        <v>43309</v>
      </c>
      <c r="C18" s="540">
        <f t="shared" si="2"/>
        <v>15913052873</v>
      </c>
      <c r="D18" s="541">
        <f t="shared" si="6"/>
        <v>0.94082138368453738</v>
      </c>
      <c r="E18" s="540">
        <f t="shared" si="3"/>
        <v>149416501</v>
      </c>
      <c r="F18" s="540">
        <f t="shared" si="4"/>
        <v>239403499</v>
      </c>
      <c r="G18" s="540">
        <f t="shared" si="5"/>
        <v>388820000</v>
      </c>
    </row>
    <row r="19" spans="1:7" s="542" customFormat="1" hidden="1">
      <c r="A19" s="538">
        <f t="shared" si="0"/>
        <v>8</v>
      </c>
      <c r="B19" s="539">
        <f t="shared" si="1"/>
        <v>43340</v>
      </c>
      <c r="C19" s="540">
        <f t="shared" si="2"/>
        <v>15761409390</v>
      </c>
      <c r="D19" s="541">
        <f t="shared" si="6"/>
        <v>0.93185582360996033</v>
      </c>
      <c r="E19" s="540">
        <f t="shared" si="3"/>
        <v>151643483</v>
      </c>
      <c r="F19" s="540">
        <f t="shared" si="4"/>
        <v>237176517</v>
      </c>
      <c r="G19" s="540">
        <f t="shared" si="5"/>
        <v>388820000</v>
      </c>
    </row>
    <row r="20" spans="1:7" hidden="1">
      <c r="A20" s="522">
        <f t="shared" si="0"/>
        <v>9</v>
      </c>
      <c r="B20" s="543">
        <f t="shared" si="1"/>
        <v>43371</v>
      </c>
      <c r="C20" s="526">
        <f t="shared" si="2"/>
        <v>15607505732</v>
      </c>
      <c r="D20" s="544">
        <f t="shared" si="6"/>
        <v>0.9227566360669246</v>
      </c>
      <c r="E20" s="526">
        <f t="shared" si="3"/>
        <v>153903658</v>
      </c>
      <c r="F20" s="526">
        <f t="shared" si="4"/>
        <v>234916342</v>
      </c>
      <c r="G20" s="526">
        <f t="shared" si="5"/>
        <v>388820000</v>
      </c>
    </row>
    <row r="21" spans="1:7" hidden="1">
      <c r="A21" s="522">
        <f t="shared" si="0"/>
        <v>10</v>
      </c>
      <c r="B21" s="543">
        <f t="shared" si="1"/>
        <v>43401</v>
      </c>
      <c r="C21" s="526">
        <f t="shared" si="2"/>
        <v>15451308213</v>
      </c>
      <c r="D21" s="544">
        <f t="shared" si="6"/>
        <v>0.91352182945084071</v>
      </c>
      <c r="E21" s="526">
        <f t="shared" si="3"/>
        <v>156197519</v>
      </c>
      <c r="F21" s="526">
        <f t="shared" si="4"/>
        <v>232622481</v>
      </c>
      <c r="G21" s="526">
        <f t="shared" si="5"/>
        <v>388820000</v>
      </c>
    </row>
    <row r="22" spans="1:7" hidden="1">
      <c r="A22" s="522">
        <f t="shared" si="0"/>
        <v>11</v>
      </c>
      <c r="B22" s="543">
        <f t="shared" si="1"/>
        <v>43432</v>
      </c>
      <c r="C22" s="526">
        <f t="shared" si="2"/>
        <v>15292782645</v>
      </c>
      <c r="D22" s="544">
        <f t="shared" si="6"/>
        <v>0.90414938247756427</v>
      </c>
      <c r="E22" s="526">
        <f t="shared" si="3"/>
        <v>158525568</v>
      </c>
      <c r="F22" s="526">
        <f t="shared" si="4"/>
        <v>230294432</v>
      </c>
      <c r="G22" s="526">
        <f t="shared" si="5"/>
        <v>388820000</v>
      </c>
    </row>
    <row r="23" spans="1:7" hidden="1">
      <c r="A23" s="522">
        <f t="shared" si="0"/>
        <v>12</v>
      </c>
      <c r="B23" s="543">
        <f t="shared" si="1"/>
        <v>43462</v>
      </c>
      <c r="C23" s="526">
        <f t="shared" si="2"/>
        <v>15131894327</v>
      </c>
      <c r="D23" s="544">
        <f t="shared" si="6"/>
        <v>0.89463724353304619</v>
      </c>
      <c r="E23" s="526">
        <f t="shared" si="3"/>
        <v>160888318</v>
      </c>
      <c r="F23" s="526">
        <f t="shared" si="4"/>
        <v>227931682</v>
      </c>
      <c r="G23" s="526">
        <f t="shared" si="5"/>
        <v>388820000</v>
      </c>
    </row>
    <row r="24" spans="1:7" hidden="1">
      <c r="A24" s="522">
        <f t="shared" si="0"/>
        <v>13</v>
      </c>
      <c r="B24" s="543">
        <f t="shared" si="1"/>
        <v>43493</v>
      </c>
      <c r="C24" s="526">
        <f t="shared" si="2"/>
        <v>14968608046</v>
      </c>
      <c r="D24" s="544">
        <f t="shared" si="6"/>
        <v>0.88498333073245616</v>
      </c>
      <c r="E24" s="526">
        <f t="shared" si="3"/>
        <v>163286281</v>
      </c>
      <c r="F24" s="526">
        <f t="shared" si="4"/>
        <v>225533719</v>
      </c>
      <c r="G24" s="526">
        <f t="shared" si="5"/>
        <v>388820000</v>
      </c>
    </row>
    <row r="25" spans="1:7" hidden="1">
      <c r="A25" s="522">
        <f t="shared" si="0"/>
        <v>14</v>
      </c>
      <c r="B25" s="543">
        <f t="shared" si="1"/>
        <v>43524</v>
      </c>
      <c r="C25" s="526">
        <f t="shared" si="2"/>
        <v>14802888060</v>
      </c>
      <c r="D25" s="544">
        <f t="shared" si="6"/>
        <v>0.87518553091509721</v>
      </c>
      <c r="E25" s="526">
        <f t="shared" si="3"/>
        <v>165719986</v>
      </c>
      <c r="F25" s="526">
        <f t="shared" si="4"/>
        <v>223100014</v>
      </c>
      <c r="G25" s="526">
        <f t="shared" si="5"/>
        <v>388820000</v>
      </c>
    </row>
    <row r="26" spans="1:7" hidden="1">
      <c r="A26" s="522">
        <f t="shared" si="0"/>
        <v>15</v>
      </c>
      <c r="B26" s="543">
        <f t="shared" si="1"/>
        <v>43552</v>
      </c>
      <c r="C26" s="526">
        <f t="shared" si="2"/>
        <v>14634698095</v>
      </c>
      <c r="D26" s="544">
        <f t="shared" si="6"/>
        <v>0.86524169946703877</v>
      </c>
      <c r="E26" s="526">
        <f t="shared" si="3"/>
        <v>168189965</v>
      </c>
      <c r="F26" s="526">
        <f t="shared" si="4"/>
        <v>220630035</v>
      </c>
      <c r="G26" s="526">
        <f t="shared" si="5"/>
        <v>388820000</v>
      </c>
    </row>
    <row r="27" spans="1:7" hidden="1">
      <c r="A27" s="522">
        <f t="shared" si="0"/>
        <v>16</v>
      </c>
      <c r="B27" s="543">
        <f t="shared" si="1"/>
        <v>43583</v>
      </c>
      <c r="C27" s="526">
        <f t="shared" si="2"/>
        <v>14464001340</v>
      </c>
      <c r="D27" s="544">
        <f t="shared" si="6"/>
        <v>0.85514966002550297</v>
      </c>
      <c r="E27" s="526">
        <f t="shared" si="3"/>
        <v>170696755</v>
      </c>
      <c r="F27" s="526">
        <f t="shared" si="4"/>
        <v>218123245</v>
      </c>
      <c r="G27" s="526">
        <f t="shared" si="5"/>
        <v>388820000</v>
      </c>
    </row>
    <row r="28" spans="1:7" hidden="1">
      <c r="A28" s="522">
        <f t="shared" si="0"/>
        <v>17</v>
      </c>
      <c r="B28" s="543">
        <f t="shared" si="1"/>
        <v>43613</v>
      </c>
      <c r="C28" s="526">
        <f t="shared" si="2"/>
        <v>14290760429</v>
      </c>
      <c r="D28" s="544">
        <f t="shared" si="6"/>
        <v>0.84490720341465764</v>
      </c>
      <c r="E28" s="526">
        <f t="shared" si="3"/>
        <v>173240911</v>
      </c>
      <c r="F28" s="526">
        <f t="shared" si="4"/>
        <v>215579089</v>
      </c>
      <c r="G28" s="526">
        <f t="shared" si="5"/>
        <v>388820000</v>
      </c>
    </row>
    <row r="29" spans="1:7" hidden="1">
      <c r="A29" s="522">
        <f t="shared" si="0"/>
        <v>18</v>
      </c>
      <c r="B29" s="543">
        <f t="shared" si="1"/>
        <v>43644</v>
      </c>
      <c r="C29" s="526">
        <f t="shared" si="2"/>
        <v>14114937446</v>
      </c>
      <c r="D29" s="544">
        <f t="shared" si="6"/>
        <v>0.83451208794122944</v>
      </c>
      <c r="E29" s="526">
        <f t="shared" si="3"/>
        <v>175822983</v>
      </c>
      <c r="F29" s="526">
        <f t="shared" si="4"/>
        <v>212997017</v>
      </c>
      <c r="G29" s="526">
        <f t="shared" si="5"/>
        <v>388820000</v>
      </c>
    </row>
    <row r="30" spans="1:7" hidden="1">
      <c r="A30" s="522">
        <f t="shared" si="0"/>
        <v>19</v>
      </c>
      <c r="B30" s="543">
        <f t="shared" si="1"/>
        <v>43674</v>
      </c>
      <c r="C30" s="526">
        <f t="shared" si="2"/>
        <v>13936493903</v>
      </c>
      <c r="D30" s="544">
        <f t="shared" si="6"/>
        <v>0.8239620380938063</v>
      </c>
      <c r="E30" s="526">
        <f t="shared" si="3"/>
        <v>178443543</v>
      </c>
      <c r="F30" s="526">
        <f t="shared" si="4"/>
        <v>210376457</v>
      </c>
      <c r="G30" s="526">
        <f t="shared" si="5"/>
        <v>388820000</v>
      </c>
    </row>
    <row r="31" spans="1:7" hidden="1">
      <c r="A31" s="522">
        <f t="shared" si="0"/>
        <v>20</v>
      </c>
      <c r="B31" s="543">
        <f t="shared" si="1"/>
        <v>43705</v>
      </c>
      <c r="C31" s="526">
        <f t="shared" si="2"/>
        <v>13755390745</v>
      </c>
      <c r="D31" s="544">
        <f t="shared" si="6"/>
        <v>0.81325474483845006</v>
      </c>
      <c r="E31" s="526">
        <f t="shared" si="3"/>
        <v>181103158</v>
      </c>
      <c r="F31" s="526">
        <f t="shared" si="4"/>
        <v>207716842</v>
      </c>
      <c r="G31" s="526">
        <f t="shared" si="5"/>
        <v>388820000</v>
      </c>
    </row>
    <row r="32" spans="1:7" hidden="1">
      <c r="A32" s="522">
        <f t="shared" si="0"/>
        <v>21</v>
      </c>
      <c r="B32" s="543">
        <f t="shared" si="1"/>
        <v>43736</v>
      </c>
      <c r="C32" s="526">
        <f t="shared" si="2"/>
        <v>13571588329</v>
      </c>
      <c r="D32" s="544">
        <f t="shared" si="6"/>
        <v>0.80238786437712217</v>
      </c>
      <c r="E32" s="526">
        <f t="shared" si="3"/>
        <v>183802416</v>
      </c>
      <c r="F32" s="526">
        <f t="shared" si="4"/>
        <v>205017584</v>
      </c>
      <c r="G32" s="526">
        <f t="shared" si="5"/>
        <v>388820000</v>
      </c>
    </row>
    <row r="33" spans="1:7" hidden="1">
      <c r="A33" s="522">
        <f t="shared" si="0"/>
        <v>22</v>
      </c>
      <c r="B33" s="543">
        <f t="shared" si="1"/>
        <v>43766</v>
      </c>
      <c r="C33" s="526">
        <f t="shared" si="2"/>
        <v>13385046426</v>
      </c>
      <c r="D33" s="544">
        <f t="shared" si="6"/>
        <v>0.79135901826592847</v>
      </c>
      <c r="E33" s="526">
        <f t="shared" si="3"/>
        <v>186541903</v>
      </c>
      <c r="F33" s="526">
        <f t="shared" si="4"/>
        <v>202278097</v>
      </c>
      <c r="G33" s="526">
        <f t="shared" si="5"/>
        <v>388820000</v>
      </c>
    </row>
    <row r="34" spans="1:7" hidden="1">
      <c r="A34" s="522">
        <f t="shared" si="0"/>
        <v>23</v>
      </c>
      <c r="B34" s="543">
        <f t="shared" si="1"/>
        <v>43797</v>
      </c>
      <c r="C34" s="526">
        <f t="shared" si="2"/>
        <v>13195724203</v>
      </c>
      <c r="D34" s="544">
        <f t="shared" si="6"/>
        <v>0.78016579235091188</v>
      </c>
      <c r="E34" s="526">
        <f t="shared" si="3"/>
        <v>189322223</v>
      </c>
      <c r="F34" s="526">
        <f t="shared" si="4"/>
        <v>199497777</v>
      </c>
      <c r="G34" s="526">
        <f t="shared" si="5"/>
        <v>388820000</v>
      </c>
    </row>
    <row r="35" spans="1:7" hidden="1">
      <c r="A35" s="522">
        <f t="shared" si="0"/>
        <v>24</v>
      </c>
      <c r="B35" s="543">
        <f t="shared" si="1"/>
        <v>43827</v>
      </c>
      <c r="C35" s="526">
        <f t="shared" si="2"/>
        <v>13003580223</v>
      </c>
      <c r="D35" s="544">
        <f t="shared" si="6"/>
        <v>0.76880573676805286</v>
      </c>
      <c r="E35" s="526">
        <f t="shared" si="3"/>
        <v>192143980</v>
      </c>
      <c r="F35" s="526">
        <f t="shared" si="4"/>
        <v>196676020</v>
      </c>
      <c r="G35" s="526">
        <f t="shared" si="5"/>
        <v>388820000</v>
      </c>
    </row>
    <row r="36" spans="1:7" hidden="1">
      <c r="A36" s="522">
        <f t="shared" si="0"/>
        <v>25</v>
      </c>
      <c r="B36" s="543">
        <f t="shared" si="1"/>
        <v>43858</v>
      </c>
      <c r="C36" s="526">
        <f t="shared" si="2"/>
        <v>12808572428</v>
      </c>
      <c r="D36" s="544">
        <f t="shared" si="6"/>
        <v>0.75727636493818462</v>
      </c>
      <c r="E36" s="526">
        <f t="shared" si="3"/>
        <v>195007795</v>
      </c>
      <c r="F36" s="526">
        <f t="shared" si="4"/>
        <v>193812205</v>
      </c>
      <c r="G36" s="526">
        <f t="shared" si="5"/>
        <v>388820000</v>
      </c>
    </row>
    <row r="37" spans="1:7" hidden="1">
      <c r="A37" s="522">
        <f t="shared" si="0"/>
        <v>26</v>
      </c>
      <c r="B37" s="543">
        <f t="shared" si="1"/>
        <v>43889</v>
      </c>
      <c r="C37" s="526">
        <f t="shared" si="2"/>
        <v>12610658134</v>
      </c>
      <c r="D37" s="544">
        <f t="shared" si="6"/>
        <v>0.74557515327137991</v>
      </c>
      <c r="E37" s="526">
        <f t="shared" si="3"/>
        <v>197914294</v>
      </c>
      <c r="F37" s="526">
        <f t="shared" si="4"/>
        <v>190905706</v>
      </c>
      <c r="G37" s="526">
        <f t="shared" si="5"/>
        <v>388820000</v>
      </c>
    </row>
    <row r="38" spans="1:7" hidden="1">
      <c r="A38" s="522">
        <f t="shared" si="0"/>
        <v>27</v>
      </c>
      <c r="B38" s="543">
        <f t="shared" si="1"/>
        <v>43918</v>
      </c>
      <c r="C38" s="526">
        <f t="shared" si="2"/>
        <v>12409794021</v>
      </c>
      <c r="D38" s="544">
        <f t="shared" si="6"/>
        <v>0.73369954057572495</v>
      </c>
      <c r="E38" s="526">
        <f t="shared" si="3"/>
        <v>200864113</v>
      </c>
      <c r="F38" s="526">
        <f t="shared" si="4"/>
        <v>187955887</v>
      </c>
      <c r="G38" s="526">
        <f t="shared" si="5"/>
        <v>388820000</v>
      </c>
    </row>
    <row r="39" spans="1:7" hidden="1">
      <c r="A39" s="522">
        <f t="shared" si="0"/>
        <v>28</v>
      </c>
      <c r="B39" s="543">
        <f t="shared" si="1"/>
        <v>43949</v>
      </c>
      <c r="C39" s="526">
        <f t="shared" si="2"/>
        <v>12205936124</v>
      </c>
      <c r="D39" s="544">
        <f t="shared" si="6"/>
        <v>0.72164692752521586</v>
      </c>
      <c r="E39" s="526">
        <f t="shared" si="3"/>
        <v>203857897</v>
      </c>
      <c r="F39" s="526">
        <f t="shared" si="4"/>
        <v>184962103</v>
      </c>
      <c r="G39" s="526">
        <f t="shared" si="5"/>
        <v>388820000</v>
      </c>
    </row>
    <row r="40" spans="1:7" hidden="1">
      <c r="A40" s="522">
        <f t="shared" si="0"/>
        <v>29</v>
      </c>
      <c r="B40" s="543">
        <f t="shared" si="1"/>
        <v>43979</v>
      </c>
      <c r="C40" s="526">
        <f t="shared" si="2"/>
        <v>11999039821</v>
      </c>
      <c r="D40" s="544">
        <f t="shared" si="6"/>
        <v>0.7094146759502874</v>
      </c>
      <c r="E40" s="526">
        <f t="shared" si="3"/>
        <v>206896303</v>
      </c>
      <c r="F40" s="526">
        <f t="shared" si="4"/>
        <v>181923697</v>
      </c>
      <c r="G40" s="526">
        <f t="shared" si="5"/>
        <v>388820000</v>
      </c>
    </row>
    <row r="41" spans="1:7" hidden="1">
      <c r="A41" s="522">
        <f t="shared" si="0"/>
        <v>30</v>
      </c>
      <c r="B41" s="543">
        <f t="shared" si="1"/>
        <v>44010</v>
      </c>
      <c r="C41" s="526">
        <f t="shared" si="2"/>
        <v>11789059827</v>
      </c>
      <c r="D41" s="544">
        <f t="shared" si="6"/>
        <v>0.69700010848307659</v>
      </c>
      <c r="E41" s="526">
        <f t="shared" si="3"/>
        <v>209979994</v>
      </c>
      <c r="F41" s="526">
        <f t="shared" si="4"/>
        <v>178840006</v>
      </c>
      <c r="G41" s="526">
        <f t="shared" si="5"/>
        <v>388820000</v>
      </c>
    </row>
    <row r="42" spans="1:7" hidden="1">
      <c r="A42" s="522">
        <f t="shared" si="0"/>
        <v>31</v>
      </c>
      <c r="B42" s="543">
        <f t="shared" si="1"/>
        <v>44040</v>
      </c>
      <c r="C42" s="526">
        <f t="shared" si="2"/>
        <v>11575950180</v>
      </c>
      <c r="D42" s="544">
        <f t="shared" si="6"/>
        <v>0.68440050772970684</v>
      </c>
      <c r="E42" s="526">
        <f t="shared" si="3"/>
        <v>213109647</v>
      </c>
      <c r="F42" s="526">
        <f t="shared" si="4"/>
        <v>175710353</v>
      </c>
      <c r="G42" s="526">
        <f t="shared" si="5"/>
        <v>388820000</v>
      </c>
    </row>
    <row r="43" spans="1:7" hidden="1">
      <c r="A43" s="522">
        <f t="shared" si="0"/>
        <v>32</v>
      </c>
      <c r="B43" s="543">
        <f t="shared" si="1"/>
        <v>44071</v>
      </c>
      <c r="C43" s="526">
        <f t="shared" si="2"/>
        <v>11359664235</v>
      </c>
      <c r="D43" s="544">
        <f t="shared" si="6"/>
        <v>0.67161311591555173</v>
      </c>
      <c r="E43" s="526">
        <f t="shared" si="3"/>
        <v>216285945</v>
      </c>
      <c r="F43" s="526">
        <f t="shared" si="4"/>
        <v>172534055</v>
      </c>
      <c r="G43" s="526">
        <f t="shared" si="5"/>
        <v>388820000</v>
      </c>
    </row>
    <row r="44" spans="1:7" hidden="1">
      <c r="A44" s="522">
        <f t="shared" si="0"/>
        <v>33</v>
      </c>
      <c r="B44" s="543">
        <f t="shared" si="1"/>
        <v>44102</v>
      </c>
      <c r="C44" s="526">
        <f t="shared" si="2"/>
        <v>11140154650</v>
      </c>
      <c r="D44" s="544">
        <f t="shared" si="6"/>
        <v>0.65863513405751839</v>
      </c>
      <c r="E44" s="526">
        <f t="shared" si="3"/>
        <v>219509585</v>
      </c>
      <c r="F44" s="526">
        <f t="shared" si="4"/>
        <v>169310415</v>
      </c>
      <c r="G44" s="526">
        <f t="shared" si="5"/>
        <v>388820000</v>
      </c>
    </row>
    <row r="45" spans="1:7" hidden="1">
      <c r="A45" s="522">
        <f t="shared" si="0"/>
        <v>34</v>
      </c>
      <c r="B45" s="543">
        <f t="shared" si="1"/>
        <v>44132</v>
      </c>
      <c r="C45" s="526">
        <f t="shared" si="2"/>
        <v>10917373380</v>
      </c>
      <c r="D45" s="544">
        <f t="shared" si="6"/>
        <v>0.64546372160931209</v>
      </c>
      <c r="E45" s="526">
        <f t="shared" si="3"/>
        <v>222781270</v>
      </c>
      <c r="F45" s="526">
        <f t="shared" si="4"/>
        <v>166038730</v>
      </c>
      <c r="G45" s="526">
        <f t="shared" si="5"/>
        <v>388820000</v>
      </c>
    </row>
    <row r="46" spans="1:7" hidden="1">
      <c r="A46" s="522">
        <f t="shared" si="0"/>
        <v>35</v>
      </c>
      <c r="B46" s="543">
        <f t="shared" si="1"/>
        <v>44163</v>
      </c>
      <c r="C46" s="526">
        <f t="shared" si="2"/>
        <v>10691271659</v>
      </c>
      <c r="D46" s="544">
        <f t="shared" si="6"/>
        <v>0.63209599539722838</v>
      </c>
      <c r="E46" s="526">
        <f t="shared" si="3"/>
        <v>226101721</v>
      </c>
      <c r="F46" s="526">
        <f t="shared" si="4"/>
        <v>162718279</v>
      </c>
      <c r="G46" s="526">
        <f t="shared" si="5"/>
        <v>388820000</v>
      </c>
    </row>
    <row r="47" spans="1:7" hidden="1">
      <c r="A47" s="522">
        <f t="shared" si="0"/>
        <v>36</v>
      </c>
      <c r="B47" s="543">
        <f t="shared" si="1"/>
        <v>44193</v>
      </c>
      <c r="C47" s="526">
        <f t="shared" si="2"/>
        <v>10461800000</v>
      </c>
      <c r="D47" s="544">
        <f t="shared" si="6"/>
        <v>0.61852902962015399</v>
      </c>
      <c r="E47" s="526">
        <f t="shared" si="3"/>
        <v>229471659</v>
      </c>
      <c r="F47" s="526">
        <f t="shared" si="4"/>
        <v>159348341</v>
      </c>
      <c r="G47" s="526">
        <f t="shared" si="5"/>
        <v>388820000</v>
      </c>
    </row>
    <row r="48" spans="1:7" s="519" customFormat="1" ht="13.5" hidden="1" thickBot="1">
      <c r="A48" s="545" t="s">
        <v>328</v>
      </c>
      <c r="B48" s="545" t="s">
        <v>328</v>
      </c>
      <c r="C48" s="545" t="s">
        <v>328</v>
      </c>
      <c r="D48" s="546" t="s">
        <v>328</v>
      </c>
      <c r="E48" s="547">
        <f>SUM(E12:E47)</f>
        <v>6452199988.6904507</v>
      </c>
      <c r="F48" s="548">
        <f>SUM(F12:F47)</f>
        <v>7545320011.3095493</v>
      </c>
      <c r="G48" s="548">
        <f>SUM(G12:G47)</f>
        <v>13997520000</v>
      </c>
    </row>
    <row r="49" spans="2:13" hidden="1"/>
    <row r="50" spans="2:13">
      <c r="D50" s="504"/>
      <c r="E50" s="504"/>
      <c r="F50" s="504"/>
    </row>
    <row r="51" spans="2:13">
      <c r="B51" s="504" t="s">
        <v>329</v>
      </c>
      <c r="D51" s="504"/>
      <c r="E51" s="514" t="e">
        <f>E4</f>
        <v>#REF!</v>
      </c>
      <c r="F51" s="504"/>
      <c r="H51" s="514">
        <f>H4</f>
        <v>9362154.1714214813</v>
      </c>
      <c r="I51" s="514"/>
    </row>
    <row r="52" spans="2:13">
      <c r="B52" s="504" t="s">
        <v>330</v>
      </c>
      <c r="D52" s="504"/>
      <c r="E52" s="550">
        <f>-Calculation!D49/36</f>
        <v>333333.33333333331</v>
      </c>
      <c r="F52" s="504"/>
      <c r="I52" s="550"/>
      <c r="M52" s="550"/>
    </row>
    <row r="53" spans="2:13">
      <c r="B53" s="504" t="s">
        <v>18</v>
      </c>
      <c r="D53" s="504"/>
      <c r="E53" s="550">
        <v>0</v>
      </c>
      <c r="F53" s="504"/>
      <c r="I53" s="550"/>
      <c r="M53" s="550"/>
    </row>
    <row r="54" spans="2:13" ht="15">
      <c r="B54" s="551" t="s">
        <v>26</v>
      </c>
      <c r="C54" s="552"/>
      <c r="D54" s="551"/>
      <c r="E54" s="553">
        <f>-Calculation!D46/36</f>
        <v>555555.5555555555</v>
      </c>
      <c r="F54" s="504"/>
      <c r="I54" s="553"/>
      <c r="M54" s="555"/>
    </row>
    <row r="55" spans="2:13">
      <c r="B55" s="504" t="s">
        <v>100</v>
      </c>
      <c r="D55" s="504"/>
      <c r="E55" s="514" t="e">
        <f>SUM(E51:E54)</f>
        <v>#REF!</v>
      </c>
      <c r="F55" s="504"/>
      <c r="I55" s="550"/>
      <c r="M55" s="550"/>
    </row>
    <row r="56" spans="2:13">
      <c r="D56" s="504"/>
      <c r="E56" s="504"/>
      <c r="F56" s="504"/>
    </row>
    <row r="57" spans="2:13">
      <c r="D57" s="504"/>
      <c r="E57" s="504"/>
      <c r="F57" s="504"/>
    </row>
    <row r="58" spans="2:13">
      <c r="D58" s="504"/>
      <c r="E58" s="504"/>
      <c r="F58" s="504"/>
    </row>
    <row r="59" spans="2:13">
      <c r="D59" s="504"/>
      <c r="E59" s="504"/>
      <c r="F59" s="504"/>
    </row>
    <row r="60" spans="2:13">
      <c r="D60" s="504"/>
      <c r="E60" s="504"/>
      <c r="F60" s="504"/>
    </row>
    <row r="61" spans="2:13">
      <c r="D61" s="504"/>
      <c r="E61" s="504"/>
      <c r="F61" s="504"/>
    </row>
    <row r="62" spans="2:13">
      <c r="D62" s="504"/>
      <c r="E62" s="504"/>
      <c r="F62" s="504"/>
    </row>
    <row r="63" spans="2:13">
      <c r="D63" s="504"/>
      <c r="E63" s="504"/>
      <c r="F63" s="504"/>
    </row>
    <row r="64" spans="2:13">
      <c r="D64" s="504"/>
      <c r="E64" s="504"/>
      <c r="F64" s="504"/>
    </row>
    <row r="65" spans="4:6">
      <c r="D65" s="504"/>
      <c r="E65" s="504"/>
      <c r="F65" s="504"/>
    </row>
    <row r="66" spans="4:6">
      <c r="D66" s="504"/>
      <c r="E66" s="504"/>
      <c r="F66" s="504"/>
    </row>
    <row r="67" spans="4:6">
      <c r="D67" s="504"/>
      <c r="E67" s="504"/>
      <c r="F67" s="504"/>
    </row>
  </sheetData>
  <phoneticPr fontId="6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M168"/>
  <sheetViews>
    <sheetView topLeftCell="D16" zoomScale="80" zoomScaleNormal="80" workbookViewId="0">
      <selection activeCell="K25" sqref="K25"/>
    </sheetView>
  </sheetViews>
  <sheetFormatPr defaultColWidth="9.140625" defaultRowHeight="12"/>
  <cols>
    <col min="1" max="1" width="4.28515625" style="575" customWidth="1"/>
    <col min="2" max="2" width="13.85546875" style="575" customWidth="1"/>
    <col min="3" max="3" width="16.5703125" style="575" customWidth="1"/>
    <col min="4" max="19" width="17.7109375" style="575" customWidth="1"/>
    <col min="20" max="20" width="17" style="575" customWidth="1"/>
    <col min="21" max="22" width="15" style="575" customWidth="1"/>
    <col min="23" max="23" width="14.28515625" style="575" customWidth="1"/>
    <col min="24" max="24" width="14.85546875" style="575" customWidth="1"/>
    <col min="25" max="25" width="17.140625" style="575" customWidth="1"/>
    <col min="26" max="26" width="13.5703125" style="575" customWidth="1"/>
    <col min="27" max="28" width="14.85546875" style="575" customWidth="1"/>
    <col min="29" max="29" width="18.85546875" style="575" customWidth="1"/>
    <col min="30" max="30" width="19.42578125" style="575" customWidth="1"/>
    <col min="31" max="31" width="16.140625" style="575" customWidth="1"/>
    <col min="32" max="32" width="14.5703125" style="575" customWidth="1"/>
    <col min="33" max="35" width="16" style="575" customWidth="1"/>
    <col min="36" max="36" width="19.7109375" style="575" customWidth="1"/>
    <col min="37" max="37" width="16.5703125" style="575" customWidth="1"/>
    <col min="38" max="38" width="19.140625" style="575" customWidth="1"/>
    <col min="39" max="41" width="16.5703125" style="575" customWidth="1"/>
    <col min="42" max="42" width="15.7109375" style="575" customWidth="1"/>
    <col min="43" max="43" width="19.42578125" style="575" customWidth="1"/>
    <col min="44" max="44" width="14.85546875" style="576" bestFit="1" customWidth="1"/>
    <col min="45" max="45" width="13.7109375" style="576" bestFit="1" customWidth="1"/>
    <col min="46" max="48" width="13.140625" style="576" customWidth="1"/>
    <col min="49" max="49" width="16.42578125" style="576" customWidth="1"/>
    <col min="50" max="50" width="13.140625" style="576" customWidth="1"/>
    <col min="51" max="51" width="15.28515625" style="576" customWidth="1"/>
    <col min="52" max="52" width="14" style="576" bestFit="1" customWidth="1"/>
    <col min="53" max="53" width="17.140625" style="877" customWidth="1"/>
    <col min="54" max="59" width="16.5703125" style="575" customWidth="1"/>
    <col min="60" max="61" width="16.5703125" style="878" customWidth="1"/>
    <col min="62" max="65" width="16.5703125" style="575" customWidth="1"/>
    <col min="66" max="222" width="9.140625" style="575"/>
    <col min="223" max="223" width="4.28515625" style="575" customWidth="1"/>
    <col min="224" max="224" width="10.140625" style="575" customWidth="1"/>
    <col min="225" max="225" width="8.85546875" style="575" customWidth="1"/>
    <col min="226" max="226" width="11.140625" style="575" customWidth="1"/>
    <col min="227" max="227" width="15" style="575" bestFit="1" customWidth="1"/>
    <col min="228" max="228" width="13.5703125" style="575" customWidth="1"/>
    <col min="229" max="229" width="11.42578125" style="575" bestFit="1" customWidth="1"/>
    <col min="230" max="230" width="11.28515625" style="575" customWidth="1"/>
    <col min="231" max="231" width="15.28515625" style="575" bestFit="1" customWidth="1"/>
    <col min="232" max="234" width="11.85546875" style="575" customWidth="1"/>
    <col min="235" max="235" width="19.140625" style="575" customWidth="1"/>
    <col min="236" max="236" width="15" style="575" customWidth="1"/>
    <col min="237" max="237" width="15.28515625" style="575" customWidth="1"/>
    <col min="238" max="240" width="18.85546875" style="575" customWidth="1"/>
    <col min="241" max="241" width="12.7109375" style="575" customWidth="1"/>
    <col min="242" max="242" width="13.7109375" style="575" customWidth="1"/>
    <col min="243" max="243" width="16.140625" style="575" customWidth="1"/>
    <col min="244" max="244" width="17" style="575" customWidth="1"/>
    <col min="245" max="245" width="15" style="575" customWidth="1"/>
    <col min="246" max="246" width="14.28515625" style="575" customWidth="1"/>
    <col min="247" max="247" width="14.85546875" style="575" customWidth="1"/>
    <col min="248" max="248" width="17.140625" style="575" customWidth="1"/>
    <col min="249" max="249" width="13.5703125" style="575" customWidth="1"/>
    <col min="250" max="251" width="14.85546875" style="575" customWidth="1"/>
    <col min="252" max="252" width="18.85546875" style="575" customWidth="1"/>
    <col min="253" max="253" width="19.42578125" style="575" customWidth="1"/>
    <col min="254" max="254" width="16.140625" style="575" customWidth="1"/>
    <col min="255" max="255" width="14.5703125" style="575" customWidth="1"/>
    <col min="256" max="256" width="20.28515625" style="575" customWidth="1"/>
    <col min="257" max="257" width="13.85546875" style="575" customWidth="1"/>
    <col min="258" max="258" width="19.140625" style="575" customWidth="1"/>
    <col min="259" max="259" width="19.7109375" style="575" customWidth="1"/>
    <col min="260" max="260" width="16.5703125" style="575" customWidth="1"/>
    <col min="261" max="261" width="19.140625" style="575" customWidth="1"/>
    <col min="262" max="264" width="16.5703125" style="575" customWidth="1"/>
    <col min="265" max="265" width="15.7109375" style="575" customWidth="1"/>
    <col min="266" max="266" width="19.42578125" style="575" customWidth="1"/>
    <col min="267" max="267" width="14.85546875" style="575" bestFit="1" customWidth="1"/>
    <col min="268" max="268" width="13.7109375" style="575" bestFit="1" customWidth="1"/>
    <col min="269" max="269" width="13" style="575" customWidth="1"/>
    <col min="270" max="270" width="18.42578125" style="575" customWidth="1"/>
    <col min="271" max="273" width="13.140625" style="575" customWidth="1"/>
    <col min="274" max="274" width="16.42578125" style="575" customWidth="1"/>
    <col min="275" max="275" width="13.140625" style="575" customWidth="1"/>
    <col min="276" max="276" width="15.28515625" style="575" customWidth="1"/>
    <col min="277" max="277" width="14" style="575" bestFit="1" customWidth="1"/>
    <col min="278" max="278" width="17.140625" style="575" customWidth="1"/>
    <col min="279" max="300" width="16.5703125" style="575" customWidth="1"/>
    <col min="301" max="301" width="20.140625" style="575" customWidth="1"/>
    <col min="302" max="302" width="13.28515625" style="575" customWidth="1"/>
    <col min="303" max="303" width="14.85546875" style="575" customWidth="1"/>
    <col min="304" max="304" width="13.85546875" style="575" customWidth="1"/>
    <col min="305" max="305" width="13.5703125" style="575" customWidth="1"/>
    <col min="306" max="306" width="13" style="575" customWidth="1"/>
    <col min="307" max="307" width="13.5703125" style="575" customWidth="1"/>
    <col min="308" max="308" width="7.7109375" style="575" bestFit="1" customWidth="1"/>
    <col min="309" max="478" width="9.140625" style="575"/>
    <col min="479" max="479" width="4.28515625" style="575" customWidth="1"/>
    <col min="480" max="480" width="10.140625" style="575" customWidth="1"/>
    <col min="481" max="481" width="8.85546875" style="575" customWidth="1"/>
    <col min="482" max="482" width="11.140625" style="575" customWidth="1"/>
    <col min="483" max="483" width="15" style="575" bestFit="1" customWidth="1"/>
    <col min="484" max="484" width="13.5703125" style="575" customWidth="1"/>
    <col min="485" max="485" width="11.42578125" style="575" bestFit="1" customWidth="1"/>
    <col min="486" max="486" width="11.28515625" style="575" customWidth="1"/>
    <col min="487" max="487" width="15.28515625" style="575" bestFit="1" customWidth="1"/>
    <col min="488" max="490" width="11.85546875" style="575" customWidth="1"/>
    <col min="491" max="491" width="19.140625" style="575" customWidth="1"/>
    <col min="492" max="492" width="15" style="575" customWidth="1"/>
    <col min="493" max="493" width="15.28515625" style="575" customWidth="1"/>
    <col min="494" max="496" width="18.85546875" style="575" customWidth="1"/>
    <col min="497" max="497" width="12.7109375" style="575" customWidth="1"/>
    <col min="498" max="498" width="13.7109375" style="575" customWidth="1"/>
    <col min="499" max="499" width="16.140625" style="575" customWidth="1"/>
    <col min="500" max="500" width="17" style="575" customWidth="1"/>
    <col min="501" max="501" width="15" style="575" customWidth="1"/>
    <col min="502" max="502" width="14.28515625" style="575" customWidth="1"/>
    <col min="503" max="503" width="14.85546875" style="575" customWidth="1"/>
    <col min="504" max="504" width="17.140625" style="575" customWidth="1"/>
    <col min="505" max="505" width="13.5703125" style="575" customWidth="1"/>
    <col min="506" max="507" width="14.85546875" style="575" customWidth="1"/>
    <col min="508" max="508" width="18.85546875" style="575" customWidth="1"/>
    <col min="509" max="509" width="19.42578125" style="575" customWidth="1"/>
    <col min="510" max="510" width="16.140625" style="575" customWidth="1"/>
    <col min="511" max="511" width="14.5703125" style="575" customWidth="1"/>
    <col min="512" max="512" width="20.28515625" style="575" customWidth="1"/>
    <col min="513" max="513" width="13.85546875" style="575" customWidth="1"/>
    <col min="514" max="514" width="19.140625" style="575" customWidth="1"/>
    <col min="515" max="515" width="19.7109375" style="575" customWidth="1"/>
    <col min="516" max="516" width="16.5703125" style="575" customWidth="1"/>
    <col min="517" max="517" width="19.140625" style="575" customWidth="1"/>
    <col min="518" max="520" width="16.5703125" style="575" customWidth="1"/>
    <col min="521" max="521" width="15.7109375" style="575" customWidth="1"/>
    <col min="522" max="522" width="19.42578125" style="575" customWidth="1"/>
    <col min="523" max="523" width="14.85546875" style="575" bestFit="1" customWidth="1"/>
    <col min="524" max="524" width="13.7109375" style="575" bestFit="1" customWidth="1"/>
    <col min="525" max="525" width="13" style="575" customWidth="1"/>
    <col min="526" max="526" width="18.42578125" style="575" customWidth="1"/>
    <col min="527" max="529" width="13.140625" style="575" customWidth="1"/>
    <col min="530" max="530" width="16.42578125" style="575" customWidth="1"/>
    <col min="531" max="531" width="13.140625" style="575" customWidth="1"/>
    <col min="532" max="532" width="15.28515625" style="575" customWidth="1"/>
    <col min="533" max="533" width="14" style="575" bestFit="1" customWidth="1"/>
    <col min="534" max="534" width="17.140625" style="575" customWidth="1"/>
    <col min="535" max="556" width="16.5703125" style="575" customWidth="1"/>
    <col min="557" max="557" width="20.140625" style="575" customWidth="1"/>
    <col min="558" max="558" width="13.28515625" style="575" customWidth="1"/>
    <col min="559" max="559" width="14.85546875" style="575" customWidth="1"/>
    <col min="560" max="560" width="13.85546875" style="575" customWidth="1"/>
    <col min="561" max="561" width="13.5703125" style="575" customWidth="1"/>
    <col min="562" max="562" width="13" style="575" customWidth="1"/>
    <col min="563" max="563" width="13.5703125" style="575" customWidth="1"/>
    <col min="564" max="564" width="7.7109375" style="575" bestFit="1" customWidth="1"/>
    <col min="565" max="734" width="9.140625" style="575"/>
    <col min="735" max="735" width="4.28515625" style="575" customWidth="1"/>
    <col min="736" max="736" width="10.140625" style="575" customWidth="1"/>
    <col min="737" max="737" width="8.85546875" style="575" customWidth="1"/>
    <col min="738" max="738" width="11.140625" style="575" customWidth="1"/>
    <col min="739" max="739" width="15" style="575" bestFit="1" customWidth="1"/>
    <col min="740" max="740" width="13.5703125" style="575" customWidth="1"/>
    <col min="741" max="741" width="11.42578125" style="575" bestFit="1" customWidth="1"/>
    <col min="742" max="742" width="11.28515625" style="575" customWidth="1"/>
    <col min="743" max="743" width="15.28515625" style="575" bestFit="1" customWidth="1"/>
    <col min="744" max="746" width="11.85546875" style="575" customWidth="1"/>
    <col min="747" max="747" width="19.140625" style="575" customWidth="1"/>
    <col min="748" max="748" width="15" style="575" customWidth="1"/>
    <col min="749" max="749" width="15.28515625" style="575" customWidth="1"/>
    <col min="750" max="752" width="18.85546875" style="575" customWidth="1"/>
    <col min="753" max="753" width="12.7109375" style="575" customWidth="1"/>
    <col min="754" max="754" width="13.7109375" style="575" customWidth="1"/>
    <col min="755" max="755" width="16.140625" style="575" customWidth="1"/>
    <col min="756" max="756" width="17" style="575" customWidth="1"/>
    <col min="757" max="757" width="15" style="575" customWidth="1"/>
    <col min="758" max="758" width="14.28515625" style="575" customWidth="1"/>
    <col min="759" max="759" width="14.85546875" style="575" customWidth="1"/>
    <col min="760" max="760" width="17.140625" style="575" customWidth="1"/>
    <col min="761" max="761" width="13.5703125" style="575" customWidth="1"/>
    <col min="762" max="763" width="14.85546875" style="575" customWidth="1"/>
    <col min="764" max="764" width="18.85546875" style="575" customWidth="1"/>
    <col min="765" max="765" width="19.42578125" style="575" customWidth="1"/>
    <col min="766" max="766" width="16.140625" style="575" customWidth="1"/>
    <col min="767" max="767" width="14.5703125" style="575" customWidth="1"/>
    <col min="768" max="768" width="20.28515625" style="575" customWidth="1"/>
    <col min="769" max="769" width="13.85546875" style="575" customWidth="1"/>
    <col min="770" max="770" width="19.140625" style="575" customWidth="1"/>
    <col min="771" max="771" width="19.7109375" style="575" customWidth="1"/>
    <col min="772" max="772" width="16.5703125" style="575" customWidth="1"/>
    <col min="773" max="773" width="19.140625" style="575" customWidth="1"/>
    <col min="774" max="776" width="16.5703125" style="575" customWidth="1"/>
    <col min="777" max="777" width="15.7109375" style="575" customWidth="1"/>
    <col min="778" max="778" width="19.42578125" style="575" customWidth="1"/>
    <col min="779" max="779" width="14.85546875" style="575" bestFit="1" customWidth="1"/>
    <col min="780" max="780" width="13.7109375" style="575" bestFit="1" customWidth="1"/>
    <col min="781" max="781" width="13" style="575" customWidth="1"/>
    <col min="782" max="782" width="18.42578125" style="575" customWidth="1"/>
    <col min="783" max="785" width="13.140625" style="575" customWidth="1"/>
    <col min="786" max="786" width="16.42578125" style="575" customWidth="1"/>
    <col min="787" max="787" width="13.140625" style="575" customWidth="1"/>
    <col min="788" max="788" width="15.28515625" style="575" customWidth="1"/>
    <col min="789" max="789" width="14" style="575" bestFit="1" customWidth="1"/>
    <col min="790" max="790" width="17.140625" style="575" customWidth="1"/>
    <col min="791" max="812" width="16.5703125" style="575" customWidth="1"/>
    <col min="813" max="813" width="20.140625" style="575" customWidth="1"/>
    <col min="814" max="814" width="13.28515625" style="575" customWidth="1"/>
    <col min="815" max="815" width="14.85546875" style="575" customWidth="1"/>
    <col min="816" max="816" width="13.85546875" style="575" customWidth="1"/>
    <col min="817" max="817" width="13.5703125" style="575" customWidth="1"/>
    <col min="818" max="818" width="13" style="575" customWidth="1"/>
    <col min="819" max="819" width="13.5703125" style="575" customWidth="1"/>
    <col min="820" max="820" width="7.7109375" style="575" bestFit="1" customWidth="1"/>
    <col min="821" max="990" width="9.140625" style="575"/>
    <col min="991" max="991" width="4.28515625" style="575" customWidth="1"/>
    <col min="992" max="992" width="10.140625" style="575" customWidth="1"/>
    <col min="993" max="993" width="8.85546875" style="575" customWidth="1"/>
    <col min="994" max="994" width="11.140625" style="575" customWidth="1"/>
    <col min="995" max="995" width="15" style="575" bestFit="1" customWidth="1"/>
    <col min="996" max="996" width="13.5703125" style="575" customWidth="1"/>
    <col min="997" max="997" width="11.42578125" style="575" bestFit="1" customWidth="1"/>
    <col min="998" max="998" width="11.28515625" style="575" customWidth="1"/>
    <col min="999" max="999" width="15.28515625" style="575" bestFit="1" customWidth="1"/>
    <col min="1000" max="1002" width="11.85546875" style="575" customWidth="1"/>
    <col min="1003" max="1003" width="19.140625" style="575" customWidth="1"/>
    <col min="1004" max="1004" width="15" style="575" customWidth="1"/>
    <col min="1005" max="1005" width="15.28515625" style="575" customWidth="1"/>
    <col min="1006" max="1008" width="18.85546875" style="575" customWidth="1"/>
    <col min="1009" max="1009" width="12.7109375" style="575" customWidth="1"/>
    <col min="1010" max="1010" width="13.7109375" style="575" customWidth="1"/>
    <col min="1011" max="1011" width="16.140625" style="575" customWidth="1"/>
    <col min="1012" max="1012" width="17" style="575" customWidth="1"/>
    <col min="1013" max="1013" width="15" style="575" customWidth="1"/>
    <col min="1014" max="1014" width="14.28515625" style="575" customWidth="1"/>
    <col min="1015" max="1015" width="14.85546875" style="575" customWidth="1"/>
    <col min="1016" max="1016" width="17.140625" style="575" customWidth="1"/>
    <col min="1017" max="1017" width="13.5703125" style="575" customWidth="1"/>
    <col min="1018" max="1019" width="14.85546875" style="575" customWidth="1"/>
    <col min="1020" max="1020" width="18.85546875" style="575" customWidth="1"/>
    <col min="1021" max="1021" width="19.42578125" style="575" customWidth="1"/>
    <col min="1022" max="1022" width="16.140625" style="575" customWidth="1"/>
    <col min="1023" max="1023" width="14.5703125" style="575" customWidth="1"/>
    <col min="1024" max="1024" width="20.28515625" style="575" customWidth="1"/>
    <col min="1025" max="1025" width="13.85546875" style="575" customWidth="1"/>
    <col min="1026" max="1026" width="19.140625" style="575" customWidth="1"/>
    <col min="1027" max="1027" width="19.7109375" style="575" customWidth="1"/>
    <col min="1028" max="1028" width="16.5703125" style="575" customWidth="1"/>
    <col min="1029" max="1029" width="19.140625" style="575" customWidth="1"/>
    <col min="1030" max="1032" width="16.5703125" style="575" customWidth="1"/>
    <col min="1033" max="1033" width="15.7109375" style="575" customWidth="1"/>
    <col min="1034" max="1034" width="19.42578125" style="575" customWidth="1"/>
    <col min="1035" max="1035" width="14.85546875" style="575" bestFit="1" customWidth="1"/>
    <col min="1036" max="1036" width="13.7109375" style="575" bestFit="1" customWidth="1"/>
    <col min="1037" max="1037" width="13" style="575" customWidth="1"/>
    <col min="1038" max="1038" width="18.42578125" style="575" customWidth="1"/>
    <col min="1039" max="1041" width="13.140625" style="575" customWidth="1"/>
    <col min="1042" max="1042" width="16.42578125" style="575" customWidth="1"/>
    <col min="1043" max="1043" width="13.140625" style="575" customWidth="1"/>
    <col min="1044" max="1044" width="15.28515625" style="575" customWidth="1"/>
    <col min="1045" max="1045" width="14" style="575" bestFit="1" customWidth="1"/>
    <col min="1046" max="1046" width="17.140625" style="575" customWidth="1"/>
    <col min="1047" max="1068" width="16.5703125" style="575" customWidth="1"/>
    <col min="1069" max="1069" width="20.140625" style="575" customWidth="1"/>
    <col min="1070" max="1070" width="13.28515625" style="575" customWidth="1"/>
    <col min="1071" max="1071" width="14.85546875" style="575" customWidth="1"/>
    <col min="1072" max="1072" width="13.85546875" style="575" customWidth="1"/>
    <col min="1073" max="1073" width="13.5703125" style="575" customWidth="1"/>
    <col min="1074" max="1074" width="13" style="575" customWidth="1"/>
    <col min="1075" max="1075" width="13.5703125" style="575" customWidth="1"/>
    <col min="1076" max="1076" width="7.7109375" style="575" bestFit="1" customWidth="1"/>
    <col min="1077" max="1246" width="9.140625" style="575"/>
    <col min="1247" max="1247" width="4.28515625" style="575" customWidth="1"/>
    <col min="1248" max="1248" width="10.140625" style="575" customWidth="1"/>
    <col min="1249" max="1249" width="8.85546875" style="575" customWidth="1"/>
    <col min="1250" max="1250" width="11.140625" style="575" customWidth="1"/>
    <col min="1251" max="1251" width="15" style="575" bestFit="1" customWidth="1"/>
    <col min="1252" max="1252" width="13.5703125" style="575" customWidth="1"/>
    <col min="1253" max="1253" width="11.42578125" style="575" bestFit="1" customWidth="1"/>
    <col min="1254" max="1254" width="11.28515625" style="575" customWidth="1"/>
    <col min="1255" max="1255" width="15.28515625" style="575" bestFit="1" customWidth="1"/>
    <col min="1256" max="1258" width="11.85546875" style="575" customWidth="1"/>
    <col min="1259" max="1259" width="19.140625" style="575" customWidth="1"/>
    <col min="1260" max="1260" width="15" style="575" customWidth="1"/>
    <col min="1261" max="1261" width="15.28515625" style="575" customWidth="1"/>
    <col min="1262" max="1264" width="18.85546875" style="575" customWidth="1"/>
    <col min="1265" max="1265" width="12.7109375" style="575" customWidth="1"/>
    <col min="1266" max="1266" width="13.7109375" style="575" customWidth="1"/>
    <col min="1267" max="1267" width="16.140625" style="575" customWidth="1"/>
    <col min="1268" max="1268" width="17" style="575" customWidth="1"/>
    <col min="1269" max="1269" width="15" style="575" customWidth="1"/>
    <col min="1270" max="1270" width="14.28515625" style="575" customWidth="1"/>
    <col min="1271" max="1271" width="14.85546875" style="575" customWidth="1"/>
    <col min="1272" max="1272" width="17.140625" style="575" customWidth="1"/>
    <col min="1273" max="1273" width="13.5703125" style="575" customWidth="1"/>
    <col min="1274" max="1275" width="14.85546875" style="575" customWidth="1"/>
    <col min="1276" max="1276" width="18.85546875" style="575" customWidth="1"/>
    <col min="1277" max="1277" width="19.42578125" style="575" customWidth="1"/>
    <col min="1278" max="1278" width="16.140625" style="575" customWidth="1"/>
    <col min="1279" max="1279" width="14.5703125" style="575" customWidth="1"/>
    <col min="1280" max="1280" width="20.28515625" style="575" customWidth="1"/>
    <col min="1281" max="1281" width="13.85546875" style="575" customWidth="1"/>
    <col min="1282" max="1282" width="19.140625" style="575" customWidth="1"/>
    <col min="1283" max="1283" width="19.7109375" style="575" customWidth="1"/>
    <col min="1284" max="1284" width="16.5703125" style="575" customWidth="1"/>
    <col min="1285" max="1285" width="19.140625" style="575" customWidth="1"/>
    <col min="1286" max="1288" width="16.5703125" style="575" customWidth="1"/>
    <col min="1289" max="1289" width="15.7109375" style="575" customWidth="1"/>
    <col min="1290" max="1290" width="19.42578125" style="575" customWidth="1"/>
    <col min="1291" max="1291" width="14.85546875" style="575" bestFit="1" customWidth="1"/>
    <col min="1292" max="1292" width="13.7109375" style="575" bestFit="1" customWidth="1"/>
    <col min="1293" max="1293" width="13" style="575" customWidth="1"/>
    <col min="1294" max="1294" width="18.42578125" style="575" customWidth="1"/>
    <col min="1295" max="1297" width="13.140625" style="575" customWidth="1"/>
    <col min="1298" max="1298" width="16.42578125" style="575" customWidth="1"/>
    <col min="1299" max="1299" width="13.140625" style="575" customWidth="1"/>
    <col min="1300" max="1300" width="15.28515625" style="575" customWidth="1"/>
    <col min="1301" max="1301" width="14" style="575" bestFit="1" customWidth="1"/>
    <col min="1302" max="1302" width="17.140625" style="575" customWidth="1"/>
    <col min="1303" max="1324" width="16.5703125" style="575" customWidth="1"/>
    <col min="1325" max="1325" width="20.140625" style="575" customWidth="1"/>
    <col min="1326" max="1326" width="13.28515625" style="575" customWidth="1"/>
    <col min="1327" max="1327" width="14.85546875" style="575" customWidth="1"/>
    <col min="1328" max="1328" width="13.85546875" style="575" customWidth="1"/>
    <col min="1329" max="1329" width="13.5703125" style="575" customWidth="1"/>
    <col min="1330" max="1330" width="13" style="575" customWidth="1"/>
    <col min="1331" max="1331" width="13.5703125" style="575" customWidth="1"/>
    <col min="1332" max="1332" width="7.7109375" style="575" bestFit="1" customWidth="1"/>
    <col min="1333" max="1502" width="9.140625" style="575"/>
    <col min="1503" max="1503" width="4.28515625" style="575" customWidth="1"/>
    <col min="1504" max="1504" width="10.140625" style="575" customWidth="1"/>
    <col min="1505" max="1505" width="8.85546875" style="575" customWidth="1"/>
    <col min="1506" max="1506" width="11.140625" style="575" customWidth="1"/>
    <col min="1507" max="1507" width="15" style="575" bestFit="1" customWidth="1"/>
    <col min="1508" max="1508" width="13.5703125" style="575" customWidth="1"/>
    <col min="1509" max="1509" width="11.42578125" style="575" bestFit="1" customWidth="1"/>
    <col min="1510" max="1510" width="11.28515625" style="575" customWidth="1"/>
    <col min="1511" max="1511" width="15.28515625" style="575" bestFit="1" customWidth="1"/>
    <col min="1512" max="1514" width="11.85546875" style="575" customWidth="1"/>
    <col min="1515" max="1515" width="19.140625" style="575" customWidth="1"/>
    <col min="1516" max="1516" width="15" style="575" customWidth="1"/>
    <col min="1517" max="1517" width="15.28515625" style="575" customWidth="1"/>
    <col min="1518" max="1520" width="18.85546875" style="575" customWidth="1"/>
    <col min="1521" max="1521" width="12.7109375" style="575" customWidth="1"/>
    <col min="1522" max="1522" width="13.7109375" style="575" customWidth="1"/>
    <col min="1523" max="1523" width="16.140625" style="575" customWidth="1"/>
    <col min="1524" max="1524" width="17" style="575" customWidth="1"/>
    <col min="1525" max="1525" width="15" style="575" customWidth="1"/>
    <col min="1526" max="1526" width="14.28515625" style="575" customWidth="1"/>
    <col min="1527" max="1527" width="14.85546875" style="575" customWidth="1"/>
    <col min="1528" max="1528" width="17.140625" style="575" customWidth="1"/>
    <col min="1529" max="1529" width="13.5703125" style="575" customWidth="1"/>
    <col min="1530" max="1531" width="14.85546875" style="575" customWidth="1"/>
    <col min="1532" max="1532" width="18.85546875" style="575" customWidth="1"/>
    <col min="1533" max="1533" width="19.42578125" style="575" customWidth="1"/>
    <col min="1534" max="1534" width="16.140625" style="575" customWidth="1"/>
    <col min="1535" max="1535" width="14.5703125" style="575" customWidth="1"/>
    <col min="1536" max="1536" width="20.28515625" style="575" customWidth="1"/>
    <col min="1537" max="1537" width="13.85546875" style="575" customWidth="1"/>
    <col min="1538" max="1538" width="19.140625" style="575" customWidth="1"/>
    <col min="1539" max="1539" width="19.7109375" style="575" customWidth="1"/>
    <col min="1540" max="1540" width="16.5703125" style="575" customWidth="1"/>
    <col min="1541" max="1541" width="19.140625" style="575" customWidth="1"/>
    <col min="1542" max="1544" width="16.5703125" style="575" customWidth="1"/>
    <col min="1545" max="1545" width="15.7109375" style="575" customWidth="1"/>
    <col min="1546" max="1546" width="19.42578125" style="575" customWidth="1"/>
    <col min="1547" max="1547" width="14.85546875" style="575" bestFit="1" customWidth="1"/>
    <col min="1548" max="1548" width="13.7109375" style="575" bestFit="1" customWidth="1"/>
    <col min="1549" max="1549" width="13" style="575" customWidth="1"/>
    <col min="1550" max="1550" width="18.42578125" style="575" customWidth="1"/>
    <col min="1551" max="1553" width="13.140625" style="575" customWidth="1"/>
    <col min="1554" max="1554" width="16.42578125" style="575" customWidth="1"/>
    <col min="1555" max="1555" width="13.140625" style="575" customWidth="1"/>
    <col min="1556" max="1556" width="15.28515625" style="575" customWidth="1"/>
    <col min="1557" max="1557" width="14" style="575" bestFit="1" customWidth="1"/>
    <col min="1558" max="1558" width="17.140625" style="575" customWidth="1"/>
    <col min="1559" max="1580" width="16.5703125" style="575" customWidth="1"/>
    <col min="1581" max="1581" width="20.140625" style="575" customWidth="1"/>
    <col min="1582" max="1582" width="13.28515625" style="575" customWidth="1"/>
    <col min="1583" max="1583" width="14.85546875" style="575" customWidth="1"/>
    <col min="1584" max="1584" width="13.85546875" style="575" customWidth="1"/>
    <col min="1585" max="1585" width="13.5703125" style="575" customWidth="1"/>
    <col min="1586" max="1586" width="13" style="575" customWidth="1"/>
    <col min="1587" max="1587" width="13.5703125" style="575" customWidth="1"/>
    <col min="1588" max="1588" width="7.7109375" style="575" bestFit="1" customWidth="1"/>
    <col min="1589" max="1758" width="9.140625" style="575"/>
    <col min="1759" max="1759" width="4.28515625" style="575" customWidth="1"/>
    <col min="1760" max="1760" width="10.140625" style="575" customWidth="1"/>
    <col min="1761" max="1761" width="8.85546875" style="575" customWidth="1"/>
    <col min="1762" max="1762" width="11.140625" style="575" customWidth="1"/>
    <col min="1763" max="1763" width="15" style="575" bestFit="1" customWidth="1"/>
    <col min="1764" max="1764" width="13.5703125" style="575" customWidth="1"/>
    <col min="1765" max="1765" width="11.42578125" style="575" bestFit="1" customWidth="1"/>
    <col min="1766" max="1766" width="11.28515625" style="575" customWidth="1"/>
    <col min="1767" max="1767" width="15.28515625" style="575" bestFit="1" customWidth="1"/>
    <col min="1768" max="1770" width="11.85546875" style="575" customWidth="1"/>
    <col min="1771" max="1771" width="19.140625" style="575" customWidth="1"/>
    <col min="1772" max="1772" width="15" style="575" customWidth="1"/>
    <col min="1773" max="1773" width="15.28515625" style="575" customWidth="1"/>
    <col min="1774" max="1776" width="18.85546875" style="575" customWidth="1"/>
    <col min="1777" max="1777" width="12.7109375" style="575" customWidth="1"/>
    <col min="1778" max="1778" width="13.7109375" style="575" customWidth="1"/>
    <col min="1779" max="1779" width="16.140625" style="575" customWidth="1"/>
    <col min="1780" max="1780" width="17" style="575" customWidth="1"/>
    <col min="1781" max="1781" width="15" style="575" customWidth="1"/>
    <col min="1782" max="1782" width="14.28515625" style="575" customWidth="1"/>
    <col min="1783" max="1783" width="14.85546875" style="575" customWidth="1"/>
    <col min="1784" max="1784" width="17.140625" style="575" customWidth="1"/>
    <col min="1785" max="1785" width="13.5703125" style="575" customWidth="1"/>
    <col min="1786" max="1787" width="14.85546875" style="575" customWidth="1"/>
    <col min="1788" max="1788" width="18.85546875" style="575" customWidth="1"/>
    <col min="1789" max="1789" width="19.42578125" style="575" customWidth="1"/>
    <col min="1790" max="1790" width="16.140625" style="575" customWidth="1"/>
    <col min="1791" max="1791" width="14.5703125" style="575" customWidth="1"/>
    <col min="1792" max="1792" width="20.28515625" style="575" customWidth="1"/>
    <col min="1793" max="1793" width="13.85546875" style="575" customWidth="1"/>
    <col min="1794" max="1794" width="19.140625" style="575" customWidth="1"/>
    <col min="1795" max="1795" width="19.7109375" style="575" customWidth="1"/>
    <col min="1796" max="1796" width="16.5703125" style="575" customWidth="1"/>
    <col min="1797" max="1797" width="19.140625" style="575" customWidth="1"/>
    <col min="1798" max="1800" width="16.5703125" style="575" customWidth="1"/>
    <col min="1801" max="1801" width="15.7109375" style="575" customWidth="1"/>
    <col min="1802" max="1802" width="19.42578125" style="575" customWidth="1"/>
    <col min="1803" max="1803" width="14.85546875" style="575" bestFit="1" customWidth="1"/>
    <col min="1804" max="1804" width="13.7109375" style="575" bestFit="1" customWidth="1"/>
    <col min="1805" max="1805" width="13" style="575" customWidth="1"/>
    <col min="1806" max="1806" width="18.42578125" style="575" customWidth="1"/>
    <col min="1807" max="1809" width="13.140625" style="575" customWidth="1"/>
    <col min="1810" max="1810" width="16.42578125" style="575" customWidth="1"/>
    <col min="1811" max="1811" width="13.140625" style="575" customWidth="1"/>
    <col min="1812" max="1812" width="15.28515625" style="575" customWidth="1"/>
    <col min="1813" max="1813" width="14" style="575" bestFit="1" customWidth="1"/>
    <col min="1814" max="1814" width="17.140625" style="575" customWidth="1"/>
    <col min="1815" max="1836" width="16.5703125" style="575" customWidth="1"/>
    <col min="1837" max="1837" width="20.140625" style="575" customWidth="1"/>
    <col min="1838" max="1838" width="13.28515625" style="575" customWidth="1"/>
    <col min="1839" max="1839" width="14.85546875" style="575" customWidth="1"/>
    <col min="1840" max="1840" width="13.85546875" style="575" customWidth="1"/>
    <col min="1841" max="1841" width="13.5703125" style="575" customWidth="1"/>
    <col min="1842" max="1842" width="13" style="575" customWidth="1"/>
    <col min="1843" max="1843" width="13.5703125" style="575" customWidth="1"/>
    <col min="1844" max="1844" width="7.7109375" style="575" bestFit="1" customWidth="1"/>
    <col min="1845" max="2014" width="9.140625" style="575"/>
    <col min="2015" max="2015" width="4.28515625" style="575" customWidth="1"/>
    <col min="2016" max="2016" width="10.140625" style="575" customWidth="1"/>
    <col min="2017" max="2017" width="8.85546875" style="575" customWidth="1"/>
    <col min="2018" max="2018" width="11.140625" style="575" customWidth="1"/>
    <col min="2019" max="2019" width="15" style="575" bestFit="1" customWidth="1"/>
    <col min="2020" max="2020" width="13.5703125" style="575" customWidth="1"/>
    <col min="2021" max="2021" width="11.42578125" style="575" bestFit="1" customWidth="1"/>
    <col min="2022" max="2022" width="11.28515625" style="575" customWidth="1"/>
    <col min="2023" max="2023" width="15.28515625" style="575" bestFit="1" customWidth="1"/>
    <col min="2024" max="2026" width="11.85546875" style="575" customWidth="1"/>
    <col min="2027" max="2027" width="19.140625" style="575" customWidth="1"/>
    <col min="2028" max="2028" width="15" style="575" customWidth="1"/>
    <col min="2029" max="2029" width="15.28515625" style="575" customWidth="1"/>
    <col min="2030" max="2032" width="18.85546875" style="575" customWidth="1"/>
    <col min="2033" max="2033" width="12.7109375" style="575" customWidth="1"/>
    <col min="2034" max="2034" width="13.7109375" style="575" customWidth="1"/>
    <col min="2035" max="2035" width="16.140625" style="575" customWidth="1"/>
    <col min="2036" max="2036" width="17" style="575" customWidth="1"/>
    <col min="2037" max="2037" width="15" style="575" customWidth="1"/>
    <col min="2038" max="2038" width="14.28515625" style="575" customWidth="1"/>
    <col min="2039" max="2039" width="14.85546875" style="575" customWidth="1"/>
    <col min="2040" max="2040" width="17.140625" style="575" customWidth="1"/>
    <col min="2041" max="2041" width="13.5703125" style="575" customWidth="1"/>
    <col min="2042" max="2043" width="14.85546875" style="575" customWidth="1"/>
    <col min="2044" max="2044" width="18.85546875" style="575" customWidth="1"/>
    <col min="2045" max="2045" width="19.42578125" style="575" customWidth="1"/>
    <col min="2046" max="2046" width="16.140625" style="575" customWidth="1"/>
    <col min="2047" max="2047" width="14.5703125" style="575" customWidth="1"/>
    <col min="2048" max="2048" width="20.28515625" style="575" customWidth="1"/>
    <col min="2049" max="2049" width="13.85546875" style="575" customWidth="1"/>
    <col min="2050" max="2050" width="19.140625" style="575" customWidth="1"/>
    <col min="2051" max="2051" width="19.7109375" style="575" customWidth="1"/>
    <col min="2052" max="2052" width="16.5703125" style="575" customWidth="1"/>
    <col min="2053" max="2053" width="19.140625" style="575" customWidth="1"/>
    <col min="2054" max="2056" width="16.5703125" style="575" customWidth="1"/>
    <col min="2057" max="2057" width="15.7109375" style="575" customWidth="1"/>
    <col min="2058" max="2058" width="19.42578125" style="575" customWidth="1"/>
    <col min="2059" max="2059" width="14.85546875" style="575" bestFit="1" customWidth="1"/>
    <col min="2060" max="2060" width="13.7109375" style="575" bestFit="1" customWidth="1"/>
    <col min="2061" max="2061" width="13" style="575" customWidth="1"/>
    <col min="2062" max="2062" width="18.42578125" style="575" customWidth="1"/>
    <col min="2063" max="2065" width="13.140625" style="575" customWidth="1"/>
    <col min="2066" max="2066" width="16.42578125" style="575" customWidth="1"/>
    <col min="2067" max="2067" width="13.140625" style="575" customWidth="1"/>
    <col min="2068" max="2068" width="15.28515625" style="575" customWidth="1"/>
    <col min="2069" max="2069" width="14" style="575" bestFit="1" customWidth="1"/>
    <col min="2070" max="2070" width="17.140625" style="575" customWidth="1"/>
    <col min="2071" max="2092" width="16.5703125" style="575" customWidth="1"/>
    <col min="2093" max="2093" width="20.140625" style="575" customWidth="1"/>
    <col min="2094" max="2094" width="13.28515625" style="575" customWidth="1"/>
    <col min="2095" max="2095" width="14.85546875" style="575" customWidth="1"/>
    <col min="2096" max="2096" width="13.85546875" style="575" customWidth="1"/>
    <col min="2097" max="2097" width="13.5703125" style="575" customWidth="1"/>
    <col min="2098" max="2098" width="13" style="575" customWidth="1"/>
    <col min="2099" max="2099" width="13.5703125" style="575" customWidth="1"/>
    <col min="2100" max="2100" width="7.7109375" style="575" bestFit="1" customWidth="1"/>
    <col min="2101" max="2270" width="9.140625" style="575"/>
    <col min="2271" max="2271" width="4.28515625" style="575" customWidth="1"/>
    <col min="2272" max="2272" width="10.140625" style="575" customWidth="1"/>
    <col min="2273" max="2273" width="8.85546875" style="575" customWidth="1"/>
    <col min="2274" max="2274" width="11.140625" style="575" customWidth="1"/>
    <col min="2275" max="2275" width="15" style="575" bestFit="1" customWidth="1"/>
    <col min="2276" max="2276" width="13.5703125" style="575" customWidth="1"/>
    <col min="2277" max="2277" width="11.42578125" style="575" bestFit="1" customWidth="1"/>
    <col min="2278" max="2278" width="11.28515625" style="575" customWidth="1"/>
    <col min="2279" max="2279" width="15.28515625" style="575" bestFit="1" customWidth="1"/>
    <col min="2280" max="2282" width="11.85546875" style="575" customWidth="1"/>
    <col min="2283" max="2283" width="19.140625" style="575" customWidth="1"/>
    <col min="2284" max="2284" width="15" style="575" customWidth="1"/>
    <col min="2285" max="2285" width="15.28515625" style="575" customWidth="1"/>
    <col min="2286" max="2288" width="18.85546875" style="575" customWidth="1"/>
    <col min="2289" max="2289" width="12.7109375" style="575" customWidth="1"/>
    <col min="2290" max="2290" width="13.7109375" style="575" customWidth="1"/>
    <col min="2291" max="2291" width="16.140625" style="575" customWidth="1"/>
    <col min="2292" max="2292" width="17" style="575" customWidth="1"/>
    <col min="2293" max="2293" width="15" style="575" customWidth="1"/>
    <col min="2294" max="2294" width="14.28515625" style="575" customWidth="1"/>
    <col min="2295" max="2295" width="14.85546875" style="575" customWidth="1"/>
    <col min="2296" max="2296" width="17.140625" style="575" customWidth="1"/>
    <col min="2297" max="2297" width="13.5703125" style="575" customWidth="1"/>
    <col min="2298" max="2299" width="14.85546875" style="575" customWidth="1"/>
    <col min="2300" max="2300" width="18.85546875" style="575" customWidth="1"/>
    <col min="2301" max="2301" width="19.42578125" style="575" customWidth="1"/>
    <col min="2302" max="2302" width="16.140625" style="575" customWidth="1"/>
    <col min="2303" max="2303" width="14.5703125" style="575" customWidth="1"/>
    <col min="2304" max="2304" width="20.28515625" style="575" customWidth="1"/>
    <col min="2305" max="2305" width="13.85546875" style="575" customWidth="1"/>
    <col min="2306" max="2306" width="19.140625" style="575" customWidth="1"/>
    <col min="2307" max="2307" width="19.7109375" style="575" customWidth="1"/>
    <col min="2308" max="2308" width="16.5703125" style="575" customWidth="1"/>
    <col min="2309" max="2309" width="19.140625" style="575" customWidth="1"/>
    <col min="2310" max="2312" width="16.5703125" style="575" customWidth="1"/>
    <col min="2313" max="2313" width="15.7109375" style="575" customWidth="1"/>
    <col min="2314" max="2314" width="19.42578125" style="575" customWidth="1"/>
    <col min="2315" max="2315" width="14.85546875" style="575" bestFit="1" customWidth="1"/>
    <col min="2316" max="2316" width="13.7109375" style="575" bestFit="1" customWidth="1"/>
    <col min="2317" max="2317" width="13" style="575" customWidth="1"/>
    <col min="2318" max="2318" width="18.42578125" style="575" customWidth="1"/>
    <col min="2319" max="2321" width="13.140625" style="575" customWidth="1"/>
    <col min="2322" max="2322" width="16.42578125" style="575" customWidth="1"/>
    <col min="2323" max="2323" width="13.140625" style="575" customWidth="1"/>
    <col min="2324" max="2324" width="15.28515625" style="575" customWidth="1"/>
    <col min="2325" max="2325" width="14" style="575" bestFit="1" customWidth="1"/>
    <col min="2326" max="2326" width="17.140625" style="575" customWidth="1"/>
    <col min="2327" max="2348" width="16.5703125" style="575" customWidth="1"/>
    <col min="2349" max="2349" width="20.140625" style="575" customWidth="1"/>
    <col min="2350" max="2350" width="13.28515625" style="575" customWidth="1"/>
    <col min="2351" max="2351" width="14.85546875" style="575" customWidth="1"/>
    <col min="2352" max="2352" width="13.85546875" style="575" customWidth="1"/>
    <col min="2353" max="2353" width="13.5703125" style="575" customWidth="1"/>
    <col min="2354" max="2354" width="13" style="575" customWidth="1"/>
    <col min="2355" max="2355" width="13.5703125" style="575" customWidth="1"/>
    <col min="2356" max="2356" width="7.7109375" style="575" bestFit="1" customWidth="1"/>
    <col min="2357" max="2526" width="9.140625" style="575"/>
    <col min="2527" max="2527" width="4.28515625" style="575" customWidth="1"/>
    <col min="2528" max="2528" width="10.140625" style="575" customWidth="1"/>
    <col min="2529" max="2529" width="8.85546875" style="575" customWidth="1"/>
    <col min="2530" max="2530" width="11.140625" style="575" customWidth="1"/>
    <col min="2531" max="2531" width="15" style="575" bestFit="1" customWidth="1"/>
    <col min="2532" max="2532" width="13.5703125" style="575" customWidth="1"/>
    <col min="2533" max="2533" width="11.42578125" style="575" bestFit="1" customWidth="1"/>
    <col min="2534" max="2534" width="11.28515625" style="575" customWidth="1"/>
    <col min="2535" max="2535" width="15.28515625" style="575" bestFit="1" customWidth="1"/>
    <col min="2536" max="2538" width="11.85546875" style="575" customWidth="1"/>
    <col min="2539" max="2539" width="19.140625" style="575" customWidth="1"/>
    <col min="2540" max="2540" width="15" style="575" customWidth="1"/>
    <col min="2541" max="2541" width="15.28515625" style="575" customWidth="1"/>
    <col min="2542" max="2544" width="18.85546875" style="575" customWidth="1"/>
    <col min="2545" max="2545" width="12.7109375" style="575" customWidth="1"/>
    <col min="2546" max="2546" width="13.7109375" style="575" customWidth="1"/>
    <col min="2547" max="2547" width="16.140625" style="575" customWidth="1"/>
    <col min="2548" max="2548" width="17" style="575" customWidth="1"/>
    <col min="2549" max="2549" width="15" style="575" customWidth="1"/>
    <col min="2550" max="2550" width="14.28515625" style="575" customWidth="1"/>
    <col min="2551" max="2551" width="14.85546875" style="575" customWidth="1"/>
    <col min="2552" max="2552" width="17.140625" style="575" customWidth="1"/>
    <col min="2553" max="2553" width="13.5703125" style="575" customWidth="1"/>
    <col min="2554" max="2555" width="14.85546875" style="575" customWidth="1"/>
    <col min="2556" max="2556" width="18.85546875" style="575" customWidth="1"/>
    <col min="2557" max="2557" width="19.42578125" style="575" customWidth="1"/>
    <col min="2558" max="2558" width="16.140625" style="575" customWidth="1"/>
    <col min="2559" max="2559" width="14.5703125" style="575" customWidth="1"/>
    <col min="2560" max="2560" width="20.28515625" style="575" customWidth="1"/>
    <col min="2561" max="2561" width="13.85546875" style="575" customWidth="1"/>
    <col min="2562" max="2562" width="19.140625" style="575" customWidth="1"/>
    <col min="2563" max="2563" width="19.7109375" style="575" customWidth="1"/>
    <col min="2564" max="2564" width="16.5703125" style="575" customWidth="1"/>
    <col min="2565" max="2565" width="19.140625" style="575" customWidth="1"/>
    <col min="2566" max="2568" width="16.5703125" style="575" customWidth="1"/>
    <col min="2569" max="2569" width="15.7109375" style="575" customWidth="1"/>
    <col min="2570" max="2570" width="19.42578125" style="575" customWidth="1"/>
    <col min="2571" max="2571" width="14.85546875" style="575" bestFit="1" customWidth="1"/>
    <col min="2572" max="2572" width="13.7109375" style="575" bestFit="1" customWidth="1"/>
    <col min="2573" max="2573" width="13" style="575" customWidth="1"/>
    <col min="2574" max="2574" width="18.42578125" style="575" customWidth="1"/>
    <col min="2575" max="2577" width="13.140625" style="575" customWidth="1"/>
    <col min="2578" max="2578" width="16.42578125" style="575" customWidth="1"/>
    <col min="2579" max="2579" width="13.140625" style="575" customWidth="1"/>
    <col min="2580" max="2580" width="15.28515625" style="575" customWidth="1"/>
    <col min="2581" max="2581" width="14" style="575" bestFit="1" customWidth="1"/>
    <col min="2582" max="2582" width="17.140625" style="575" customWidth="1"/>
    <col min="2583" max="2604" width="16.5703125" style="575" customWidth="1"/>
    <col min="2605" max="2605" width="20.140625" style="575" customWidth="1"/>
    <col min="2606" max="2606" width="13.28515625" style="575" customWidth="1"/>
    <col min="2607" max="2607" width="14.85546875" style="575" customWidth="1"/>
    <col min="2608" max="2608" width="13.85546875" style="575" customWidth="1"/>
    <col min="2609" max="2609" width="13.5703125" style="575" customWidth="1"/>
    <col min="2610" max="2610" width="13" style="575" customWidth="1"/>
    <col min="2611" max="2611" width="13.5703125" style="575" customWidth="1"/>
    <col min="2612" max="2612" width="7.7109375" style="575" bestFit="1" customWidth="1"/>
    <col min="2613" max="2782" width="9.140625" style="575"/>
    <col min="2783" max="2783" width="4.28515625" style="575" customWidth="1"/>
    <col min="2784" max="2784" width="10.140625" style="575" customWidth="1"/>
    <col min="2785" max="2785" width="8.85546875" style="575" customWidth="1"/>
    <col min="2786" max="2786" width="11.140625" style="575" customWidth="1"/>
    <col min="2787" max="2787" width="15" style="575" bestFit="1" customWidth="1"/>
    <col min="2788" max="2788" width="13.5703125" style="575" customWidth="1"/>
    <col min="2789" max="2789" width="11.42578125" style="575" bestFit="1" customWidth="1"/>
    <col min="2790" max="2790" width="11.28515625" style="575" customWidth="1"/>
    <col min="2791" max="2791" width="15.28515625" style="575" bestFit="1" customWidth="1"/>
    <col min="2792" max="2794" width="11.85546875" style="575" customWidth="1"/>
    <col min="2795" max="2795" width="19.140625" style="575" customWidth="1"/>
    <col min="2796" max="2796" width="15" style="575" customWidth="1"/>
    <col min="2797" max="2797" width="15.28515625" style="575" customWidth="1"/>
    <col min="2798" max="2800" width="18.85546875" style="575" customWidth="1"/>
    <col min="2801" max="2801" width="12.7109375" style="575" customWidth="1"/>
    <col min="2802" max="2802" width="13.7109375" style="575" customWidth="1"/>
    <col min="2803" max="2803" width="16.140625" style="575" customWidth="1"/>
    <col min="2804" max="2804" width="17" style="575" customWidth="1"/>
    <col min="2805" max="2805" width="15" style="575" customWidth="1"/>
    <col min="2806" max="2806" width="14.28515625" style="575" customWidth="1"/>
    <col min="2807" max="2807" width="14.85546875" style="575" customWidth="1"/>
    <col min="2808" max="2808" width="17.140625" style="575" customWidth="1"/>
    <col min="2809" max="2809" width="13.5703125" style="575" customWidth="1"/>
    <col min="2810" max="2811" width="14.85546875" style="575" customWidth="1"/>
    <col min="2812" max="2812" width="18.85546875" style="575" customWidth="1"/>
    <col min="2813" max="2813" width="19.42578125" style="575" customWidth="1"/>
    <col min="2814" max="2814" width="16.140625" style="575" customWidth="1"/>
    <col min="2815" max="2815" width="14.5703125" style="575" customWidth="1"/>
    <col min="2816" max="2816" width="20.28515625" style="575" customWidth="1"/>
    <col min="2817" max="2817" width="13.85546875" style="575" customWidth="1"/>
    <col min="2818" max="2818" width="19.140625" style="575" customWidth="1"/>
    <col min="2819" max="2819" width="19.7109375" style="575" customWidth="1"/>
    <col min="2820" max="2820" width="16.5703125" style="575" customWidth="1"/>
    <col min="2821" max="2821" width="19.140625" style="575" customWidth="1"/>
    <col min="2822" max="2824" width="16.5703125" style="575" customWidth="1"/>
    <col min="2825" max="2825" width="15.7109375" style="575" customWidth="1"/>
    <col min="2826" max="2826" width="19.42578125" style="575" customWidth="1"/>
    <col min="2827" max="2827" width="14.85546875" style="575" bestFit="1" customWidth="1"/>
    <col min="2828" max="2828" width="13.7109375" style="575" bestFit="1" customWidth="1"/>
    <col min="2829" max="2829" width="13" style="575" customWidth="1"/>
    <col min="2830" max="2830" width="18.42578125" style="575" customWidth="1"/>
    <col min="2831" max="2833" width="13.140625" style="575" customWidth="1"/>
    <col min="2834" max="2834" width="16.42578125" style="575" customWidth="1"/>
    <col min="2835" max="2835" width="13.140625" style="575" customWidth="1"/>
    <col min="2836" max="2836" width="15.28515625" style="575" customWidth="1"/>
    <col min="2837" max="2837" width="14" style="575" bestFit="1" customWidth="1"/>
    <col min="2838" max="2838" width="17.140625" style="575" customWidth="1"/>
    <col min="2839" max="2860" width="16.5703125" style="575" customWidth="1"/>
    <col min="2861" max="2861" width="20.140625" style="575" customWidth="1"/>
    <col min="2862" max="2862" width="13.28515625" style="575" customWidth="1"/>
    <col min="2863" max="2863" width="14.85546875" style="575" customWidth="1"/>
    <col min="2864" max="2864" width="13.85546875" style="575" customWidth="1"/>
    <col min="2865" max="2865" width="13.5703125" style="575" customWidth="1"/>
    <col min="2866" max="2866" width="13" style="575" customWidth="1"/>
    <col min="2867" max="2867" width="13.5703125" style="575" customWidth="1"/>
    <col min="2868" max="2868" width="7.7109375" style="575" bestFit="1" customWidth="1"/>
    <col min="2869" max="3038" width="9.140625" style="575"/>
    <col min="3039" max="3039" width="4.28515625" style="575" customWidth="1"/>
    <col min="3040" max="3040" width="10.140625" style="575" customWidth="1"/>
    <col min="3041" max="3041" width="8.85546875" style="575" customWidth="1"/>
    <col min="3042" max="3042" width="11.140625" style="575" customWidth="1"/>
    <col min="3043" max="3043" width="15" style="575" bestFit="1" customWidth="1"/>
    <col min="3044" max="3044" width="13.5703125" style="575" customWidth="1"/>
    <col min="3045" max="3045" width="11.42578125" style="575" bestFit="1" customWidth="1"/>
    <col min="3046" max="3046" width="11.28515625" style="575" customWidth="1"/>
    <col min="3047" max="3047" width="15.28515625" style="575" bestFit="1" customWidth="1"/>
    <col min="3048" max="3050" width="11.85546875" style="575" customWidth="1"/>
    <col min="3051" max="3051" width="19.140625" style="575" customWidth="1"/>
    <col min="3052" max="3052" width="15" style="575" customWidth="1"/>
    <col min="3053" max="3053" width="15.28515625" style="575" customWidth="1"/>
    <col min="3054" max="3056" width="18.85546875" style="575" customWidth="1"/>
    <col min="3057" max="3057" width="12.7109375" style="575" customWidth="1"/>
    <col min="3058" max="3058" width="13.7109375" style="575" customWidth="1"/>
    <col min="3059" max="3059" width="16.140625" style="575" customWidth="1"/>
    <col min="3060" max="3060" width="17" style="575" customWidth="1"/>
    <col min="3061" max="3061" width="15" style="575" customWidth="1"/>
    <col min="3062" max="3062" width="14.28515625" style="575" customWidth="1"/>
    <col min="3063" max="3063" width="14.85546875" style="575" customWidth="1"/>
    <col min="3064" max="3064" width="17.140625" style="575" customWidth="1"/>
    <col min="3065" max="3065" width="13.5703125" style="575" customWidth="1"/>
    <col min="3066" max="3067" width="14.85546875" style="575" customWidth="1"/>
    <col min="3068" max="3068" width="18.85546875" style="575" customWidth="1"/>
    <col min="3069" max="3069" width="19.42578125" style="575" customWidth="1"/>
    <col min="3070" max="3070" width="16.140625" style="575" customWidth="1"/>
    <col min="3071" max="3071" width="14.5703125" style="575" customWidth="1"/>
    <col min="3072" max="3072" width="20.28515625" style="575" customWidth="1"/>
    <col min="3073" max="3073" width="13.85546875" style="575" customWidth="1"/>
    <col min="3074" max="3074" width="19.140625" style="575" customWidth="1"/>
    <col min="3075" max="3075" width="19.7109375" style="575" customWidth="1"/>
    <col min="3076" max="3076" width="16.5703125" style="575" customWidth="1"/>
    <col min="3077" max="3077" width="19.140625" style="575" customWidth="1"/>
    <col min="3078" max="3080" width="16.5703125" style="575" customWidth="1"/>
    <col min="3081" max="3081" width="15.7109375" style="575" customWidth="1"/>
    <col min="3082" max="3082" width="19.42578125" style="575" customWidth="1"/>
    <col min="3083" max="3083" width="14.85546875" style="575" bestFit="1" customWidth="1"/>
    <col min="3084" max="3084" width="13.7109375" style="575" bestFit="1" customWidth="1"/>
    <col min="3085" max="3085" width="13" style="575" customWidth="1"/>
    <col min="3086" max="3086" width="18.42578125" style="575" customWidth="1"/>
    <col min="3087" max="3089" width="13.140625" style="575" customWidth="1"/>
    <col min="3090" max="3090" width="16.42578125" style="575" customWidth="1"/>
    <col min="3091" max="3091" width="13.140625" style="575" customWidth="1"/>
    <col min="3092" max="3092" width="15.28515625" style="575" customWidth="1"/>
    <col min="3093" max="3093" width="14" style="575" bestFit="1" customWidth="1"/>
    <col min="3094" max="3094" width="17.140625" style="575" customWidth="1"/>
    <col min="3095" max="3116" width="16.5703125" style="575" customWidth="1"/>
    <col min="3117" max="3117" width="20.140625" style="575" customWidth="1"/>
    <col min="3118" max="3118" width="13.28515625" style="575" customWidth="1"/>
    <col min="3119" max="3119" width="14.85546875" style="575" customWidth="1"/>
    <col min="3120" max="3120" width="13.85546875" style="575" customWidth="1"/>
    <col min="3121" max="3121" width="13.5703125" style="575" customWidth="1"/>
    <col min="3122" max="3122" width="13" style="575" customWidth="1"/>
    <col min="3123" max="3123" width="13.5703125" style="575" customWidth="1"/>
    <col min="3124" max="3124" width="7.7109375" style="575" bestFit="1" customWidth="1"/>
    <col min="3125" max="3294" width="9.140625" style="575"/>
    <col min="3295" max="3295" width="4.28515625" style="575" customWidth="1"/>
    <col min="3296" max="3296" width="10.140625" style="575" customWidth="1"/>
    <col min="3297" max="3297" width="8.85546875" style="575" customWidth="1"/>
    <col min="3298" max="3298" width="11.140625" style="575" customWidth="1"/>
    <col min="3299" max="3299" width="15" style="575" bestFit="1" customWidth="1"/>
    <col min="3300" max="3300" width="13.5703125" style="575" customWidth="1"/>
    <col min="3301" max="3301" width="11.42578125" style="575" bestFit="1" customWidth="1"/>
    <col min="3302" max="3302" width="11.28515625" style="575" customWidth="1"/>
    <col min="3303" max="3303" width="15.28515625" style="575" bestFit="1" customWidth="1"/>
    <col min="3304" max="3306" width="11.85546875" style="575" customWidth="1"/>
    <col min="3307" max="3307" width="19.140625" style="575" customWidth="1"/>
    <col min="3308" max="3308" width="15" style="575" customWidth="1"/>
    <col min="3309" max="3309" width="15.28515625" style="575" customWidth="1"/>
    <col min="3310" max="3312" width="18.85546875" style="575" customWidth="1"/>
    <col min="3313" max="3313" width="12.7109375" style="575" customWidth="1"/>
    <col min="3314" max="3314" width="13.7109375" style="575" customWidth="1"/>
    <col min="3315" max="3315" width="16.140625" style="575" customWidth="1"/>
    <col min="3316" max="3316" width="17" style="575" customWidth="1"/>
    <col min="3317" max="3317" width="15" style="575" customWidth="1"/>
    <col min="3318" max="3318" width="14.28515625" style="575" customWidth="1"/>
    <col min="3319" max="3319" width="14.85546875" style="575" customWidth="1"/>
    <col min="3320" max="3320" width="17.140625" style="575" customWidth="1"/>
    <col min="3321" max="3321" width="13.5703125" style="575" customWidth="1"/>
    <col min="3322" max="3323" width="14.85546875" style="575" customWidth="1"/>
    <col min="3324" max="3324" width="18.85546875" style="575" customWidth="1"/>
    <col min="3325" max="3325" width="19.42578125" style="575" customWidth="1"/>
    <col min="3326" max="3326" width="16.140625" style="575" customWidth="1"/>
    <col min="3327" max="3327" width="14.5703125" style="575" customWidth="1"/>
    <col min="3328" max="3328" width="20.28515625" style="575" customWidth="1"/>
    <col min="3329" max="3329" width="13.85546875" style="575" customWidth="1"/>
    <col min="3330" max="3330" width="19.140625" style="575" customWidth="1"/>
    <col min="3331" max="3331" width="19.7109375" style="575" customWidth="1"/>
    <col min="3332" max="3332" width="16.5703125" style="575" customWidth="1"/>
    <col min="3333" max="3333" width="19.140625" style="575" customWidth="1"/>
    <col min="3334" max="3336" width="16.5703125" style="575" customWidth="1"/>
    <col min="3337" max="3337" width="15.7109375" style="575" customWidth="1"/>
    <col min="3338" max="3338" width="19.42578125" style="575" customWidth="1"/>
    <col min="3339" max="3339" width="14.85546875" style="575" bestFit="1" customWidth="1"/>
    <col min="3340" max="3340" width="13.7109375" style="575" bestFit="1" customWidth="1"/>
    <col min="3341" max="3341" width="13" style="575" customWidth="1"/>
    <col min="3342" max="3342" width="18.42578125" style="575" customWidth="1"/>
    <col min="3343" max="3345" width="13.140625" style="575" customWidth="1"/>
    <col min="3346" max="3346" width="16.42578125" style="575" customWidth="1"/>
    <col min="3347" max="3347" width="13.140625" style="575" customWidth="1"/>
    <col min="3348" max="3348" width="15.28515625" style="575" customWidth="1"/>
    <col min="3349" max="3349" width="14" style="575" bestFit="1" customWidth="1"/>
    <col min="3350" max="3350" width="17.140625" style="575" customWidth="1"/>
    <col min="3351" max="3372" width="16.5703125" style="575" customWidth="1"/>
    <col min="3373" max="3373" width="20.140625" style="575" customWidth="1"/>
    <col min="3374" max="3374" width="13.28515625" style="575" customWidth="1"/>
    <col min="3375" max="3375" width="14.85546875" style="575" customWidth="1"/>
    <col min="3376" max="3376" width="13.85546875" style="575" customWidth="1"/>
    <col min="3377" max="3377" width="13.5703125" style="575" customWidth="1"/>
    <col min="3378" max="3378" width="13" style="575" customWidth="1"/>
    <col min="3379" max="3379" width="13.5703125" style="575" customWidth="1"/>
    <col min="3380" max="3380" width="7.7109375" style="575" bestFit="1" customWidth="1"/>
    <col min="3381" max="3550" width="9.140625" style="575"/>
    <col min="3551" max="3551" width="4.28515625" style="575" customWidth="1"/>
    <col min="3552" max="3552" width="10.140625" style="575" customWidth="1"/>
    <col min="3553" max="3553" width="8.85546875" style="575" customWidth="1"/>
    <col min="3554" max="3554" width="11.140625" style="575" customWidth="1"/>
    <col min="3555" max="3555" width="15" style="575" bestFit="1" customWidth="1"/>
    <col min="3556" max="3556" width="13.5703125" style="575" customWidth="1"/>
    <col min="3557" max="3557" width="11.42578125" style="575" bestFit="1" customWidth="1"/>
    <col min="3558" max="3558" width="11.28515625" style="575" customWidth="1"/>
    <col min="3559" max="3559" width="15.28515625" style="575" bestFit="1" customWidth="1"/>
    <col min="3560" max="3562" width="11.85546875" style="575" customWidth="1"/>
    <col min="3563" max="3563" width="19.140625" style="575" customWidth="1"/>
    <col min="3564" max="3564" width="15" style="575" customWidth="1"/>
    <col min="3565" max="3565" width="15.28515625" style="575" customWidth="1"/>
    <col min="3566" max="3568" width="18.85546875" style="575" customWidth="1"/>
    <col min="3569" max="3569" width="12.7109375" style="575" customWidth="1"/>
    <col min="3570" max="3570" width="13.7109375" style="575" customWidth="1"/>
    <col min="3571" max="3571" width="16.140625" style="575" customWidth="1"/>
    <col min="3572" max="3572" width="17" style="575" customWidth="1"/>
    <col min="3573" max="3573" width="15" style="575" customWidth="1"/>
    <col min="3574" max="3574" width="14.28515625" style="575" customWidth="1"/>
    <col min="3575" max="3575" width="14.85546875" style="575" customWidth="1"/>
    <col min="3576" max="3576" width="17.140625" style="575" customWidth="1"/>
    <col min="3577" max="3577" width="13.5703125" style="575" customWidth="1"/>
    <col min="3578" max="3579" width="14.85546875" style="575" customWidth="1"/>
    <col min="3580" max="3580" width="18.85546875" style="575" customWidth="1"/>
    <col min="3581" max="3581" width="19.42578125" style="575" customWidth="1"/>
    <col min="3582" max="3582" width="16.140625" style="575" customWidth="1"/>
    <col min="3583" max="3583" width="14.5703125" style="575" customWidth="1"/>
    <col min="3584" max="3584" width="20.28515625" style="575" customWidth="1"/>
    <col min="3585" max="3585" width="13.85546875" style="575" customWidth="1"/>
    <col min="3586" max="3586" width="19.140625" style="575" customWidth="1"/>
    <col min="3587" max="3587" width="19.7109375" style="575" customWidth="1"/>
    <col min="3588" max="3588" width="16.5703125" style="575" customWidth="1"/>
    <col min="3589" max="3589" width="19.140625" style="575" customWidth="1"/>
    <col min="3590" max="3592" width="16.5703125" style="575" customWidth="1"/>
    <col min="3593" max="3593" width="15.7109375" style="575" customWidth="1"/>
    <col min="3594" max="3594" width="19.42578125" style="575" customWidth="1"/>
    <col min="3595" max="3595" width="14.85546875" style="575" bestFit="1" customWidth="1"/>
    <col min="3596" max="3596" width="13.7109375" style="575" bestFit="1" customWidth="1"/>
    <col min="3597" max="3597" width="13" style="575" customWidth="1"/>
    <col min="3598" max="3598" width="18.42578125" style="575" customWidth="1"/>
    <col min="3599" max="3601" width="13.140625" style="575" customWidth="1"/>
    <col min="3602" max="3602" width="16.42578125" style="575" customWidth="1"/>
    <col min="3603" max="3603" width="13.140625" style="575" customWidth="1"/>
    <col min="3604" max="3604" width="15.28515625" style="575" customWidth="1"/>
    <col min="3605" max="3605" width="14" style="575" bestFit="1" customWidth="1"/>
    <col min="3606" max="3606" width="17.140625" style="575" customWidth="1"/>
    <col min="3607" max="3628" width="16.5703125" style="575" customWidth="1"/>
    <col min="3629" max="3629" width="20.140625" style="575" customWidth="1"/>
    <col min="3630" max="3630" width="13.28515625" style="575" customWidth="1"/>
    <col min="3631" max="3631" width="14.85546875" style="575" customWidth="1"/>
    <col min="3632" max="3632" width="13.85546875" style="575" customWidth="1"/>
    <col min="3633" max="3633" width="13.5703125" style="575" customWidth="1"/>
    <col min="3634" max="3634" width="13" style="575" customWidth="1"/>
    <col min="3635" max="3635" width="13.5703125" style="575" customWidth="1"/>
    <col min="3636" max="3636" width="7.7109375" style="575" bestFit="1" customWidth="1"/>
    <col min="3637" max="3806" width="9.140625" style="575"/>
    <col min="3807" max="3807" width="4.28515625" style="575" customWidth="1"/>
    <col min="3808" max="3808" width="10.140625" style="575" customWidth="1"/>
    <col min="3809" max="3809" width="8.85546875" style="575" customWidth="1"/>
    <col min="3810" max="3810" width="11.140625" style="575" customWidth="1"/>
    <col min="3811" max="3811" width="15" style="575" bestFit="1" customWidth="1"/>
    <col min="3812" max="3812" width="13.5703125" style="575" customWidth="1"/>
    <col min="3813" max="3813" width="11.42578125" style="575" bestFit="1" customWidth="1"/>
    <col min="3814" max="3814" width="11.28515625" style="575" customWidth="1"/>
    <col min="3815" max="3815" width="15.28515625" style="575" bestFit="1" customWidth="1"/>
    <col min="3816" max="3818" width="11.85546875" style="575" customWidth="1"/>
    <col min="3819" max="3819" width="19.140625" style="575" customWidth="1"/>
    <col min="3820" max="3820" width="15" style="575" customWidth="1"/>
    <col min="3821" max="3821" width="15.28515625" style="575" customWidth="1"/>
    <col min="3822" max="3824" width="18.85546875" style="575" customWidth="1"/>
    <col min="3825" max="3825" width="12.7109375" style="575" customWidth="1"/>
    <col min="3826" max="3826" width="13.7109375" style="575" customWidth="1"/>
    <col min="3827" max="3827" width="16.140625" style="575" customWidth="1"/>
    <col min="3828" max="3828" width="17" style="575" customWidth="1"/>
    <col min="3829" max="3829" width="15" style="575" customWidth="1"/>
    <col min="3830" max="3830" width="14.28515625" style="575" customWidth="1"/>
    <col min="3831" max="3831" width="14.85546875" style="575" customWidth="1"/>
    <col min="3832" max="3832" width="17.140625" style="575" customWidth="1"/>
    <col min="3833" max="3833" width="13.5703125" style="575" customWidth="1"/>
    <col min="3834" max="3835" width="14.85546875" style="575" customWidth="1"/>
    <col min="3836" max="3836" width="18.85546875" style="575" customWidth="1"/>
    <col min="3837" max="3837" width="19.42578125" style="575" customWidth="1"/>
    <col min="3838" max="3838" width="16.140625" style="575" customWidth="1"/>
    <col min="3839" max="3839" width="14.5703125" style="575" customWidth="1"/>
    <col min="3840" max="3840" width="20.28515625" style="575" customWidth="1"/>
    <col min="3841" max="3841" width="13.85546875" style="575" customWidth="1"/>
    <col min="3842" max="3842" width="19.140625" style="575" customWidth="1"/>
    <col min="3843" max="3843" width="19.7109375" style="575" customWidth="1"/>
    <col min="3844" max="3844" width="16.5703125" style="575" customWidth="1"/>
    <col min="3845" max="3845" width="19.140625" style="575" customWidth="1"/>
    <col min="3846" max="3848" width="16.5703125" style="575" customWidth="1"/>
    <col min="3849" max="3849" width="15.7109375" style="575" customWidth="1"/>
    <col min="3850" max="3850" width="19.42578125" style="575" customWidth="1"/>
    <col min="3851" max="3851" width="14.85546875" style="575" bestFit="1" customWidth="1"/>
    <col min="3852" max="3852" width="13.7109375" style="575" bestFit="1" customWidth="1"/>
    <col min="3853" max="3853" width="13" style="575" customWidth="1"/>
    <col min="3854" max="3854" width="18.42578125" style="575" customWidth="1"/>
    <col min="3855" max="3857" width="13.140625" style="575" customWidth="1"/>
    <col min="3858" max="3858" width="16.42578125" style="575" customWidth="1"/>
    <col min="3859" max="3859" width="13.140625" style="575" customWidth="1"/>
    <col min="3860" max="3860" width="15.28515625" style="575" customWidth="1"/>
    <col min="3861" max="3861" width="14" style="575" bestFit="1" customWidth="1"/>
    <col min="3862" max="3862" width="17.140625" style="575" customWidth="1"/>
    <col min="3863" max="3884" width="16.5703125" style="575" customWidth="1"/>
    <col min="3885" max="3885" width="20.140625" style="575" customWidth="1"/>
    <col min="3886" max="3886" width="13.28515625" style="575" customWidth="1"/>
    <col min="3887" max="3887" width="14.85546875" style="575" customWidth="1"/>
    <col min="3888" max="3888" width="13.85546875" style="575" customWidth="1"/>
    <col min="3889" max="3889" width="13.5703125" style="575" customWidth="1"/>
    <col min="3890" max="3890" width="13" style="575" customWidth="1"/>
    <col min="3891" max="3891" width="13.5703125" style="575" customWidth="1"/>
    <col min="3892" max="3892" width="7.7109375" style="575" bestFit="1" customWidth="1"/>
    <col min="3893" max="4062" width="9.140625" style="575"/>
    <col min="4063" max="4063" width="4.28515625" style="575" customWidth="1"/>
    <col min="4064" max="4064" width="10.140625" style="575" customWidth="1"/>
    <col min="4065" max="4065" width="8.85546875" style="575" customWidth="1"/>
    <col min="4066" max="4066" width="11.140625" style="575" customWidth="1"/>
    <col min="4067" max="4067" width="15" style="575" bestFit="1" customWidth="1"/>
    <col min="4068" max="4068" width="13.5703125" style="575" customWidth="1"/>
    <col min="4069" max="4069" width="11.42578125" style="575" bestFit="1" customWidth="1"/>
    <col min="4070" max="4070" width="11.28515625" style="575" customWidth="1"/>
    <col min="4071" max="4071" width="15.28515625" style="575" bestFit="1" customWidth="1"/>
    <col min="4072" max="4074" width="11.85546875" style="575" customWidth="1"/>
    <col min="4075" max="4075" width="19.140625" style="575" customWidth="1"/>
    <col min="4076" max="4076" width="15" style="575" customWidth="1"/>
    <col min="4077" max="4077" width="15.28515625" style="575" customWidth="1"/>
    <col min="4078" max="4080" width="18.85546875" style="575" customWidth="1"/>
    <col min="4081" max="4081" width="12.7109375" style="575" customWidth="1"/>
    <col min="4082" max="4082" width="13.7109375" style="575" customWidth="1"/>
    <col min="4083" max="4083" width="16.140625" style="575" customWidth="1"/>
    <col min="4084" max="4084" width="17" style="575" customWidth="1"/>
    <col min="4085" max="4085" width="15" style="575" customWidth="1"/>
    <col min="4086" max="4086" width="14.28515625" style="575" customWidth="1"/>
    <col min="4087" max="4087" width="14.85546875" style="575" customWidth="1"/>
    <col min="4088" max="4088" width="17.140625" style="575" customWidth="1"/>
    <col min="4089" max="4089" width="13.5703125" style="575" customWidth="1"/>
    <col min="4090" max="4091" width="14.85546875" style="575" customWidth="1"/>
    <col min="4092" max="4092" width="18.85546875" style="575" customWidth="1"/>
    <col min="4093" max="4093" width="19.42578125" style="575" customWidth="1"/>
    <col min="4094" max="4094" width="16.140625" style="575" customWidth="1"/>
    <col min="4095" max="4095" width="14.5703125" style="575" customWidth="1"/>
    <col min="4096" max="4096" width="20.28515625" style="575" customWidth="1"/>
    <col min="4097" max="4097" width="13.85546875" style="575" customWidth="1"/>
    <col min="4098" max="4098" width="19.140625" style="575" customWidth="1"/>
    <col min="4099" max="4099" width="19.7109375" style="575" customWidth="1"/>
    <col min="4100" max="4100" width="16.5703125" style="575" customWidth="1"/>
    <col min="4101" max="4101" width="19.140625" style="575" customWidth="1"/>
    <col min="4102" max="4104" width="16.5703125" style="575" customWidth="1"/>
    <col min="4105" max="4105" width="15.7109375" style="575" customWidth="1"/>
    <col min="4106" max="4106" width="19.42578125" style="575" customWidth="1"/>
    <col min="4107" max="4107" width="14.85546875" style="575" bestFit="1" customWidth="1"/>
    <col min="4108" max="4108" width="13.7109375" style="575" bestFit="1" customWidth="1"/>
    <col min="4109" max="4109" width="13" style="575" customWidth="1"/>
    <col min="4110" max="4110" width="18.42578125" style="575" customWidth="1"/>
    <col min="4111" max="4113" width="13.140625" style="575" customWidth="1"/>
    <col min="4114" max="4114" width="16.42578125" style="575" customWidth="1"/>
    <col min="4115" max="4115" width="13.140625" style="575" customWidth="1"/>
    <col min="4116" max="4116" width="15.28515625" style="575" customWidth="1"/>
    <col min="4117" max="4117" width="14" style="575" bestFit="1" customWidth="1"/>
    <col min="4118" max="4118" width="17.140625" style="575" customWidth="1"/>
    <col min="4119" max="4140" width="16.5703125" style="575" customWidth="1"/>
    <col min="4141" max="4141" width="20.140625" style="575" customWidth="1"/>
    <col min="4142" max="4142" width="13.28515625" style="575" customWidth="1"/>
    <col min="4143" max="4143" width="14.85546875" style="575" customWidth="1"/>
    <col min="4144" max="4144" width="13.85546875" style="575" customWidth="1"/>
    <col min="4145" max="4145" width="13.5703125" style="575" customWidth="1"/>
    <col min="4146" max="4146" width="13" style="575" customWidth="1"/>
    <col min="4147" max="4147" width="13.5703125" style="575" customWidth="1"/>
    <col min="4148" max="4148" width="7.7109375" style="575" bestFit="1" customWidth="1"/>
    <col min="4149" max="4318" width="9.140625" style="575"/>
    <col min="4319" max="4319" width="4.28515625" style="575" customWidth="1"/>
    <col min="4320" max="4320" width="10.140625" style="575" customWidth="1"/>
    <col min="4321" max="4321" width="8.85546875" style="575" customWidth="1"/>
    <col min="4322" max="4322" width="11.140625" style="575" customWidth="1"/>
    <col min="4323" max="4323" width="15" style="575" bestFit="1" customWidth="1"/>
    <col min="4324" max="4324" width="13.5703125" style="575" customWidth="1"/>
    <col min="4325" max="4325" width="11.42578125" style="575" bestFit="1" customWidth="1"/>
    <col min="4326" max="4326" width="11.28515625" style="575" customWidth="1"/>
    <col min="4327" max="4327" width="15.28515625" style="575" bestFit="1" customWidth="1"/>
    <col min="4328" max="4330" width="11.85546875" style="575" customWidth="1"/>
    <col min="4331" max="4331" width="19.140625" style="575" customWidth="1"/>
    <col min="4332" max="4332" width="15" style="575" customWidth="1"/>
    <col min="4333" max="4333" width="15.28515625" style="575" customWidth="1"/>
    <col min="4334" max="4336" width="18.85546875" style="575" customWidth="1"/>
    <col min="4337" max="4337" width="12.7109375" style="575" customWidth="1"/>
    <col min="4338" max="4338" width="13.7109375" style="575" customWidth="1"/>
    <col min="4339" max="4339" width="16.140625" style="575" customWidth="1"/>
    <col min="4340" max="4340" width="17" style="575" customWidth="1"/>
    <col min="4341" max="4341" width="15" style="575" customWidth="1"/>
    <col min="4342" max="4342" width="14.28515625" style="575" customWidth="1"/>
    <col min="4343" max="4343" width="14.85546875" style="575" customWidth="1"/>
    <col min="4344" max="4344" width="17.140625" style="575" customWidth="1"/>
    <col min="4345" max="4345" width="13.5703125" style="575" customWidth="1"/>
    <col min="4346" max="4347" width="14.85546875" style="575" customWidth="1"/>
    <col min="4348" max="4348" width="18.85546875" style="575" customWidth="1"/>
    <col min="4349" max="4349" width="19.42578125" style="575" customWidth="1"/>
    <col min="4350" max="4350" width="16.140625" style="575" customWidth="1"/>
    <col min="4351" max="4351" width="14.5703125" style="575" customWidth="1"/>
    <col min="4352" max="4352" width="20.28515625" style="575" customWidth="1"/>
    <col min="4353" max="4353" width="13.85546875" style="575" customWidth="1"/>
    <col min="4354" max="4354" width="19.140625" style="575" customWidth="1"/>
    <col min="4355" max="4355" width="19.7109375" style="575" customWidth="1"/>
    <col min="4356" max="4356" width="16.5703125" style="575" customWidth="1"/>
    <col min="4357" max="4357" width="19.140625" style="575" customWidth="1"/>
    <col min="4358" max="4360" width="16.5703125" style="575" customWidth="1"/>
    <col min="4361" max="4361" width="15.7109375" style="575" customWidth="1"/>
    <col min="4362" max="4362" width="19.42578125" style="575" customWidth="1"/>
    <col min="4363" max="4363" width="14.85546875" style="575" bestFit="1" customWidth="1"/>
    <col min="4364" max="4364" width="13.7109375" style="575" bestFit="1" customWidth="1"/>
    <col min="4365" max="4365" width="13" style="575" customWidth="1"/>
    <col min="4366" max="4366" width="18.42578125" style="575" customWidth="1"/>
    <col min="4367" max="4369" width="13.140625" style="575" customWidth="1"/>
    <col min="4370" max="4370" width="16.42578125" style="575" customWidth="1"/>
    <col min="4371" max="4371" width="13.140625" style="575" customWidth="1"/>
    <col min="4372" max="4372" width="15.28515625" style="575" customWidth="1"/>
    <col min="4373" max="4373" width="14" style="575" bestFit="1" customWidth="1"/>
    <col min="4374" max="4374" width="17.140625" style="575" customWidth="1"/>
    <col min="4375" max="4396" width="16.5703125" style="575" customWidth="1"/>
    <col min="4397" max="4397" width="20.140625" style="575" customWidth="1"/>
    <col min="4398" max="4398" width="13.28515625" style="575" customWidth="1"/>
    <col min="4399" max="4399" width="14.85546875" style="575" customWidth="1"/>
    <col min="4400" max="4400" width="13.85546875" style="575" customWidth="1"/>
    <col min="4401" max="4401" width="13.5703125" style="575" customWidth="1"/>
    <col min="4402" max="4402" width="13" style="575" customWidth="1"/>
    <col min="4403" max="4403" width="13.5703125" style="575" customWidth="1"/>
    <col min="4404" max="4404" width="7.7109375" style="575" bestFit="1" customWidth="1"/>
    <col min="4405" max="4574" width="9.140625" style="575"/>
    <col min="4575" max="4575" width="4.28515625" style="575" customWidth="1"/>
    <col min="4576" max="4576" width="10.140625" style="575" customWidth="1"/>
    <col min="4577" max="4577" width="8.85546875" style="575" customWidth="1"/>
    <col min="4578" max="4578" width="11.140625" style="575" customWidth="1"/>
    <col min="4579" max="4579" width="15" style="575" bestFit="1" customWidth="1"/>
    <col min="4580" max="4580" width="13.5703125" style="575" customWidth="1"/>
    <col min="4581" max="4581" width="11.42578125" style="575" bestFit="1" customWidth="1"/>
    <col min="4582" max="4582" width="11.28515625" style="575" customWidth="1"/>
    <col min="4583" max="4583" width="15.28515625" style="575" bestFit="1" customWidth="1"/>
    <col min="4584" max="4586" width="11.85546875" style="575" customWidth="1"/>
    <col min="4587" max="4587" width="19.140625" style="575" customWidth="1"/>
    <col min="4588" max="4588" width="15" style="575" customWidth="1"/>
    <col min="4589" max="4589" width="15.28515625" style="575" customWidth="1"/>
    <col min="4590" max="4592" width="18.85546875" style="575" customWidth="1"/>
    <col min="4593" max="4593" width="12.7109375" style="575" customWidth="1"/>
    <col min="4594" max="4594" width="13.7109375" style="575" customWidth="1"/>
    <col min="4595" max="4595" width="16.140625" style="575" customWidth="1"/>
    <col min="4596" max="4596" width="17" style="575" customWidth="1"/>
    <col min="4597" max="4597" width="15" style="575" customWidth="1"/>
    <col min="4598" max="4598" width="14.28515625" style="575" customWidth="1"/>
    <col min="4599" max="4599" width="14.85546875" style="575" customWidth="1"/>
    <col min="4600" max="4600" width="17.140625" style="575" customWidth="1"/>
    <col min="4601" max="4601" width="13.5703125" style="575" customWidth="1"/>
    <col min="4602" max="4603" width="14.85546875" style="575" customWidth="1"/>
    <col min="4604" max="4604" width="18.85546875" style="575" customWidth="1"/>
    <col min="4605" max="4605" width="19.42578125" style="575" customWidth="1"/>
    <col min="4606" max="4606" width="16.140625" style="575" customWidth="1"/>
    <col min="4607" max="4607" width="14.5703125" style="575" customWidth="1"/>
    <col min="4608" max="4608" width="20.28515625" style="575" customWidth="1"/>
    <col min="4609" max="4609" width="13.85546875" style="575" customWidth="1"/>
    <col min="4610" max="4610" width="19.140625" style="575" customWidth="1"/>
    <col min="4611" max="4611" width="19.7109375" style="575" customWidth="1"/>
    <col min="4612" max="4612" width="16.5703125" style="575" customWidth="1"/>
    <col min="4613" max="4613" width="19.140625" style="575" customWidth="1"/>
    <col min="4614" max="4616" width="16.5703125" style="575" customWidth="1"/>
    <col min="4617" max="4617" width="15.7109375" style="575" customWidth="1"/>
    <col min="4618" max="4618" width="19.42578125" style="575" customWidth="1"/>
    <col min="4619" max="4619" width="14.85546875" style="575" bestFit="1" customWidth="1"/>
    <col min="4620" max="4620" width="13.7109375" style="575" bestFit="1" customWidth="1"/>
    <col min="4621" max="4621" width="13" style="575" customWidth="1"/>
    <col min="4622" max="4622" width="18.42578125" style="575" customWidth="1"/>
    <col min="4623" max="4625" width="13.140625" style="575" customWidth="1"/>
    <col min="4626" max="4626" width="16.42578125" style="575" customWidth="1"/>
    <col min="4627" max="4627" width="13.140625" style="575" customWidth="1"/>
    <col min="4628" max="4628" width="15.28515625" style="575" customWidth="1"/>
    <col min="4629" max="4629" width="14" style="575" bestFit="1" customWidth="1"/>
    <col min="4630" max="4630" width="17.140625" style="575" customWidth="1"/>
    <col min="4631" max="4652" width="16.5703125" style="575" customWidth="1"/>
    <col min="4653" max="4653" width="20.140625" style="575" customWidth="1"/>
    <col min="4654" max="4654" width="13.28515625" style="575" customWidth="1"/>
    <col min="4655" max="4655" width="14.85546875" style="575" customWidth="1"/>
    <col min="4656" max="4656" width="13.85546875" style="575" customWidth="1"/>
    <col min="4657" max="4657" width="13.5703125" style="575" customWidth="1"/>
    <col min="4658" max="4658" width="13" style="575" customWidth="1"/>
    <col min="4659" max="4659" width="13.5703125" style="575" customWidth="1"/>
    <col min="4660" max="4660" width="7.7109375" style="575" bestFit="1" customWidth="1"/>
    <col min="4661" max="4830" width="9.140625" style="575"/>
    <col min="4831" max="4831" width="4.28515625" style="575" customWidth="1"/>
    <col min="4832" max="4832" width="10.140625" style="575" customWidth="1"/>
    <col min="4833" max="4833" width="8.85546875" style="575" customWidth="1"/>
    <col min="4834" max="4834" width="11.140625" style="575" customWidth="1"/>
    <col min="4835" max="4835" width="15" style="575" bestFit="1" customWidth="1"/>
    <col min="4836" max="4836" width="13.5703125" style="575" customWidth="1"/>
    <col min="4837" max="4837" width="11.42578125" style="575" bestFit="1" customWidth="1"/>
    <col min="4838" max="4838" width="11.28515625" style="575" customWidth="1"/>
    <col min="4839" max="4839" width="15.28515625" style="575" bestFit="1" customWidth="1"/>
    <col min="4840" max="4842" width="11.85546875" style="575" customWidth="1"/>
    <col min="4843" max="4843" width="19.140625" style="575" customWidth="1"/>
    <col min="4844" max="4844" width="15" style="575" customWidth="1"/>
    <col min="4845" max="4845" width="15.28515625" style="575" customWidth="1"/>
    <col min="4846" max="4848" width="18.85546875" style="575" customWidth="1"/>
    <col min="4849" max="4849" width="12.7109375" style="575" customWidth="1"/>
    <col min="4850" max="4850" width="13.7109375" style="575" customWidth="1"/>
    <col min="4851" max="4851" width="16.140625" style="575" customWidth="1"/>
    <col min="4852" max="4852" width="17" style="575" customWidth="1"/>
    <col min="4853" max="4853" width="15" style="575" customWidth="1"/>
    <col min="4854" max="4854" width="14.28515625" style="575" customWidth="1"/>
    <col min="4855" max="4855" width="14.85546875" style="575" customWidth="1"/>
    <col min="4856" max="4856" width="17.140625" style="575" customWidth="1"/>
    <col min="4857" max="4857" width="13.5703125" style="575" customWidth="1"/>
    <col min="4858" max="4859" width="14.85546875" style="575" customWidth="1"/>
    <col min="4860" max="4860" width="18.85546875" style="575" customWidth="1"/>
    <col min="4861" max="4861" width="19.42578125" style="575" customWidth="1"/>
    <col min="4862" max="4862" width="16.140625" style="575" customWidth="1"/>
    <col min="4863" max="4863" width="14.5703125" style="575" customWidth="1"/>
    <col min="4864" max="4864" width="20.28515625" style="575" customWidth="1"/>
    <col min="4865" max="4865" width="13.85546875" style="575" customWidth="1"/>
    <col min="4866" max="4866" width="19.140625" style="575" customWidth="1"/>
    <col min="4867" max="4867" width="19.7109375" style="575" customWidth="1"/>
    <col min="4868" max="4868" width="16.5703125" style="575" customWidth="1"/>
    <col min="4869" max="4869" width="19.140625" style="575" customWidth="1"/>
    <col min="4870" max="4872" width="16.5703125" style="575" customWidth="1"/>
    <col min="4873" max="4873" width="15.7109375" style="575" customWidth="1"/>
    <col min="4874" max="4874" width="19.42578125" style="575" customWidth="1"/>
    <col min="4875" max="4875" width="14.85546875" style="575" bestFit="1" customWidth="1"/>
    <col min="4876" max="4876" width="13.7109375" style="575" bestFit="1" customWidth="1"/>
    <col min="4877" max="4877" width="13" style="575" customWidth="1"/>
    <col min="4878" max="4878" width="18.42578125" style="575" customWidth="1"/>
    <col min="4879" max="4881" width="13.140625" style="575" customWidth="1"/>
    <col min="4882" max="4882" width="16.42578125" style="575" customWidth="1"/>
    <col min="4883" max="4883" width="13.140625" style="575" customWidth="1"/>
    <col min="4884" max="4884" width="15.28515625" style="575" customWidth="1"/>
    <col min="4885" max="4885" width="14" style="575" bestFit="1" customWidth="1"/>
    <col min="4886" max="4886" width="17.140625" style="575" customWidth="1"/>
    <col min="4887" max="4908" width="16.5703125" style="575" customWidth="1"/>
    <col min="4909" max="4909" width="20.140625" style="575" customWidth="1"/>
    <col min="4910" max="4910" width="13.28515625" style="575" customWidth="1"/>
    <col min="4911" max="4911" width="14.85546875" style="575" customWidth="1"/>
    <col min="4912" max="4912" width="13.85546875" style="575" customWidth="1"/>
    <col min="4913" max="4913" width="13.5703125" style="575" customWidth="1"/>
    <col min="4914" max="4914" width="13" style="575" customWidth="1"/>
    <col min="4915" max="4915" width="13.5703125" style="575" customWidth="1"/>
    <col min="4916" max="4916" width="7.7109375" style="575" bestFit="1" customWidth="1"/>
    <col min="4917" max="5086" width="9.140625" style="575"/>
    <col min="5087" max="5087" width="4.28515625" style="575" customWidth="1"/>
    <col min="5088" max="5088" width="10.140625" style="575" customWidth="1"/>
    <col min="5089" max="5089" width="8.85546875" style="575" customWidth="1"/>
    <col min="5090" max="5090" width="11.140625" style="575" customWidth="1"/>
    <col min="5091" max="5091" width="15" style="575" bestFit="1" customWidth="1"/>
    <col min="5092" max="5092" width="13.5703125" style="575" customWidth="1"/>
    <col min="5093" max="5093" width="11.42578125" style="575" bestFit="1" customWidth="1"/>
    <col min="5094" max="5094" width="11.28515625" style="575" customWidth="1"/>
    <col min="5095" max="5095" width="15.28515625" style="575" bestFit="1" customWidth="1"/>
    <col min="5096" max="5098" width="11.85546875" style="575" customWidth="1"/>
    <col min="5099" max="5099" width="19.140625" style="575" customWidth="1"/>
    <col min="5100" max="5100" width="15" style="575" customWidth="1"/>
    <col min="5101" max="5101" width="15.28515625" style="575" customWidth="1"/>
    <col min="5102" max="5104" width="18.85546875" style="575" customWidth="1"/>
    <col min="5105" max="5105" width="12.7109375" style="575" customWidth="1"/>
    <col min="5106" max="5106" width="13.7109375" style="575" customWidth="1"/>
    <col min="5107" max="5107" width="16.140625" style="575" customWidth="1"/>
    <col min="5108" max="5108" width="17" style="575" customWidth="1"/>
    <col min="5109" max="5109" width="15" style="575" customWidth="1"/>
    <col min="5110" max="5110" width="14.28515625" style="575" customWidth="1"/>
    <col min="5111" max="5111" width="14.85546875" style="575" customWidth="1"/>
    <col min="5112" max="5112" width="17.140625" style="575" customWidth="1"/>
    <col min="5113" max="5113" width="13.5703125" style="575" customWidth="1"/>
    <col min="5114" max="5115" width="14.85546875" style="575" customWidth="1"/>
    <col min="5116" max="5116" width="18.85546875" style="575" customWidth="1"/>
    <col min="5117" max="5117" width="19.42578125" style="575" customWidth="1"/>
    <col min="5118" max="5118" width="16.140625" style="575" customWidth="1"/>
    <col min="5119" max="5119" width="14.5703125" style="575" customWidth="1"/>
    <col min="5120" max="5120" width="20.28515625" style="575" customWidth="1"/>
    <col min="5121" max="5121" width="13.85546875" style="575" customWidth="1"/>
    <col min="5122" max="5122" width="19.140625" style="575" customWidth="1"/>
    <col min="5123" max="5123" width="19.7109375" style="575" customWidth="1"/>
    <col min="5124" max="5124" width="16.5703125" style="575" customWidth="1"/>
    <col min="5125" max="5125" width="19.140625" style="575" customWidth="1"/>
    <col min="5126" max="5128" width="16.5703125" style="575" customWidth="1"/>
    <col min="5129" max="5129" width="15.7109375" style="575" customWidth="1"/>
    <col min="5130" max="5130" width="19.42578125" style="575" customWidth="1"/>
    <col min="5131" max="5131" width="14.85546875" style="575" bestFit="1" customWidth="1"/>
    <col min="5132" max="5132" width="13.7109375" style="575" bestFit="1" customWidth="1"/>
    <col min="5133" max="5133" width="13" style="575" customWidth="1"/>
    <col min="5134" max="5134" width="18.42578125" style="575" customWidth="1"/>
    <col min="5135" max="5137" width="13.140625" style="575" customWidth="1"/>
    <col min="5138" max="5138" width="16.42578125" style="575" customWidth="1"/>
    <col min="5139" max="5139" width="13.140625" style="575" customWidth="1"/>
    <col min="5140" max="5140" width="15.28515625" style="575" customWidth="1"/>
    <col min="5141" max="5141" width="14" style="575" bestFit="1" customWidth="1"/>
    <col min="5142" max="5142" width="17.140625" style="575" customWidth="1"/>
    <col min="5143" max="5164" width="16.5703125" style="575" customWidth="1"/>
    <col min="5165" max="5165" width="20.140625" style="575" customWidth="1"/>
    <col min="5166" max="5166" width="13.28515625" style="575" customWidth="1"/>
    <col min="5167" max="5167" width="14.85546875" style="575" customWidth="1"/>
    <col min="5168" max="5168" width="13.85546875" style="575" customWidth="1"/>
    <col min="5169" max="5169" width="13.5703125" style="575" customWidth="1"/>
    <col min="5170" max="5170" width="13" style="575" customWidth="1"/>
    <col min="5171" max="5171" width="13.5703125" style="575" customWidth="1"/>
    <col min="5172" max="5172" width="7.7109375" style="575" bestFit="1" customWidth="1"/>
    <col min="5173" max="5342" width="9.140625" style="575"/>
    <col min="5343" max="5343" width="4.28515625" style="575" customWidth="1"/>
    <col min="5344" max="5344" width="10.140625" style="575" customWidth="1"/>
    <col min="5345" max="5345" width="8.85546875" style="575" customWidth="1"/>
    <col min="5346" max="5346" width="11.140625" style="575" customWidth="1"/>
    <col min="5347" max="5347" width="15" style="575" bestFit="1" customWidth="1"/>
    <col min="5348" max="5348" width="13.5703125" style="575" customWidth="1"/>
    <col min="5349" max="5349" width="11.42578125" style="575" bestFit="1" customWidth="1"/>
    <col min="5350" max="5350" width="11.28515625" style="575" customWidth="1"/>
    <col min="5351" max="5351" width="15.28515625" style="575" bestFit="1" customWidth="1"/>
    <col min="5352" max="5354" width="11.85546875" style="575" customWidth="1"/>
    <col min="5355" max="5355" width="19.140625" style="575" customWidth="1"/>
    <col min="5356" max="5356" width="15" style="575" customWidth="1"/>
    <col min="5357" max="5357" width="15.28515625" style="575" customWidth="1"/>
    <col min="5358" max="5360" width="18.85546875" style="575" customWidth="1"/>
    <col min="5361" max="5361" width="12.7109375" style="575" customWidth="1"/>
    <col min="5362" max="5362" width="13.7109375" style="575" customWidth="1"/>
    <col min="5363" max="5363" width="16.140625" style="575" customWidth="1"/>
    <col min="5364" max="5364" width="17" style="575" customWidth="1"/>
    <col min="5365" max="5365" width="15" style="575" customWidth="1"/>
    <col min="5366" max="5366" width="14.28515625" style="575" customWidth="1"/>
    <col min="5367" max="5367" width="14.85546875" style="575" customWidth="1"/>
    <col min="5368" max="5368" width="17.140625" style="575" customWidth="1"/>
    <col min="5369" max="5369" width="13.5703125" style="575" customWidth="1"/>
    <col min="5370" max="5371" width="14.85546875" style="575" customWidth="1"/>
    <col min="5372" max="5372" width="18.85546875" style="575" customWidth="1"/>
    <col min="5373" max="5373" width="19.42578125" style="575" customWidth="1"/>
    <col min="5374" max="5374" width="16.140625" style="575" customWidth="1"/>
    <col min="5375" max="5375" width="14.5703125" style="575" customWidth="1"/>
    <col min="5376" max="5376" width="20.28515625" style="575" customWidth="1"/>
    <col min="5377" max="5377" width="13.85546875" style="575" customWidth="1"/>
    <col min="5378" max="5378" width="19.140625" style="575" customWidth="1"/>
    <col min="5379" max="5379" width="19.7109375" style="575" customWidth="1"/>
    <col min="5380" max="5380" width="16.5703125" style="575" customWidth="1"/>
    <col min="5381" max="5381" width="19.140625" style="575" customWidth="1"/>
    <col min="5382" max="5384" width="16.5703125" style="575" customWidth="1"/>
    <col min="5385" max="5385" width="15.7109375" style="575" customWidth="1"/>
    <col min="5386" max="5386" width="19.42578125" style="575" customWidth="1"/>
    <col min="5387" max="5387" width="14.85546875" style="575" bestFit="1" customWidth="1"/>
    <col min="5388" max="5388" width="13.7109375" style="575" bestFit="1" customWidth="1"/>
    <col min="5389" max="5389" width="13" style="575" customWidth="1"/>
    <col min="5390" max="5390" width="18.42578125" style="575" customWidth="1"/>
    <col min="5391" max="5393" width="13.140625" style="575" customWidth="1"/>
    <col min="5394" max="5394" width="16.42578125" style="575" customWidth="1"/>
    <col min="5395" max="5395" width="13.140625" style="575" customWidth="1"/>
    <col min="5396" max="5396" width="15.28515625" style="575" customWidth="1"/>
    <col min="5397" max="5397" width="14" style="575" bestFit="1" customWidth="1"/>
    <col min="5398" max="5398" width="17.140625" style="575" customWidth="1"/>
    <col min="5399" max="5420" width="16.5703125" style="575" customWidth="1"/>
    <col min="5421" max="5421" width="20.140625" style="575" customWidth="1"/>
    <col min="5422" max="5422" width="13.28515625" style="575" customWidth="1"/>
    <col min="5423" max="5423" width="14.85546875" style="575" customWidth="1"/>
    <col min="5424" max="5424" width="13.85546875" style="575" customWidth="1"/>
    <col min="5425" max="5425" width="13.5703125" style="575" customWidth="1"/>
    <col min="5426" max="5426" width="13" style="575" customWidth="1"/>
    <col min="5427" max="5427" width="13.5703125" style="575" customWidth="1"/>
    <col min="5428" max="5428" width="7.7109375" style="575" bestFit="1" customWidth="1"/>
    <col min="5429" max="5598" width="9.140625" style="575"/>
    <col min="5599" max="5599" width="4.28515625" style="575" customWidth="1"/>
    <col min="5600" max="5600" width="10.140625" style="575" customWidth="1"/>
    <col min="5601" max="5601" width="8.85546875" style="575" customWidth="1"/>
    <col min="5602" max="5602" width="11.140625" style="575" customWidth="1"/>
    <col min="5603" max="5603" width="15" style="575" bestFit="1" customWidth="1"/>
    <col min="5604" max="5604" width="13.5703125" style="575" customWidth="1"/>
    <col min="5605" max="5605" width="11.42578125" style="575" bestFit="1" customWidth="1"/>
    <col min="5606" max="5606" width="11.28515625" style="575" customWidth="1"/>
    <col min="5607" max="5607" width="15.28515625" style="575" bestFit="1" customWidth="1"/>
    <col min="5608" max="5610" width="11.85546875" style="575" customWidth="1"/>
    <col min="5611" max="5611" width="19.140625" style="575" customWidth="1"/>
    <col min="5612" max="5612" width="15" style="575" customWidth="1"/>
    <col min="5613" max="5613" width="15.28515625" style="575" customWidth="1"/>
    <col min="5614" max="5616" width="18.85546875" style="575" customWidth="1"/>
    <col min="5617" max="5617" width="12.7109375" style="575" customWidth="1"/>
    <col min="5618" max="5618" width="13.7109375" style="575" customWidth="1"/>
    <col min="5619" max="5619" width="16.140625" style="575" customWidth="1"/>
    <col min="5620" max="5620" width="17" style="575" customWidth="1"/>
    <col min="5621" max="5621" width="15" style="575" customWidth="1"/>
    <col min="5622" max="5622" width="14.28515625" style="575" customWidth="1"/>
    <col min="5623" max="5623" width="14.85546875" style="575" customWidth="1"/>
    <col min="5624" max="5624" width="17.140625" style="575" customWidth="1"/>
    <col min="5625" max="5625" width="13.5703125" style="575" customWidth="1"/>
    <col min="5626" max="5627" width="14.85546875" style="575" customWidth="1"/>
    <col min="5628" max="5628" width="18.85546875" style="575" customWidth="1"/>
    <col min="5629" max="5629" width="19.42578125" style="575" customWidth="1"/>
    <col min="5630" max="5630" width="16.140625" style="575" customWidth="1"/>
    <col min="5631" max="5631" width="14.5703125" style="575" customWidth="1"/>
    <col min="5632" max="5632" width="20.28515625" style="575" customWidth="1"/>
    <col min="5633" max="5633" width="13.85546875" style="575" customWidth="1"/>
    <col min="5634" max="5634" width="19.140625" style="575" customWidth="1"/>
    <col min="5635" max="5635" width="19.7109375" style="575" customWidth="1"/>
    <col min="5636" max="5636" width="16.5703125" style="575" customWidth="1"/>
    <col min="5637" max="5637" width="19.140625" style="575" customWidth="1"/>
    <col min="5638" max="5640" width="16.5703125" style="575" customWidth="1"/>
    <col min="5641" max="5641" width="15.7109375" style="575" customWidth="1"/>
    <col min="5642" max="5642" width="19.42578125" style="575" customWidth="1"/>
    <col min="5643" max="5643" width="14.85546875" style="575" bestFit="1" customWidth="1"/>
    <col min="5644" max="5644" width="13.7109375" style="575" bestFit="1" customWidth="1"/>
    <col min="5645" max="5645" width="13" style="575" customWidth="1"/>
    <col min="5646" max="5646" width="18.42578125" style="575" customWidth="1"/>
    <col min="5647" max="5649" width="13.140625" style="575" customWidth="1"/>
    <col min="5650" max="5650" width="16.42578125" style="575" customWidth="1"/>
    <col min="5651" max="5651" width="13.140625" style="575" customWidth="1"/>
    <col min="5652" max="5652" width="15.28515625" style="575" customWidth="1"/>
    <col min="5653" max="5653" width="14" style="575" bestFit="1" customWidth="1"/>
    <col min="5654" max="5654" width="17.140625" style="575" customWidth="1"/>
    <col min="5655" max="5676" width="16.5703125" style="575" customWidth="1"/>
    <col min="5677" max="5677" width="20.140625" style="575" customWidth="1"/>
    <col min="5678" max="5678" width="13.28515625" style="575" customWidth="1"/>
    <col min="5679" max="5679" width="14.85546875" style="575" customWidth="1"/>
    <col min="5680" max="5680" width="13.85546875" style="575" customWidth="1"/>
    <col min="5681" max="5681" width="13.5703125" style="575" customWidth="1"/>
    <col min="5682" max="5682" width="13" style="575" customWidth="1"/>
    <col min="5683" max="5683" width="13.5703125" style="575" customWidth="1"/>
    <col min="5684" max="5684" width="7.7109375" style="575" bestFit="1" customWidth="1"/>
    <col min="5685" max="5854" width="9.140625" style="575"/>
    <col min="5855" max="5855" width="4.28515625" style="575" customWidth="1"/>
    <col min="5856" max="5856" width="10.140625" style="575" customWidth="1"/>
    <col min="5857" max="5857" width="8.85546875" style="575" customWidth="1"/>
    <col min="5858" max="5858" width="11.140625" style="575" customWidth="1"/>
    <col min="5859" max="5859" width="15" style="575" bestFit="1" customWidth="1"/>
    <col min="5860" max="5860" width="13.5703125" style="575" customWidth="1"/>
    <col min="5861" max="5861" width="11.42578125" style="575" bestFit="1" customWidth="1"/>
    <col min="5862" max="5862" width="11.28515625" style="575" customWidth="1"/>
    <col min="5863" max="5863" width="15.28515625" style="575" bestFit="1" customWidth="1"/>
    <col min="5864" max="5866" width="11.85546875" style="575" customWidth="1"/>
    <col min="5867" max="5867" width="19.140625" style="575" customWidth="1"/>
    <col min="5868" max="5868" width="15" style="575" customWidth="1"/>
    <col min="5869" max="5869" width="15.28515625" style="575" customWidth="1"/>
    <col min="5870" max="5872" width="18.85546875" style="575" customWidth="1"/>
    <col min="5873" max="5873" width="12.7109375" style="575" customWidth="1"/>
    <col min="5874" max="5874" width="13.7109375" style="575" customWidth="1"/>
    <col min="5875" max="5875" width="16.140625" style="575" customWidth="1"/>
    <col min="5876" max="5876" width="17" style="575" customWidth="1"/>
    <col min="5877" max="5877" width="15" style="575" customWidth="1"/>
    <col min="5878" max="5878" width="14.28515625" style="575" customWidth="1"/>
    <col min="5879" max="5879" width="14.85546875" style="575" customWidth="1"/>
    <col min="5880" max="5880" width="17.140625" style="575" customWidth="1"/>
    <col min="5881" max="5881" width="13.5703125" style="575" customWidth="1"/>
    <col min="5882" max="5883" width="14.85546875" style="575" customWidth="1"/>
    <col min="5884" max="5884" width="18.85546875" style="575" customWidth="1"/>
    <col min="5885" max="5885" width="19.42578125" style="575" customWidth="1"/>
    <col min="5886" max="5886" width="16.140625" style="575" customWidth="1"/>
    <col min="5887" max="5887" width="14.5703125" style="575" customWidth="1"/>
    <col min="5888" max="5888" width="20.28515625" style="575" customWidth="1"/>
    <col min="5889" max="5889" width="13.85546875" style="575" customWidth="1"/>
    <col min="5890" max="5890" width="19.140625" style="575" customWidth="1"/>
    <col min="5891" max="5891" width="19.7109375" style="575" customWidth="1"/>
    <col min="5892" max="5892" width="16.5703125" style="575" customWidth="1"/>
    <col min="5893" max="5893" width="19.140625" style="575" customWidth="1"/>
    <col min="5894" max="5896" width="16.5703125" style="575" customWidth="1"/>
    <col min="5897" max="5897" width="15.7109375" style="575" customWidth="1"/>
    <col min="5898" max="5898" width="19.42578125" style="575" customWidth="1"/>
    <col min="5899" max="5899" width="14.85546875" style="575" bestFit="1" customWidth="1"/>
    <col min="5900" max="5900" width="13.7109375" style="575" bestFit="1" customWidth="1"/>
    <col min="5901" max="5901" width="13" style="575" customWidth="1"/>
    <col min="5902" max="5902" width="18.42578125" style="575" customWidth="1"/>
    <col min="5903" max="5905" width="13.140625" style="575" customWidth="1"/>
    <col min="5906" max="5906" width="16.42578125" style="575" customWidth="1"/>
    <col min="5907" max="5907" width="13.140625" style="575" customWidth="1"/>
    <col min="5908" max="5908" width="15.28515625" style="575" customWidth="1"/>
    <col min="5909" max="5909" width="14" style="575" bestFit="1" customWidth="1"/>
    <col min="5910" max="5910" width="17.140625" style="575" customWidth="1"/>
    <col min="5911" max="5932" width="16.5703125" style="575" customWidth="1"/>
    <col min="5933" max="5933" width="20.140625" style="575" customWidth="1"/>
    <col min="5934" max="5934" width="13.28515625" style="575" customWidth="1"/>
    <col min="5935" max="5935" width="14.85546875" style="575" customWidth="1"/>
    <col min="5936" max="5936" width="13.85546875" style="575" customWidth="1"/>
    <col min="5937" max="5937" width="13.5703125" style="575" customWidth="1"/>
    <col min="5938" max="5938" width="13" style="575" customWidth="1"/>
    <col min="5939" max="5939" width="13.5703125" style="575" customWidth="1"/>
    <col min="5940" max="5940" width="7.7109375" style="575" bestFit="1" customWidth="1"/>
    <col min="5941" max="6110" width="9.140625" style="575"/>
    <col min="6111" max="6111" width="4.28515625" style="575" customWidth="1"/>
    <col min="6112" max="6112" width="10.140625" style="575" customWidth="1"/>
    <col min="6113" max="6113" width="8.85546875" style="575" customWidth="1"/>
    <col min="6114" max="6114" width="11.140625" style="575" customWidth="1"/>
    <col min="6115" max="6115" width="15" style="575" bestFit="1" customWidth="1"/>
    <col min="6116" max="6116" width="13.5703125" style="575" customWidth="1"/>
    <col min="6117" max="6117" width="11.42578125" style="575" bestFit="1" customWidth="1"/>
    <col min="6118" max="6118" width="11.28515625" style="575" customWidth="1"/>
    <col min="6119" max="6119" width="15.28515625" style="575" bestFit="1" customWidth="1"/>
    <col min="6120" max="6122" width="11.85546875" style="575" customWidth="1"/>
    <col min="6123" max="6123" width="19.140625" style="575" customWidth="1"/>
    <col min="6124" max="6124" width="15" style="575" customWidth="1"/>
    <col min="6125" max="6125" width="15.28515625" style="575" customWidth="1"/>
    <col min="6126" max="6128" width="18.85546875" style="575" customWidth="1"/>
    <col min="6129" max="6129" width="12.7109375" style="575" customWidth="1"/>
    <col min="6130" max="6130" width="13.7109375" style="575" customWidth="1"/>
    <col min="6131" max="6131" width="16.140625" style="575" customWidth="1"/>
    <col min="6132" max="6132" width="17" style="575" customWidth="1"/>
    <col min="6133" max="6133" width="15" style="575" customWidth="1"/>
    <col min="6134" max="6134" width="14.28515625" style="575" customWidth="1"/>
    <col min="6135" max="6135" width="14.85546875" style="575" customWidth="1"/>
    <col min="6136" max="6136" width="17.140625" style="575" customWidth="1"/>
    <col min="6137" max="6137" width="13.5703125" style="575" customWidth="1"/>
    <col min="6138" max="6139" width="14.85546875" style="575" customWidth="1"/>
    <col min="6140" max="6140" width="18.85546875" style="575" customWidth="1"/>
    <col min="6141" max="6141" width="19.42578125" style="575" customWidth="1"/>
    <col min="6142" max="6142" width="16.140625" style="575" customWidth="1"/>
    <col min="6143" max="6143" width="14.5703125" style="575" customWidth="1"/>
    <col min="6144" max="6144" width="20.28515625" style="575" customWidth="1"/>
    <col min="6145" max="6145" width="13.85546875" style="575" customWidth="1"/>
    <col min="6146" max="6146" width="19.140625" style="575" customWidth="1"/>
    <col min="6147" max="6147" width="19.7109375" style="575" customWidth="1"/>
    <col min="6148" max="6148" width="16.5703125" style="575" customWidth="1"/>
    <col min="6149" max="6149" width="19.140625" style="575" customWidth="1"/>
    <col min="6150" max="6152" width="16.5703125" style="575" customWidth="1"/>
    <col min="6153" max="6153" width="15.7109375" style="575" customWidth="1"/>
    <col min="6154" max="6154" width="19.42578125" style="575" customWidth="1"/>
    <col min="6155" max="6155" width="14.85546875" style="575" bestFit="1" customWidth="1"/>
    <col min="6156" max="6156" width="13.7109375" style="575" bestFit="1" customWidth="1"/>
    <col min="6157" max="6157" width="13" style="575" customWidth="1"/>
    <col min="6158" max="6158" width="18.42578125" style="575" customWidth="1"/>
    <col min="6159" max="6161" width="13.140625" style="575" customWidth="1"/>
    <col min="6162" max="6162" width="16.42578125" style="575" customWidth="1"/>
    <col min="6163" max="6163" width="13.140625" style="575" customWidth="1"/>
    <col min="6164" max="6164" width="15.28515625" style="575" customWidth="1"/>
    <col min="6165" max="6165" width="14" style="575" bestFit="1" customWidth="1"/>
    <col min="6166" max="6166" width="17.140625" style="575" customWidth="1"/>
    <col min="6167" max="6188" width="16.5703125" style="575" customWidth="1"/>
    <col min="6189" max="6189" width="20.140625" style="575" customWidth="1"/>
    <col min="6190" max="6190" width="13.28515625" style="575" customWidth="1"/>
    <col min="6191" max="6191" width="14.85546875" style="575" customWidth="1"/>
    <col min="6192" max="6192" width="13.85546875" style="575" customWidth="1"/>
    <col min="6193" max="6193" width="13.5703125" style="575" customWidth="1"/>
    <col min="6194" max="6194" width="13" style="575" customWidth="1"/>
    <col min="6195" max="6195" width="13.5703125" style="575" customWidth="1"/>
    <col min="6196" max="6196" width="7.7109375" style="575" bestFit="1" customWidth="1"/>
    <col min="6197" max="6366" width="9.140625" style="575"/>
    <col min="6367" max="6367" width="4.28515625" style="575" customWidth="1"/>
    <col min="6368" max="6368" width="10.140625" style="575" customWidth="1"/>
    <col min="6369" max="6369" width="8.85546875" style="575" customWidth="1"/>
    <col min="6370" max="6370" width="11.140625" style="575" customWidth="1"/>
    <col min="6371" max="6371" width="15" style="575" bestFit="1" customWidth="1"/>
    <col min="6372" max="6372" width="13.5703125" style="575" customWidth="1"/>
    <col min="6373" max="6373" width="11.42578125" style="575" bestFit="1" customWidth="1"/>
    <col min="6374" max="6374" width="11.28515625" style="575" customWidth="1"/>
    <col min="6375" max="6375" width="15.28515625" style="575" bestFit="1" customWidth="1"/>
    <col min="6376" max="6378" width="11.85546875" style="575" customWidth="1"/>
    <col min="6379" max="6379" width="19.140625" style="575" customWidth="1"/>
    <col min="6380" max="6380" width="15" style="575" customWidth="1"/>
    <col min="6381" max="6381" width="15.28515625" style="575" customWidth="1"/>
    <col min="6382" max="6384" width="18.85546875" style="575" customWidth="1"/>
    <col min="6385" max="6385" width="12.7109375" style="575" customWidth="1"/>
    <col min="6386" max="6386" width="13.7109375" style="575" customWidth="1"/>
    <col min="6387" max="6387" width="16.140625" style="575" customWidth="1"/>
    <col min="6388" max="6388" width="17" style="575" customWidth="1"/>
    <col min="6389" max="6389" width="15" style="575" customWidth="1"/>
    <col min="6390" max="6390" width="14.28515625" style="575" customWidth="1"/>
    <col min="6391" max="6391" width="14.85546875" style="575" customWidth="1"/>
    <col min="6392" max="6392" width="17.140625" style="575" customWidth="1"/>
    <col min="6393" max="6393" width="13.5703125" style="575" customWidth="1"/>
    <col min="6394" max="6395" width="14.85546875" style="575" customWidth="1"/>
    <col min="6396" max="6396" width="18.85546875" style="575" customWidth="1"/>
    <col min="6397" max="6397" width="19.42578125" style="575" customWidth="1"/>
    <col min="6398" max="6398" width="16.140625" style="575" customWidth="1"/>
    <col min="6399" max="6399" width="14.5703125" style="575" customWidth="1"/>
    <col min="6400" max="6400" width="20.28515625" style="575" customWidth="1"/>
    <col min="6401" max="6401" width="13.85546875" style="575" customWidth="1"/>
    <col min="6402" max="6402" width="19.140625" style="575" customWidth="1"/>
    <col min="6403" max="6403" width="19.7109375" style="575" customWidth="1"/>
    <col min="6404" max="6404" width="16.5703125" style="575" customWidth="1"/>
    <col min="6405" max="6405" width="19.140625" style="575" customWidth="1"/>
    <col min="6406" max="6408" width="16.5703125" style="575" customWidth="1"/>
    <col min="6409" max="6409" width="15.7109375" style="575" customWidth="1"/>
    <col min="6410" max="6410" width="19.42578125" style="575" customWidth="1"/>
    <col min="6411" max="6411" width="14.85546875" style="575" bestFit="1" customWidth="1"/>
    <col min="6412" max="6412" width="13.7109375" style="575" bestFit="1" customWidth="1"/>
    <col min="6413" max="6413" width="13" style="575" customWidth="1"/>
    <col min="6414" max="6414" width="18.42578125" style="575" customWidth="1"/>
    <col min="6415" max="6417" width="13.140625" style="575" customWidth="1"/>
    <col min="6418" max="6418" width="16.42578125" style="575" customWidth="1"/>
    <col min="6419" max="6419" width="13.140625" style="575" customWidth="1"/>
    <col min="6420" max="6420" width="15.28515625" style="575" customWidth="1"/>
    <col min="6421" max="6421" width="14" style="575" bestFit="1" customWidth="1"/>
    <col min="6422" max="6422" width="17.140625" style="575" customWidth="1"/>
    <col min="6423" max="6444" width="16.5703125" style="575" customWidth="1"/>
    <col min="6445" max="6445" width="20.140625" style="575" customWidth="1"/>
    <col min="6446" max="6446" width="13.28515625" style="575" customWidth="1"/>
    <col min="6447" max="6447" width="14.85546875" style="575" customWidth="1"/>
    <col min="6448" max="6448" width="13.85546875" style="575" customWidth="1"/>
    <col min="6449" max="6449" width="13.5703125" style="575" customWidth="1"/>
    <col min="6450" max="6450" width="13" style="575" customWidth="1"/>
    <col min="6451" max="6451" width="13.5703125" style="575" customWidth="1"/>
    <col min="6452" max="6452" width="7.7109375" style="575" bestFit="1" customWidth="1"/>
    <col min="6453" max="6622" width="9.140625" style="575"/>
    <col min="6623" max="6623" width="4.28515625" style="575" customWidth="1"/>
    <col min="6624" max="6624" width="10.140625" style="575" customWidth="1"/>
    <col min="6625" max="6625" width="8.85546875" style="575" customWidth="1"/>
    <col min="6626" max="6626" width="11.140625" style="575" customWidth="1"/>
    <col min="6627" max="6627" width="15" style="575" bestFit="1" customWidth="1"/>
    <col min="6628" max="6628" width="13.5703125" style="575" customWidth="1"/>
    <col min="6629" max="6629" width="11.42578125" style="575" bestFit="1" customWidth="1"/>
    <col min="6630" max="6630" width="11.28515625" style="575" customWidth="1"/>
    <col min="6631" max="6631" width="15.28515625" style="575" bestFit="1" customWidth="1"/>
    <col min="6632" max="6634" width="11.85546875" style="575" customWidth="1"/>
    <col min="6635" max="6635" width="19.140625" style="575" customWidth="1"/>
    <col min="6636" max="6636" width="15" style="575" customWidth="1"/>
    <col min="6637" max="6637" width="15.28515625" style="575" customWidth="1"/>
    <col min="6638" max="6640" width="18.85546875" style="575" customWidth="1"/>
    <col min="6641" max="6641" width="12.7109375" style="575" customWidth="1"/>
    <col min="6642" max="6642" width="13.7109375" style="575" customWidth="1"/>
    <col min="6643" max="6643" width="16.140625" style="575" customWidth="1"/>
    <col min="6644" max="6644" width="17" style="575" customWidth="1"/>
    <col min="6645" max="6645" width="15" style="575" customWidth="1"/>
    <col min="6646" max="6646" width="14.28515625" style="575" customWidth="1"/>
    <col min="6647" max="6647" width="14.85546875" style="575" customWidth="1"/>
    <col min="6648" max="6648" width="17.140625" style="575" customWidth="1"/>
    <col min="6649" max="6649" width="13.5703125" style="575" customWidth="1"/>
    <col min="6650" max="6651" width="14.85546875" style="575" customWidth="1"/>
    <col min="6652" max="6652" width="18.85546875" style="575" customWidth="1"/>
    <col min="6653" max="6653" width="19.42578125" style="575" customWidth="1"/>
    <col min="6654" max="6654" width="16.140625" style="575" customWidth="1"/>
    <col min="6655" max="6655" width="14.5703125" style="575" customWidth="1"/>
    <col min="6656" max="6656" width="20.28515625" style="575" customWidth="1"/>
    <col min="6657" max="6657" width="13.85546875" style="575" customWidth="1"/>
    <col min="6658" max="6658" width="19.140625" style="575" customWidth="1"/>
    <col min="6659" max="6659" width="19.7109375" style="575" customWidth="1"/>
    <col min="6660" max="6660" width="16.5703125" style="575" customWidth="1"/>
    <col min="6661" max="6661" width="19.140625" style="575" customWidth="1"/>
    <col min="6662" max="6664" width="16.5703125" style="575" customWidth="1"/>
    <col min="6665" max="6665" width="15.7109375" style="575" customWidth="1"/>
    <col min="6666" max="6666" width="19.42578125" style="575" customWidth="1"/>
    <col min="6667" max="6667" width="14.85546875" style="575" bestFit="1" customWidth="1"/>
    <col min="6668" max="6668" width="13.7109375" style="575" bestFit="1" customWidth="1"/>
    <col min="6669" max="6669" width="13" style="575" customWidth="1"/>
    <col min="6670" max="6670" width="18.42578125" style="575" customWidth="1"/>
    <col min="6671" max="6673" width="13.140625" style="575" customWidth="1"/>
    <col min="6674" max="6674" width="16.42578125" style="575" customWidth="1"/>
    <col min="6675" max="6675" width="13.140625" style="575" customWidth="1"/>
    <col min="6676" max="6676" width="15.28515625" style="575" customWidth="1"/>
    <col min="6677" max="6677" width="14" style="575" bestFit="1" customWidth="1"/>
    <col min="6678" max="6678" width="17.140625" style="575" customWidth="1"/>
    <col min="6679" max="6700" width="16.5703125" style="575" customWidth="1"/>
    <col min="6701" max="6701" width="20.140625" style="575" customWidth="1"/>
    <col min="6702" max="6702" width="13.28515625" style="575" customWidth="1"/>
    <col min="6703" max="6703" width="14.85546875" style="575" customWidth="1"/>
    <col min="6704" max="6704" width="13.85546875" style="575" customWidth="1"/>
    <col min="6705" max="6705" width="13.5703125" style="575" customWidth="1"/>
    <col min="6706" max="6706" width="13" style="575" customWidth="1"/>
    <col min="6707" max="6707" width="13.5703125" style="575" customWidth="1"/>
    <col min="6708" max="6708" width="7.7109375" style="575" bestFit="1" customWidth="1"/>
    <col min="6709" max="6878" width="9.140625" style="575"/>
    <col min="6879" max="6879" width="4.28515625" style="575" customWidth="1"/>
    <col min="6880" max="6880" width="10.140625" style="575" customWidth="1"/>
    <col min="6881" max="6881" width="8.85546875" style="575" customWidth="1"/>
    <col min="6882" max="6882" width="11.140625" style="575" customWidth="1"/>
    <col min="6883" max="6883" width="15" style="575" bestFit="1" customWidth="1"/>
    <col min="6884" max="6884" width="13.5703125" style="575" customWidth="1"/>
    <col min="6885" max="6885" width="11.42578125" style="575" bestFit="1" customWidth="1"/>
    <col min="6886" max="6886" width="11.28515625" style="575" customWidth="1"/>
    <col min="6887" max="6887" width="15.28515625" style="575" bestFit="1" customWidth="1"/>
    <col min="6888" max="6890" width="11.85546875" style="575" customWidth="1"/>
    <col min="6891" max="6891" width="19.140625" style="575" customWidth="1"/>
    <col min="6892" max="6892" width="15" style="575" customWidth="1"/>
    <col min="6893" max="6893" width="15.28515625" style="575" customWidth="1"/>
    <col min="6894" max="6896" width="18.85546875" style="575" customWidth="1"/>
    <col min="6897" max="6897" width="12.7109375" style="575" customWidth="1"/>
    <col min="6898" max="6898" width="13.7109375" style="575" customWidth="1"/>
    <col min="6899" max="6899" width="16.140625" style="575" customWidth="1"/>
    <col min="6900" max="6900" width="17" style="575" customWidth="1"/>
    <col min="6901" max="6901" width="15" style="575" customWidth="1"/>
    <col min="6902" max="6902" width="14.28515625" style="575" customWidth="1"/>
    <col min="6903" max="6903" width="14.85546875" style="575" customWidth="1"/>
    <col min="6904" max="6904" width="17.140625" style="575" customWidth="1"/>
    <col min="6905" max="6905" width="13.5703125" style="575" customWidth="1"/>
    <col min="6906" max="6907" width="14.85546875" style="575" customWidth="1"/>
    <col min="6908" max="6908" width="18.85546875" style="575" customWidth="1"/>
    <col min="6909" max="6909" width="19.42578125" style="575" customWidth="1"/>
    <col min="6910" max="6910" width="16.140625" style="575" customWidth="1"/>
    <col min="6911" max="6911" width="14.5703125" style="575" customWidth="1"/>
    <col min="6912" max="6912" width="20.28515625" style="575" customWidth="1"/>
    <col min="6913" max="6913" width="13.85546875" style="575" customWidth="1"/>
    <col min="6914" max="6914" width="19.140625" style="575" customWidth="1"/>
    <col min="6915" max="6915" width="19.7109375" style="575" customWidth="1"/>
    <col min="6916" max="6916" width="16.5703125" style="575" customWidth="1"/>
    <col min="6917" max="6917" width="19.140625" style="575" customWidth="1"/>
    <col min="6918" max="6920" width="16.5703125" style="575" customWidth="1"/>
    <col min="6921" max="6921" width="15.7109375" style="575" customWidth="1"/>
    <col min="6922" max="6922" width="19.42578125" style="575" customWidth="1"/>
    <col min="6923" max="6923" width="14.85546875" style="575" bestFit="1" customWidth="1"/>
    <col min="6924" max="6924" width="13.7109375" style="575" bestFit="1" customWidth="1"/>
    <col min="6925" max="6925" width="13" style="575" customWidth="1"/>
    <col min="6926" max="6926" width="18.42578125" style="575" customWidth="1"/>
    <col min="6927" max="6929" width="13.140625" style="575" customWidth="1"/>
    <col min="6930" max="6930" width="16.42578125" style="575" customWidth="1"/>
    <col min="6931" max="6931" width="13.140625" style="575" customWidth="1"/>
    <col min="6932" max="6932" width="15.28515625" style="575" customWidth="1"/>
    <col min="6933" max="6933" width="14" style="575" bestFit="1" customWidth="1"/>
    <col min="6934" max="6934" width="17.140625" style="575" customWidth="1"/>
    <col min="6935" max="6956" width="16.5703125" style="575" customWidth="1"/>
    <col min="6957" max="6957" width="20.140625" style="575" customWidth="1"/>
    <col min="6958" max="6958" width="13.28515625" style="575" customWidth="1"/>
    <col min="6959" max="6959" width="14.85546875" style="575" customWidth="1"/>
    <col min="6960" max="6960" width="13.85546875" style="575" customWidth="1"/>
    <col min="6961" max="6961" width="13.5703125" style="575" customWidth="1"/>
    <col min="6962" max="6962" width="13" style="575" customWidth="1"/>
    <col min="6963" max="6963" width="13.5703125" style="575" customWidth="1"/>
    <col min="6964" max="6964" width="7.7109375" style="575" bestFit="1" customWidth="1"/>
    <col min="6965" max="7134" width="9.140625" style="575"/>
    <col min="7135" max="7135" width="4.28515625" style="575" customWidth="1"/>
    <col min="7136" max="7136" width="10.140625" style="575" customWidth="1"/>
    <col min="7137" max="7137" width="8.85546875" style="575" customWidth="1"/>
    <col min="7138" max="7138" width="11.140625" style="575" customWidth="1"/>
    <col min="7139" max="7139" width="15" style="575" bestFit="1" customWidth="1"/>
    <col min="7140" max="7140" width="13.5703125" style="575" customWidth="1"/>
    <col min="7141" max="7141" width="11.42578125" style="575" bestFit="1" customWidth="1"/>
    <col min="7142" max="7142" width="11.28515625" style="575" customWidth="1"/>
    <col min="7143" max="7143" width="15.28515625" style="575" bestFit="1" customWidth="1"/>
    <col min="7144" max="7146" width="11.85546875" style="575" customWidth="1"/>
    <col min="7147" max="7147" width="19.140625" style="575" customWidth="1"/>
    <col min="7148" max="7148" width="15" style="575" customWidth="1"/>
    <col min="7149" max="7149" width="15.28515625" style="575" customWidth="1"/>
    <col min="7150" max="7152" width="18.85546875" style="575" customWidth="1"/>
    <col min="7153" max="7153" width="12.7109375" style="575" customWidth="1"/>
    <col min="7154" max="7154" width="13.7109375" style="575" customWidth="1"/>
    <col min="7155" max="7155" width="16.140625" style="575" customWidth="1"/>
    <col min="7156" max="7156" width="17" style="575" customWidth="1"/>
    <col min="7157" max="7157" width="15" style="575" customWidth="1"/>
    <col min="7158" max="7158" width="14.28515625" style="575" customWidth="1"/>
    <col min="7159" max="7159" width="14.85546875" style="575" customWidth="1"/>
    <col min="7160" max="7160" width="17.140625" style="575" customWidth="1"/>
    <col min="7161" max="7161" width="13.5703125" style="575" customWidth="1"/>
    <col min="7162" max="7163" width="14.85546875" style="575" customWidth="1"/>
    <col min="7164" max="7164" width="18.85546875" style="575" customWidth="1"/>
    <col min="7165" max="7165" width="19.42578125" style="575" customWidth="1"/>
    <col min="7166" max="7166" width="16.140625" style="575" customWidth="1"/>
    <col min="7167" max="7167" width="14.5703125" style="575" customWidth="1"/>
    <col min="7168" max="7168" width="20.28515625" style="575" customWidth="1"/>
    <col min="7169" max="7169" width="13.85546875" style="575" customWidth="1"/>
    <col min="7170" max="7170" width="19.140625" style="575" customWidth="1"/>
    <col min="7171" max="7171" width="19.7109375" style="575" customWidth="1"/>
    <col min="7172" max="7172" width="16.5703125" style="575" customWidth="1"/>
    <col min="7173" max="7173" width="19.140625" style="575" customWidth="1"/>
    <col min="7174" max="7176" width="16.5703125" style="575" customWidth="1"/>
    <col min="7177" max="7177" width="15.7109375" style="575" customWidth="1"/>
    <col min="7178" max="7178" width="19.42578125" style="575" customWidth="1"/>
    <col min="7179" max="7179" width="14.85546875" style="575" bestFit="1" customWidth="1"/>
    <col min="7180" max="7180" width="13.7109375" style="575" bestFit="1" customWidth="1"/>
    <col min="7181" max="7181" width="13" style="575" customWidth="1"/>
    <col min="7182" max="7182" width="18.42578125" style="575" customWidth="1"/>
    <col min="7183" max="7185" width="13.140625" style="575" customWidth="1"/>
    <col min="7186" max="7186" width="16.42578125" style="575" customWidth="1"/>
    <col min="7187" max="7187" width="13.140625" style="575" customWidth="1"/>
    <col min="7188" max="7188" width="15.28515625" style="575" customWidth="1"/>
    <col min="7189" max="7189" width="14" style="575" bestFit="1" customWidth="1"/>
    <col min="7190" max="7190" width="17.140625" style="575" customWidth="1"/>
    <col min="7191" max="7212" width="16.5703125" style="575" customWidth="1"/>
    <col min="7213" max="7213" width="20.140625" style="575" customWidth="1"/>
    <col min="7214" max="7214" width="13.28515625" style="575" customWidth="1"/>
    <col min="7215" max="7215" width="14.85546875" style="575" customWidth="1"/>
    <col min="7216" max="7216" width="13.85546875" style="575" customWidth="1"/>
    <col min="7217" max="7217" width="13.5703125" style="575" customWidth="1"/>
    <col min="7218" max="7218" width="13" style="575" customWidth="1"/>
    <col min="7219" max="7219" width="13.5703125" style="575" customWidth="1"/>
    <col min="7220" max="7220" width="7.7109375" style="575" bestFit="1" customWidth="1"/>
    <col min="7221" max="7390" width="9.140625" style="575"/>
    <col min="7391" max="7391" width="4.28515625" style="575" customWidth="1"/>
    <col min="7392" max="7392" width="10.140625" style="575" customWidth="1"/>
    <col min="7393" max="7393" width="8.85546875" style="575" customWidth="1"/>
    <col min="7394" max="7394" width="11.140625" style="575" customWidth="1"/>
    <col min="7395" max="7395" width="15" style="575" bestFit="1" customWidth="1"/>
    <col min="7396" max="7396" width="13.5703125" style="575" customWidth="1"/>
    <col min="7397" max="7397" width="11.42578125" style="575" bestFit="1" customWidth="1"/>
    <col min="7398" max="7398" width="11.28515625" style="575" customWidth="1"/>
    <col min="7399" max="7399" width="15.28515625" style="575" bestFit="1" customWidth="1"/>
    <col min="7400" max="7402" width="11.85546875" style="575" customWidth="1"/>
    <col min="7403" max="7403" width="19.140625" style="575" customWidth="1"/>
    <col min="7404" max="7404" width="15" style="575" customWidth="1"/>
    <col min="7405" max="7405" width="15.28515625" style="575" customWidth="1"/>
    <col min="7406" max="7408" width="18.85546875" style="575" customWidth="1"/>
    <col min="7409" max="7409" width="12.7109375" style="575" customWidth="1"/>
    <col min="7410" max="7410" width="13.7109375" style="575" customWidth="1"/>
    <col min="7411" max="7411" width="16.140625" style="575" customWidth="1"/>
    <col min="7412" max="7412" width="17" style="575" customWidth="1"/>
    <col min="7413" max="7413" width="15" style="575" customWidth="1"/>
    <col min="7414" max="7414" width="14.28515625" style="575" customWidth="1"/>
    <col min="7415" max="7415" width="14.85546875" style="575" customWidth="1"/>
    <col min="7416" max="7416" width="17.140625" style="575" customWidth="1"/>
    <col min="7417" max="7417" width="13.5703125" style="575" customWidth="1"/>
    <col min="7418" max="7419" width="14.85546875" style="575" customWidth="1"/>
    <col min="7420" max="7420" width="18.85546875" style="575" customWidth="1"/>
    <col min="7421" max="7421" width="19.42578125" style="575" customWidth="1"/>
    <col min="7422" max="7422" width="16.140625" style="575" customWidth="1"/>
    <col min="7423" max="7423" width="14.5703125" style="575" customWidth="1"/>
    <col min="7424" max="7424" width="20.28515625" style="575" customWidth="1"/>
    <col min="7425" max="7425" width="13.85546875" style="575" customWidth="1"/>
    <col min="7426" max="7426" width="19.140625" style="575" customWidth="1"/>
    <col min="7427" max="7427" width="19.7109375" style="575" customWidth="1"/>
    <col min="7428" max="7428" width="16.5703125" style="575" customWidth="1"/>
    <col min="7429" max="7429" width="19.140625" style="575" customWidth="1"/>
    <col min="7430" max="7432" width="16.5703125" style="575" customWidth="1"/>
    <col min="7433" max="7433" width="15.7109375" style="575" customWidth="1"/>
    <col min="7434" max="7434" width="19.42578125" style="575" customWidth="1"/>
    <col min="7435" max="7435" width="14.85546875" style="575" bestFit="1" customWidth="1"/>
    <col min="7436" max="7436" width="13.7109375" style="575" bestFit="1" customWidth="1"/>
    <col min="7437" max="7437" width="13" style="575" customWidth="1"/>
    <col min="7438" max="7438" width="18.42578125" style="575" customWidth="1"/>
    <col min="7439" max="7441" width="13.140625" style="575" customWidth="1"/>
    <col min="7442" max="7442" width="16.42578125" style="575" customWidth="1"/>
    <col min="7443" max="7443" width="13.140625" style="575" customWidth="1"/>
    <col min="7444" max="7444" width="15.28515625" style="575" customWidth="1"/>
    <col min="7445" max="7445" width="14" style="575" bestFit="1" customWidth="1"/>
    <col min="7446" max="7446" width="17.140625" style="575" customWidth="1"/>
    <col min="7447" max="7468" width="16.5703125" style="575" customWidth="1"/>
    <col min="7469" max="7469" width="20.140625" style="575" customWidth="1"/>
    <col min="7470" max="7470" width="13.28515625" style="575" customWidth="1"/>
    <col min="7471" max="7471" width="14.85546875" style="575" customWidth="1"/>
    <col min="7472" max="7472" width="13.85546875" style="575" customWidth="1"/>
    <col min="7473" max="7473" width="13.5703125" style="575" customWidth="1"/>
    <col min="7474" max="7474" width="13" style="575" customWidth="1"/>
    <col min="7475" max="7475" width="13.5703125" style="575" customWidth="1"/>
    <col min="7476" max="7476" width="7.7109375" style="575" bestFit="1" customWidth="1"/>
    <col min="7477" max="7646" width="9.140625" style="575"/>
    <col min="7647" max="7647" width="4.28515625" style="575" customWidth="1"/>
    <col min="7648" max="7648" width="10.140625" style="575" customWidth="1"/>
    <col min="7649" max="7649" width="8.85546875" style="575" customWidth="1"/>
    <col min="7650" max="7650" width="11.140625" style="575" customWidth="1"/>
    <col min="7651" max="7651" width="15" style="575" bestFit="1" customWidth="1"/>
    <col min="7652" max="7652" width="13.5703125" style="575" customWidth="1"/>
    <col min="7653" max="7653" width="11.42578125" style="575" bestFit="1" customWidth="1"/>
    <col min="7654" max="7654" width="11.28515625" style="575" customWidth="1"/>
    <col min="7655" max="7655" width="15.28515625" style="575" bestFit="1" customWidth="1"/>
    <col min="7656" max="7658" width="11.85546875" style="575" customWidth="1"/>
    <col min="7659" max="7659" width="19.140625" style="575" customWidth="1"/>
    <col min="7660" max="7660" width="15" style="575" customWidth="1"/>
    <col min="7661" max="7661" width="15.28515625" style="575" customWidth="1"/>
    <col min="7662" max="7664" width="18.85546875" style="575" customWidth="1"/>
    <col min="7665" max="7665" width="12.7109375" style="575" customWidth="1"/>
    <col min="7666" max="7666" width="13.7109375" style="575" customWidth="1"/>
    <col min="7667" max="7667" width="16.140625" style="575" customWidth="1"/>
    <col min="7668" max="7668" width="17" style="575" customWidth="1"/>
    <col min="7669" max="7669" width="15" style="575" customWidth="1"/>
    <col min="7670" max="7670" width="14.28515625" style="575" customWidth="1"/>
    <col min="7671" max="7671" width="14.85546875" style="575" customWidth="1"/>
    <col min="7672" max="7672" width="17.140625" style="575" customWidth="1"/>
    <col min="7673" max="7673" width="13.5703125" style="575" customWidth="1"/>
    <col min="7674" max="7675" width="14.85546875" style="575" customWidth="1"/>
    <col min="7676" max="7676" width="18.85546875" style="575" customWidth="1"/>
    <col min="7677" max="7677" width="19.42578125" style="575" customWidth="1"/>
    <col min="7678" max="7678" width="16.140625" style="575" customWidth="1"/>
    <col min="7679" max="7679" width="14.5703125" style="575" customWidth="1"/>
    <col min="7680" max="7680" width="20.28515625" style="575" customWidth="1"/>
    <col min="7681" max="7681" width="13.85546875" style="575" customWidth="1"/>
    <col min="7682" max="7682" width="19.140625" style="575" customWidth="1"/>
    <col min="7683" max="7683" width="19.7109375" style="575" customWidth="1"/>
    <col min="7684" max="7684" width="16.5703125" style="575" customWidth="1"/>
    <col min="7685" max="7685" width="19.140625" style="575" customWidth="1"/>
    <col min="7686" max="7688" width="16.5703125" style="575" customWidth="1"/>
    <col min="7689" max="7689" width="15.7109375" style="575" customWidth="1"/>
    <col min="7690" max="7690" width="19.42578125" style="575" customWidth="1"/>
    <col min="7691" max="7691" width="14.85546875" style="575" bestFit="1" customWidth="1"/>
    <col min="7692" max="7692" width="13.7109375" style="575" bestFit="1" customWidth="1"/>
    <col min="7693" max="7693" width="13" style="575" customWidth="1"/>
    <col min="7694" max="7694" width="18.42578125" style="575" customWidth="1"/>
    <col min="7695" max="7697" width="13.140625" style="575" customWidth="1"/>
    <col min="7698" max="7698" width="16.42578125" style="575" customWidth="1"/>
    <col min="7699" max="7699" width="13.140625" style="575" customWidth="1"/>
    <col min="7700" max="7700" width="15.28515625" style="575" customWidth="1"/>
    <col min="7701" max="7701" width="14" style="575" bestFit="1" customWidth="1"/>
    <col min="7702" max="7702" width="17.140625" style="575" customWidth="1"/>
    <col min="7703" max="7724" width="16.5703125" style="575" customWidth="1"/>
    <col min="7725" max="7725" width="20.140625" style="575" customWidth="1"/>
    <col min="7726" max="7726" width="13.28515625" style="575" customWidth="1"/>
    <col min="7727" max="7727" width="14.85546875" style="575" customWidth="1"/>
    <col min="7728" max="7728" width="13.85546875" style="575" customWidth="1"/>
    <col min="7729" max="7729" width="13.5703125" style="575" customWidth="1"/>
    <col min="7730" max="7730" width="13" style="575" customWidth="1"/>
    <col min="7731" max="7731" width="13.5703125" style="575" customWidth="1"/>
    <col min="7732" max="7732" width="7.7109375" style="575" bestFit="1" customWidth="1"/>
    <col min="7733" max="7902" width="9.140625" style="575"/>
    <col min="7903" max="7903" width="4.28515625" style="575" customWidth="1"/>
    <col min="7904" max="7904" width="10.140625" style="575" customWidth="1"/>
    <col min="7905" max="7905" width="8.85546875" style="575" customWidth="1"/>
    <col min="7906" max="7906" width="11.140625" style="575" customWidth="1"/>
    <col min="7907" max="7907" width="15" style="575" bestFit="1" customWidth="1"/>
    <col min="7908" max="7908" width="13.5703125" style="575" customWidth="1"/>
    <col min="7909" max="7909" width="11.42578125" style="575" bestFit="1" customWidth="1"/>
    <col min="7910" max="7910" width="11.28515625" style="575" customWidth="1"/>
    <col min="7911" max="7911" width="15.28515625" style="575" bestFit="1" customWidth="1"/>
    <col min="7912" max="7914" width="11.85546875" style="575" customWidth="1"/>
    <col min="7915" max="7915" width="19.140625" style="575" customWidth="1"/>
    <col min="7916" max="7916" width="15" style="575" customWidth="1"/>
    <col min="7917" max="7917" width="15.28515625" style="575" customWidth="1"/>
    <col min="7918" max="7920" width="18.85546875" style="575" customWidth="1"/>
    <col min="7921" max="7921" width="12.7109375" style="575" customWidth="1"/>
    <col min="7922" max="7922" width="13.7109375" style="575" customWidth="1"/>
    <col min="7923" max="7923" width="16.140625" style="575" customWidth="1"/>
    <col min="7924" max="7924" width="17" style="575" customWidth="1"/>
    <col min="7925" max="7925" width="15" style="575" customWidth="1"/>
    <col min="7926" max="7926" width="14.28515625" style="575" customWidth="1"/>
    <col min="7927" max="7927" width="14.85546875" style="575" customWidth="1"/>
    <col min="7928" max="7928" width="17.140625" style="575" customWidth="1"/>
    <col min="7929" max="7929" width="13.5703125" style="575" customWidth="1"/>
    <col min="7930" max="7931" width="14.85546875" style="575" customWidth="1"/>
    <col min="7932" max="7932" width="18.85546875" style="575" customWidth="1"/>
    <col min="7933" max="7933" width="19.42578125" style="575" customWidth="1"/>
    <col min="7934" max="7934" width="16.140625" style="575" customWidth="1"/>
    <col min="7935" max="7935" width="14.5703125" style="575" customWidth="1"/>
    <col min="7936" max="7936" width="20.28515625" style="575" customWidth="1"/>
    <col min="7937" max="7937" width="13.85546875" style="575" customWidth="1"/>
    <col min="7938" max="7938" width="19.140625" style="575" customWidth="1"/>
    <col min="7939" max="7939" width="19.7109375" style="575" customWidth="1"/>
    <col min="7940" max="7940" width="16.5703125" style="575" customWidth="1"/>
    <col min="7941" max="7941" width="19.140625" style="575" customWidth="1"/>
    <col min="7942" max="7944" width="16.5703125" style="575" customWidth="1"/>
    <col min="7945" max="7945" width="15.7109375" style="575" customWidth="1"/>
    <col min="7946" max="7946" width="19.42578125" style="575" customWidth="1"/>
    <col min="7947" max="7947" width="14.85546875" style="575" bestFit="1" customWidth="1"/>
    <col min="7948" max="7948" width="13.7109375" style="575" bestFit="1" customWidth="1"/>
    <col min="7949" max="7949" width="13" style="575" customWidth="1"/>
    <col min="7950" max="7950" width="18.42578125" style="575" customWidth="1"/>
    <col min="7951" max="7953" width="13.140625" style="575" customWidth="1"/>
    <col min="7954" max="7954" width="16.42578125" style="575" customWidth="1"/>
    <col min="7955" max="7955" width="13.140625" style="575" customWidth="1"/>
    <col min="7956" max="7956" width="15.28515625" style="575" customWidth="1"/>
    <col min="7957" max="7957" width="14" style="575" bestFit="1" customWidth="1"/>
    <col min="7958" max="7958" width="17.140625" style="575" customWidth="1"/>
    <col min="7959" max="7980" width="16.5703125" style="575" customWidth="1"/>
    <col min="7981" max="7981" width="20.140625" style="575" customWidth="1"/>
    <col min="7982" max="7982" width="13.28515625" style="575" customWidth="1"/>
    <col min="7983" max="7983" width="14.85546875" style="575" customWidth="1"/>
    <col min="7984" max="7984" width="13.85546875" style="575" customWidth="1"/>
    <col min="7985" max="7985" width="13.5703125" style="575" customWidth="1"/>
    <col min="7986" max="7986" width="13" style="575" customWidth="1"/>
    <col min="7987" max="7987" width="13.5703125" style="575" customWidth="1"/>
    <col min="7988" max="7988" width="7.7109375" style="575" bestFit="1" customWidth="1"/>
    <col min="7989" max="8158" width="9.140625" style="575"/>
    <col min="8159" max="8159" width="4.28515625" style="575" customWidth="1"/>
    <col min="8160" max="8160" width="10.140625" style="575" customWidth="1"/>
    <col min="8161" max="8161" width="8.85546875" style="575" customWidth="1"/>
    <col min="8162" max="8162" width="11.140625" style="575" customWidth="1"/>
    <col min="8163" max="8163" width="15" style="575" bestFit="1" customWidth="1"/>
    <col min="8164" max="8164" width="13.5703125" style="575" customWidth="1"/>
    <col min="8165" max="8165" width="11.42578125" style="575" bestFit="1" customWidth="1"/>
    <col min="8166" max="8166" width="11.28515625" style="575" customWidth="1"/>
    <col min="8167" max="8167" width="15.28515625" style="575" bestFit="1" customWidth="1"/>
    <col min="8168" max="8170" width="11.85546875" style="575" customWidth="1"/>
    <col min="8171" max="8171" width="19.140625" style="575" customWidth="1"/>
    <col min="8172" max="8172" width="15" style="575" customWidth="1"/>
    <col min="8173" max="8173" width="15.28515625" style="575" customWidth="1"/>
    <col min="8174" max="8176" width="18.85546875" style="575" customWidth="1"/>
    <col min="8177" max="8177" width="12.7109375" style="575" customWidth="1"/>
    <col min="8178" max="8178" width="13.7109375" style="575" customWidth="1"/>
    <col min="8179" max="8179" width="16.140625" style="575" customWidth="1"/>
    <col min="8180" max="8180" width="17" style="575" customWidth="1"/>
    <col min="8181" max="8181" width="15" style="575" customWidth="1"/>
    <col min="8182" max="8182" width="14.28515625" style="575" customWidth="1"/>
    <col min="8183" max="8183" width="14.85546875" style="575" customWidth="1"/>
    <col min="8184" max="8184" width="17.140625" style="575" customWidth="1"/>
    <col min="8185" max="8185" width="13.5703125" style="575" customWidth="1"/>
    <col min="8186" max="8187" width="14.85546875" style="575" customWidth="1"/>
    <col min="8188" max="8188" width="18.85546875" style="575" customWidth="1"/>
    <col min="8189" max="8189" width="19.42578125" style="575" customWidth="1"/>
    <col min="8190" max="8190" width="16.140625" style="575" customWidth="1"/>
    <col min="8191" max="8191" width="14.5703125" style="575" customWidth="1"/>
    <col min="8192" max="8192" width="20.28515625" style="575" customWidth="1"/>
    <col min="8193" max="8193" width="13.85546875" style="575" customWidth="1"/>
    <col min="8194" max="8194" width="19.140625" style="575" customWidth="1"/>
    <col min="8195" max="8195" width="19.7109375" style="575" customWidth="1"/>
    <col min="8196" max="8196" width="16.5703125" style="575" customWidth="1"/>
    <col min="8197" max="8197" width="19.140625" style="575" customWidth="1"/>
    <col min="8198" max="8200" width="16.5703125" style="575" customWidth="1"/>
    <col min="8201" max="8201" width="15.7109375" style="575" customWidth="1"/>
    <col min="8202" max="8202" width="19.42578125" style="575" customWidth="1"/>
    <col min="8203" max="8203" width="14.85546875" style="575" bestFit="1" customWidth="1"/>
    <col min="8204" max="8204" width="13.7109375" style="575" bestFit="1" customWidth="1"/>
    <col min="8205" max="8205" width="13" style="575" customWidth="1"/>
    <col min="8206" max="8206" width="18.42578125" style="575" customWidth="1"/>
    <col min="8207" max="8209" width="13.140625" style="575" customWidth="1"/>
    <col min="8210" max="8210" width="16.42578125" style="575" customWidth="1"/>
    <col min="8211" max="8211" width="13.140625" style="575" customWidth="1"/>
    <col min="8212" max="8212" width="15.28515625" style="575" customWidth="1"/>
    <col min="8213" max="8213" width="14" style="575" bestFit="1" customWidth="1"/>
    <col min="8214" max="8214" width="17.140625" style="575" customWidth="1"/>
    <col min="8215" max="8236" width="16.5703125" style="575" customWidth="1"/>
    <col min="8237" max="8237" width="20.140625" style="575" customWidth="1"/>
    <col min="8238" max="8238" width="13.28515625" style="575" customWidth="1"/>
    <col min="8239" max="8239" width="14.85546875" style="575" customWidth="1"/>
    <col min="8240" max="8240" width="13.85546875" style="575" customWidth="1"/>
    <col min="8241" max="8241" width="13.5703125" style="575" customWidth="1"/>
    <col min="8242" max="8242" width="13" style="575" customWidth="1"/>
    <col min="8243" max="8243" width="13.5703125" style="575" customWidth="1"/>
    <col min="8244" max="8244" width="7.7109375" style="575" bestFit="1" customWidth="1"/>
    <col min="8245" max="8414" width="9.140625" style="575"/>
    <col min="8415" max="8415" width="4.28515625" style="575" customWidth="1"/>
    <col min="8416" max="8416" width="10.140625" style="575" customWidth="1"/>
    <col min="8417" max="8417" width="8.85546875" style="575" customWidth="1"/>
    <col min="8418" max="8418" width="11.140625" style="575" customWidth="1"/>
    <col min="8419" max="8419" width="15" style="575" bestFit="1" customWidth="1"/>
    <col min="8420" max="8420" width="13.5703125" style="575" customWidth="1"/>
    <col min="8421" max="8421" width="11.42578125" style="575" bestFit="1" customWidth="1"/>
    <col min="8422" max="8422" width="11.28515625" style="575" customWidth="1"/>
    <col min="8423" max="8423" width="15.28515625" style="575" bestFit="1" customWidth="1"/>
    <col min="8424" max="8426" width="11.85546875" style="575" customWidth="1"/>
    <col min="8427" max="8427" width="19.140625" style="575" customWidth="1"/>
    <col min="8428" max="8428" width="15" style="575" customWidth="1"/>
    <col min="8429" max="8429" width="15.28515625" style="575" customWidth="1"/>
    <col min="8430" max="8432" width="18.85546875" style="575" customWidth="1"/>
    <col min="8433" max="8433" width="12.7109375" style="575" customWidth="1"/>
    <col min="8434" max="8434" width="13.7109375" style="575" customWidth="1"/>
    <col min="8435" max="8435" width="16.140625" style="575" customWidth="1"/>
    <col min="8436" max="8436" width="17" style="575" customWidth="1"/>
    <col min="8437" max="8437" width="15" style="575" customWidth="1"/>
    <col min="8438" max="8438" width="14.28515625" style="575" customWidth="1"/>
    <col min="8439" max="8439" width="14.85546875" style="575" customWidth="1"/>
    <col min="8440" max="8440" width="17.140625" style="575" customWidth="1"/>
    <col min="8441" max="8441" width="13.5703125" style="575" customWidth="1"/>
    <col min="8442" max="8443" width="14.85546875" style="575" customWidth="1"/>
    <col min="8444" max="8444" width="18.85546875" style="575" customWidth="1"/>
    <col min="8445" max="8445" width="19.42578125" style="575" customWidth="1"/>
    <col min="8446" max="8446" width="16.140625" style="575" customWidth="1"/>
    <col min="8447" max="8447" width="14.5703125" style="575" customWidth="1"/>
    <col min="8448" max="8448" width="20.28515625" style="575" customWidth="1"/>
    <col min="8449" max="8449" width="13.85546875" style="575" customWidth="1"/>
    <col min="8450" max="8450" width="19.140625" style="575" customWidth="1"/>
    <col min="8451" max="8451" width="19.7109375" style="575" customWidth="1"/>
    <col min="8452" max="8452" width="16.5703125" style="575" customWidth="1"/>
    <col min="8453" max="8453" width="19.140625" style="575" customWidth="1"/>
    <col min="8454" max="8456" width="16.5703125" style="575" customWidth="1"/>
    <col min="8457" max="8457" width="15.7109375" style="575" customWidth="1"/>
    <col min="8458" max="8458" width="19.42578125" style="575" customWidth="1"/>
    <col min="8459" max="8459" width="14.85546875" style="575" bestFit="1" customWidth="1"/>
    <col min="8460" max="8460" width="13.7109375" style="575" bestFit="1" customWidth="1"/>
    <col min="8461" max="8461" width="13" style="575" customWidth="1"/>
    <col min="8462" max="8462" width="18.42578125" style="575" customWidth="1"/>
    <col min="8463" max="8465" width="13.140625" style="575" customWidth="1"/>
    <col min="8466" max="8466" width="16.42578125" style="575" customWidth="1"/>
    <col min="8467" max="8467" width="13.140625" style="575" customWidth="1"/>
    <col min="8468" max="8468" width="15.28515625" style="575" customWidth="1"/>
    <col min="8469" max="8469" width="14" style="575" bestFit="1" customWidth="1"/>
    <col min="8470" max="8470" width="17.140625" style="575" customWidth="1"/>
    <col min="8471" max="8492" width="16.5703125" style="575" customWidth="1"/>
    <col min="8493" max="8493" width="20.140625" style="575" customWidth="1"/>
    <col min="8494" max="8494" width="13.28515625" style="575" customWidth="1"/>
    <col min="8495" max="8495" width="14.85546875" style="575" customWidth="1"/>
    <col min="8496" max="8496" width="13.85546875" style="575" customWidth="1"/>
    <col min="8497" max="8497" width="13.5703125" style="575" customWidth="1"/>
    <col min="8498" max="8498" width="13" style="575" customWidth="1"/>
    <col min="8499" max="8499" width="13.5703125" style="575" customWidth="1"/>
    <col min="8500" max="8500" width="7.7109375" style="575" bestFit="1" customWidth="1"/>
    <col min="8501" max="8670" width="9.140625" style="575"/>
    <col min="8671" max="8671" width="4.28515625" style="575" customWidth="1"/>
    <col min="8672" max="8672" width="10.140625" style="575" customWidth="1"/>
    <col min="8673" max="8673" width="8.85546875" style="575" customWidth="1"/>
    <col min="8674" max="8674" width="11.140625" style="575" customWidth="1"/>
    <col min="8675" max="8675" width="15" style="575" bestFit="1" customWidth="1"/>
    <col min="8676" max="8676" width="13.5703125" style="575" customWidth="1"/>
    <col min="8677" max="8677" width="11.42578125" style="575" bestFit="1" customWidth="1"/>
    <col min="8678" max="8678" width="11.28515625" style="575" customWidth="1"/>
    <col min="8679" max="8679" width="15.28515625" style="575" bestFit="1" customWidth="1"/>
    <col min="8680" max="8682" width="11.85546875" style="575" customWidth="1"/>
    <col min="8683" max="8683" width="19.140625" style="575" customWidth="1"/>
    <col min="8684" max="8684" width="15" style="575" customWidth="1"/>
    <col min="8685" max="8685" width="15.28515625" style="575" customWidth="1"/>
    <col min="8686" max="8688" width="18.85546875" style="575" customWidth="1"/>
    <col min="8689" max="8689" width="12.7109375" style="575" customWidth="1"/>
    <col min="8690" max="8690" width="13.7109375" style="575" customWidth="1"/>
    <col min="8691" max="8691" width="16.140625" style="575" customWidth="1"/>
    <col min="8692" max="8692" width="17" style="575" customWidth="1"/>
    <col min="8693" max="8693" width="15" style="575" customWidth="1"/>
    <col min="8694" max="8694" width="14.28515625" style="575" customWidth="1"/>
    <col min="8695" max="8695" width="14.85546875" style="575" customWidth="1"/>
    <col min="8696" max="8696" width="17.140625" style="575" customWidth="1"/>
    <col min="8697" max="8697" width="13.5703125" style="575" customWidth="1"/>
    <col min="8698" max="8699" width="14.85546875" style="575" customWidth="1"/>
    <col min="8700" max="8700" width="18.85546875" style="575" customWidth="1"/>
    <col min="8701" max="8701" width="19.42578125" style="575" customWidth="1"/>
    <col min="8702" max="8702" width="16.140625" style="575" customWidth="1"/>
    <col min="8703" max="8703" width="14.5703125" style="575" customWidth="1"/>
    <col min="8704" max="8704" width="20.28515625" style="575" customWidth="1"/>
    <col min="8705" max="8705" width="13.85546875" style="575" customWidth="1"/>
    <col min="8706" max="8706" width="19.140625" style="575" customWidth="1"/>
    <col min="8707" max="8707" width="19.7109375" style="575" customWidth="1"/>
    <col min="8708" max="8708" width="16.5703125" style="575" customWidth="1"/>
    <col min="8709" max="8709" width="19.140625" style="575" customWidth="1"/>
    <col min="8710" max="8712" width="16.5703125" style="575" customWidth="1"/>
    <col min="8713" max="8713" width="15.7109375" style="575" customWidth="1"/>
    <col min="8714" max="8714" width="19.42578125" style="575" customWidth="1"/>
    <col min="8715" max="8715" width="14.85546875" style="575" bestFit="1" customWidth="1"/>
    <col min="8716" max="8716" width="13.7109375" style="575" bestFit="1" customWidth="1"/>
    <col min="8717" max="8717" width="13" style="575" customWidth="1"/>
    <col min="8718" max="8718" width="18.42578125" style="575" customWidth="1"/>
    <col min="8719" max="8721" width="13.140625" style="575" customWidth="1"/>
    <col min="8722" max="8722" width="16.42578125" style="575" customWidth="1"/>
    <col min="8723" max="8723" width="13.140625" style="575" customWidth="1"/>
    <col min="8724" max="8724" width="15.28515625" style="575" customWidth="1"/>
    <col min="8725" max="8725" width="14" style="575" bestFit="1" customWidth="1"/>
    <col min="8726" max="8726" width="17.140625" style="575" customWidth="1"/>
    <col min="8727" max="8748" width="16.5703125" style="575" customWidth="1"/>
    <col min="8749" max="8749" width="20.140625" style="575" customWidth="1"/>
    <col min="8750" max="8750" width="13.28515625" style="575" customWidth="1"/>
    <col min="8751" max="8751" width="14.85546875" style="575" customWidth="1"/>
    <col min="8752" max="8752" width="13.85546875" style="575" customWidth="1"/>
    <col min="8753" max="8753" width="13.5703125" style="575" customWidth="1"/>
    <col min="8754" max="8754" width="13" style="575" customWidth="1"/>
    <col min="8755" max="8755" width="13.5703125" style="575" customWidth="1"/>
    <col min="8756" max="8756" width="7.7109375" style="575" bestFit="1" customWidth="1"/>
    <col min="8757" max="8926" width="9.140625" style="575"/>
    <col min="8927" max="8927" width="4.28515625" style="575" customWidth="1"/>
    <col min="8928" max="8928" width="10.140625" style="575" customWidth="1"/>
    <col min="8929" max="8929" width="8.85546875" style="575" customWidth="1"/>
    <col min="8930" max="8930" width="11.140625" style="575" customWidth="1"/>
    <col min="8931" max="8931" width="15" style="575" bestFit="1" customWidth="1"/>
    <col min="8932" max="8932" width="13.5703125" style="575" customWidth="1"/>
    <col min="8933" max="8933" width="11.42578125" style="575" bestFit="1" customWidth="1"/>
    <col min="8934" max="8934" width="11.28515625" style="575" customWidth="1"/>
    <col min="8935" max="8935" width="15.28515625" style="575" bestFit="1" customWidth="1"/>
    <col min="8936" max="8938" width="11.85546875" style="575" customWidth="1"/>
    <col min="8939" max="8939" width="19.140625" style="575" customWidth="1"/>
    <col min="8940" max="8940" width="15" style="575" customWidth="1"/>
    <col min="8941" max="8941" width="15.28515625" style="575" customWidth="1"/>
    <col min="8942" max="8944" width="18.85546875" style="575" customWidth="1"/>
    <col min="8945" max="8945" width="12.7109375" style="575" customWidth="1"/>
    <col min="8946" max="8946" width="13.7109375" style="575" customWidth="1"/>
    <col min="8947" max="8947" width="16.140625" style="575" customWidth="1"/>
    <col min="8948" max="8948" width="17" style="575" customWidth="1"/>
    <col min="8949" max="8949" width="15" style="575" customWidth="1"/>
    <col min="8950" max="8950" width="14.28515625" style="575" customWidth="1"/>
    <col min="8951" max="8951" width="14.85546875" style="575" customWidth="1"/>
    <col min="8952" max="8952" width="17.140625" style="575" customWidth="1"/>
    <col min="8953" max="8953" width="13.5703125" style="575" customWidth="1"/>
    <col min="8954" max="8955" width="14.85546875" style="575" customWidth="1"/>
    <col min="8956" max="8956" width="18.85546875" style="575" customWidth="1"/>
    <col min="8957" max="8957" width="19.42578125" style="575" customWidth="1"/>
    <col min="8958" max="8958" width="16.140625" style="575" customWidth="1"/>
    <col min="8959" max="8959" width="14.5703125" style="575" customWidth="1"/>
    <col min="8960" max="8960" width="20.28515625" style="575" customWidth="1"/>
    <col min="8961" max="8961" width="13.85546875" style="575" customWidth="1"/>
    <col min="8962" max="8962" width="19.140625" style="575" customWidth="1"/>
    <col min="8963" max="8963" width="19.7109375" style="575" customWidth="1"/>
    <col min="8964" max="8964" width="16.5703125" style="575" customWidth="1"/>
    <col min="8965" max="8965" width="19.140625" style="575" customWidth="1"/>
    <col min="8966" max="8968" width="16.5703125" style="575" customWidth="1"/>
    <col min="8969" max="8969" width="15.7109375" style="575" customWidth="1"/>
    <col min="8970" max="8970" width="19.42578125" style="575" customWidth="1"/>
    <col min="8971" max="8971" width="14.85546875" style="575" bestFit="1" customWidth="1"/>
    <col min="8972" max="8972" width="13.7109375" style="575" bestFit="1" customWidth="1"/>
    <col min="8973" max="8973" width="13" style="575" customWidth="1"/>
    <col min="8974" max="8974" width="18.42578125" style="575" customWidth="1"/>
    <col min="8975" max="8977" width="13.140625" style="575" customWidth="1"/>
    <col min="8978" max="8978" width="16.42578125" style="575" customWidth="1"/>
    <col min="8979" max="8979" width="13.140625" style="575" customWidth="1"/>
    <col min="8980" max="8980" width="15.28515625" style="575" customWidth="1"/>
    <col min="8981" max="8981" width="14" style="575" bestFit="1" customWidth="1"/>
    <col min="8982" max="8982" width="17.140625" style="575" customWidth="1"/>
    <col min="8983" max="9004" width="16.5703125" style="575" customWidth="1"/>
    <col min="9005" max="9005" width="20.140625" style="575" customWidth="1"/>
    <col min="9006" max="9006" width="13.28515625" style="575" customWidth="1"/>
    <col min="9007" max="9007" width="14.85546875" style="575" customWidth="1"/>
    <col min="9008" max="9008" width="13.85546875" style="575" customWidth="1"/>
    <col min="9009" max="9009" width="13.5703125" style="575" customWidth="1"/>
    <col min="9010" max="9010" width="13" style="575" customWidth="1"/>
    <col min="9011" max="9011" width="13.5703125" style="575" customWidth="1"/>
    <col min="9012" max="9012" width="7.7109375" style="575" bestFit="1" customWidth="1"/>
    <col min="9013" max="9182" width="9.140625" style="575"/>
    <col min="9183" max="9183" width="4.28515625" style="575" customWidth="1"/>
    <col min="9184" max="9184" width="10.140625" style="575" customWidth="1"/>
    <col min="9185" max="9185" width="8.85546875" style="575" customWidth="1"/>
    <col min="9186" max="9186" width="11.140625" style="575" customWidth="1"/>
    <col min="9187" max="9187" width="15" style="575" bestFit="1" customWidth="1"/>
    <col min="9188" max="9188" width="13.5703125" style="575" customWidth="1"/>
    <col min="9189" max="9189" width="11.42578125" style="575" bestFit="1" customWidth="1"/>
    <col min="9190" max="9190" width="11.28515625" style="575" customWidth="1"/>
    <col min="9191" max="9191" width="15.28515625" style="575" bestFit="1" customWidth="1"/>
    <col min="9192" max="9194" width="11.85546875" style="575" customWidth="1"/>
    <col min="9195" max="9195" width="19.140625" style="575" customWidth="1"/>
    <col min="9196" max="9196" width="15" style="575" customWidth="1"/>
    <col min="9197" max="9197" width="15.28515625" style="575" customWidth="1"/>
    <col min="9198" max="9200" width="18.85546875" style="575" customWidth="1"/>
    <col min="9201" max="9201" width="12.7109375" style="575" customWidth="1"/>
    <col min="9202" max="9202" width="13.7109375" style="575" customWidth="1"/>
    <col min="9203" max="9203" width="16.140625" style="575" customWidth="1"/>
    <col min="9204" max="9204" width="17" style="575" customWidth="1"/>
    <col min="9205" max="9205" width="15" style="575" customWidth="1"/>
    <col min="9206" max="9206" width="14.28515625" style="575" customWidth="1"/>
    <col min="9207" max="9207" width="14.85546875" style="575" customWidth="1"/>
    <col min="9208" max="9208" width="17.140625" style="575" customWidth="1"/>
    <col min="9209" max="9209" width="13.5703125" style="575" customWidth="1"/>
    <col min="9210" max="9211" width="14.85546875" style="575" customWidth="1"/>
    <col min="9212" max="9212" width="18.85546875" style="575" customWidth="1"/>
    <col min="9213" max="9213" width="19.42578125" style="575" customWidth="1"/>
    <col min="9214" max="9214" width="16.140625" style="575" customWidth="1"/>
    <col min="9215" max="9215" width="14.5703125" style="575" customWidth="1"/>
    <col min="9216" max="9216" width="20.28515625" style="575" customWidth="1"/>
    <col min="9217" max="9217" width="13.85546875" style="575" customWidth="1"/>
    <col min="9218" max="9218" width="19.140625" style="575" customWidth="1"/>
    <col min="9219" max="9219" width="19.7109375" style="575" customWidth="1"/>
    <col min="9220" max="9220" width="16.5703125" style="575" customWidth="1"/>
    <col min="9221" max="9221" width="19.140625" style="575" customWidth="1"/>
    <col min="9222" max="9224" width="16.5703125" style="575" customWidth="1"/>
    <col min="9225" max="9225" width="15.7109375" style="575" customWidth="1"/>
    <col min="9226" max="9226" width="19.42578125" style="575" customWidth="1"/>
    <col min="9227" max="9227" width="14.85546875" style="575" bestFit="1" customWidth="1"/>
    <col min="9228" max="9228" width="13.7109375" style="575" bestFit="1" customWidth="1"/>
    <col min="9229" max="9229" width="13" style="575" customWidth="1"/>
    <col min="9230" max="9230" width="18.42578125" style="575" customWidth="1"/>
    <col min="9231" max="9233" width="13.140625" style="575" customWidth="1"/>
    <col min="9234" max="9234" width="16.42578125" style="575" customWidth="1"/>
    <col min="9235" max="9235" width="13.140625" style="575" customWidth="1"/>
    <col min="9236" max="9236" width="15.28515625" style="575" customWidth="1"/>
    <col min="9237" max="9237" width="14" style="575" bestFit="1" customWidth="1"/>
    <col min="9238" max="9238" width="17.140625" style="575" customWidth="1"/>
    <col min="9239" max="9260" width="16.5703125" style="575" customWidth="1"/>
    <col min="9261" max="9261" width="20.140625" style="575" customWidth="1"/>
    <col min="9262" max="9262" width="13.28515625" style="575" customWidth="1"/>
    <col min="9263" max="9263" width="14.85546875" style="575" customWidth="1"/>
    <col min="9264" max="9264" width="13.85546875" style="575" customWidth="1"/>
    <col min="9265" max="9265" width="13.5703125" style="575" customWidth="1"/>
    <col min="9266" max="9266" width="13" style="575" customWidth="1"/>
    <col min="9267" max="9267" width="13.5703125" style="575" customWidth="1"/>
    <col min="9268" max="9268" width="7.7109375" style="575" bestFit="1" customWidth="1"/>
    <col min="9269" max="9438" width="9.140625" style="575"/>
    <col min="9439" max="9439" width="4.28515625" style="575" customWidth="1"/>
    <col min="9440" max="9440" width="10.140625" style="575" customWidth="1"/>
    <col min="9441" max="9441" width="8.85546875" style="575" customWidth="1"/>
    <col min="9442" max="9442" width="11.140625" style="575" customWidth="1"/>
    <col min="9443" max="9443" width="15" style="575" bestFit="1" customWidth="1"/>
    <col min="9444" max="9444" width="13.5703125" style="575" customWidth="1"/>
    <col min="9445" max="9445" width="11.42578125" style="575" bestFit="1" customWidth="1"/>
    <col min="9446" max="9446" width="11.28515625" style="575" customWidth="1"/>
    <col min="9447" max="9447" width="15.28515625" style="575" bestFit="1" customWidth="1"/>
    <col min="9448" max="9450" width="11.85546875" style="575" customWidth="1"/>
    <col min="9451" max="9451" width="19.140625" style="575" customWidth="1"/>
    <col min="9452" max="9452" width="15" style="575" customWidth="1"/>
    <col min="9453" max="9453" width="15.28515625" style="575" customWidth="1"/>
    <col min="9454" max="9456" width="18.85546875" style="575" customWidth="1"/>
    <col min="9457" max="9457" width="12.7109375" style="575" customWidth="1"/>
    <col min="9458" max="9458" width="13.7109375" style="575" customWidth="1"/>
    <col min="9459" max="9459" width="16.140625" style="575" customWidth="1"/>
    <col min="9460" max="9460" width="17" style="575" customWidth="1"/>
    <col min="9461" max="9461" width="15" style="575" customWidth="1"/>
    <col min="9462" max="9462" width="14.28515625" style="575" customWidth="1"/>
    <col min="9463" max="9463" width="14.85546875" style="575" customWidth="1"/>
    <col min="9464" max="9464" width="17.140625" style="575" customWidth="1"/>
    <col min="9465" max="9465" width="13.5703125" style="575" customWidth="1"/>
    <col min="9466" max="9467" width="14.85546875" style="575" customWidth="1"/>
    <col min="9468" max="9468" width="18.85546875" style="575" customWidth="1"/>
    <col min="9469" max="9469" width="19.42578125" style="575" customWidth="1"/>
    <col min="9470" max="9470" width="16.140625" style="575" customWidth="1"/>
    <col min="9471" max="9471" width="14.5703125" style="575" customWidth="1"/>
    <col min="9472" max="9472" width="20.28515625" style="575" customWidth="1"/>
    <col min="9473" max="9473" width="13.85546875" style="575" customWidth="1"/>
    <col min="9474" max="9474" width="19.140625" style="575" customWidth="1"/>
    <col min="9475" max="9475" width="19.7109375" style="575" customWidth="1"/>
    <col min="9476" max="9476" width="16.5703125" style="575" customWidth="1"/>
    <col min="9477" max="9477" width="19.140625" style="575" customWidth="1"/>
    <col min="9478" max="9480" width="16.5703125" style="575" customWidth="1"/>
    <col min="9481" max="9481" width="15.7109375" style="575" customWidth="1"/>
    <col min="9482" max="9482" width="19.42578125" style="575" customWidth="1"/>
    <col min="9483" max="9483" width="14.85546875" style="575" bestFit="1" customWidth="1"/>
    <col min="9484" max="9484" width="13.7109375" style="575" bestFit="1" customWidth="1"/>
    <col min="9485" max="9485" width="13" style="575" customWidth="1"/>
    <col min="9486" max="9486" width="18.42578125" style="575" customWidth="1"/>
    <col min="9487" max="9489" width="13.140625" style="575" customWidth="1"/>
    <col min="9490" max="9490" width="16.42578125" style="575" customWidth="1"/>
    <col min="9491" max="9491" width="13.140625" style="575" customWidth="1"/>
    <col min="9492" max="9492" width="15.28515625" style="575" customWidth="1"/>
    <col min="9493" max="9493" width="14" style="575" bestFit="1" customWidth="1"/>
    <col min="9494" max="9494" width="17.140625" style="575" customWidth="1"/>
    <col min="9495" max="9516" width="16.5703125" style="575" customWidth="1"/>
    <col min="9517" max="9517" width="20.140625" style="575" customWidth="1"/>
    <col min="9518" max="9518" width="13.28515625" style="575" customWidth="1"/>
    <col min="9519" max="9519" width="14.85546875" style="575" customWidth="1"/>
    <col min="9520" max="9520" width="13.85546875" style="575" customWidth="1"/>
    <col min="9521" max="9521" width="13.5703125" style="575" customWidth="1"/>
    <col min="9522" max="9522" width="13" style="575" customWidth="1"/>
    <col min="9523" max="9523" width="13.5703125" style="575" customWidth="1"/>
    <col min="9524" max="9524" width="7.7109375" style="575" bestFit="1" customWidth="1"/>
    <col min="9525" max="9694" width="9.140625" style="575"/>
    <col min="9695" max="9695" width="4.28515625" style="575" customWidth="1"/>
    <col min="9696" max="9696" width="10.140625" style="575" customWidth="1"/>
    <col min="9697" max="9697" width="8.85546875" style="575" customWidth="1"/>
    <col min="9698" max="9698" width="11.140625" style="575" customWidth="1"/>
    <col min="9699" max="9699" width="15" style="575" bestFit="1" customWidth="1"/>
    <col min="9700" max="9700" width="13.5703125" style="575" customWidth="1"/>
    <col min="9701" max="9701" width="11.42578125" style="575" bestFit="1" customWidth="1"/>
    <col min="9702" max="9702" width="11.28515625" style="575" customWidth="1"/>
    <col min="9703" max="9703" width="15.28515625" style="575" bestFit="1" customWidth="1"/>
    <col min="9704" max="9706" width="11.85546875" style="575" customWidth="1"/>
    <col min="9707" max="9707" width="19.140625" style="575" customWidth="1"/>
    <col min="9708" max="9708" width="15" style="575" customWidth="1"/>
    <col min="9709" max="9709" width="15.28515625" style="575" customWidth="1"/>
    <col min="9710" max="9712" width="18.85546875" style="575" customWidth="1"/>
    <col min="9713" max="9713" width="12.7109375" style="575" customWidth="1"/>
    <col min="9714" max="9714" width="13.7109375" style="575" customWidth="1"/>
    <col min="9715" max="9715" width="16.140625" style="575" customWidth="1"/>
    <col min="9716" max="9716" width="17" style="575" customWidth="1"/>
    <col min="9717" max="9717" width="15" style="575" customWidth="1"/>
    <col min="9718" max="9718" width="14.28515625" style="575" customWidth="1"/>
    <col min="9719" max="9719" width="14.85546875" style="575" customWidth="1"/>
    <col min="9720" max="9720" width="17.140625" style="575" customWidth="1"/>
    <col min="9721" max="9721" width="13.5703125" style="575" customWidth="1"/>
    <col min="9722" max="9723" width="14.85546875" style="575" customWidth="1"/>
    <col min="9724" max="9724" width="18.85546875" style="575" customWidth="1"/>
    <col min="9725" max="9725" width="19.42578125" style="575" customWidth="1"/>
    <col min="9726" max="9726" width="16.140625" style="575" customWidth="1"/>
    <col min="9727" max="9727" width="14.5703125" style="575" customWidth="1"/>
    <col min="9728" max="9728" width="20.28515625" style="575" customWidth="1"/>
    <col min="9729" max="9729" width="13.85546875" style="575" customWidth="1"/>
    <col min="9730" max="9730" width="19.140625" style="575" customWidth="1"/>
    <col min="9731" max="9731" width="19.7109375" style="575" customWidth="1"/>
    <col min="9732" max="9732" width="16.5703125" style="575" customWidth="1"/>
    <col min="9733" max="9733" width="19.140625" style="575" customWidth="1"/>
    <col min="9734" max="9736" width="16.5703125" style="575" customWidth="1"/>
    <col min="9737" max="9737" width="15.7109375" style="575" customWidth="1"/>
    <col min="9738" max="9738" width="19.42578125" style="575" customWidth="1"/>
    <col min="9739" max="9739" width="14.85546875" style="575" bestFit="1" customWidth="1"/>
    <col min="9740" max="9740" width="13.7109375" style="575" bestFit="1" customWidth="1"/>
    <col min="9741" max="9741" width="13" style="575" customWidth="1"/>
    <col min="9742" max="9742" width="18.42578125" style="575" customWidth="1"/>
    <col min="9743" max="9745" width="13.140625" style="575" customWidth="1"/>
    <col min="9746" max="9746" width="16.42578125" style="575" customWidth="1"/>
    <col min="9747" max="9747" width="13.140625" style="575" customWidth="1"/>
    <col min="9748" max="9748" width="15.28515625" style="575" customWidth="1"/>
    <col min="9749" max="9749" width="14" style="575" bestFit="1" customWidth="1"/>
    <col min="9750" max="9750" width="17.140625" style="575" customWidth="1"/>
    <col min="9751" max="9772" width="16.5703125" style="575" customWidth="1"/>
    <col min="9773" max="9773" width="20.140625" style="575" customWidth="1"/>
    <col min="9774" max="9774" width="13.28515625" style="575" customWidth="1"/>
    <col min="9775" max="9775" width="14.85546875" style="575" customWidth="1"/>
    <col min="9776" max="9776" width="13.85546875" style="575" customWidth="1"/>
    <col min="9777" max="9777" width="13.5703125" style="575" customWidth="1"/>
    <col min="9778" max="9778" width="13" style="575" customWidth="1"/>
    <col min="9779" max="9779" width="13.5703125" style="575" customWidth="1"/>
    <col min="9780" max="9780" width="7.7109375" style="575" bestFit="1" customWidth="1"/>
    <col min="9781" max="9950" width="9.140625" style="575"/>
    <col min="9951" max="9951" width="4.28515625" style="575" customWidth="1"/>
    <col min="9952" max="9952" width="10.140625" style="575" customWidth="1"/>
    <col min="9953" max="9953" width="8.85546875" style="575" customWidth="1"/>
    <col min="9954" max="9954" width="11.140625" style="575" customWidth="1"/>
    <col min="9955" max="9955" width="15" style="575" bestFit="1" customWidth="1"/>
    <col min="9956" max="9956" width="13.5703125" style="575" customWidth="1"/>
    <col min="9957" max="9957" width="11.42578125" style="575" bestFit="1" customWidth="1"/>
    <col min="9958" max="9958" width="11.28515625" style="575" customWidth="1"/>
    <col min="9959" max="9959" width="15.28515625" style="575" bestFit="1" customWidth="1"/>
    <col min="9960" max="9962" width="11.85546875" style="575" customWidth="1"/>
    <col min="9963" max="9963" width="19.140625" style="575" customWidth="1"/>
    <col min="9964" max="9964" width="15" style="575" customWidth="1"/>
    <col min="9965" max="9965" width="15.28515625" style="575" customWidth="1"/>
    <col min="9966" max="9968" width="18.85546875" style="575" customWidth="1"/>
    <col min="9969" max="9969" width="12.7109375" style="575" customWidth="1"/>
    <col min="9970" max="9970" width="13.7109375" style="575" customWidth="1"/>
    <col min="9971" max="9971" width="16.140625" style="575" customWidth="1"/>
    <col min="9972" max="9972" width="17" style="575" customWidth="1"/>
    <col min="9973" max="9973" width="15" style="575" customWidth="1"/>
    <col min="9974" max="9974" width="14.28515625" style="575" customWidth="1"/>
    <col min="9975" max="9975" width="14.85546875" style="575" customWidth="1"/>
    <col min="9976" max="9976" width="17.140625" style="575" customWidth="1"/>
    <col min="9977" max="9977" width="13.5703125" style="575" customWidth="1"/>
    <col min="9978" max="9979" width="14.85546875" style="575" customWidth="1"/>
    <col min="9980" max="9980" width="18.85546875" style="575" customWidth="1"/>
    <col min="9981" max="9981" width="19.42578125" style="575" customWidth="1"/>
    <col min="9982" max="9982" width="16.140625" style="575" customWidth="1"/>
    <col min="9983" max="9983" width="14.5703125" style="575" customWidth="1"/>
    <col min="9984" max="9984" width="20.28515625" style="575" customWidth="1"/>
    <col min="9985" max="9985" width="13.85546875" style="575" customWidth="1"/>
    <col min="9986" max="9986" width="19.140625" style="575" customWidth="1"/>
    <col min="9987" max="9987" width="19.7109375" style="575" customWidth="1"/>
    <col min="9988" max="9988" width="16.5703125" style="575" customWidth="1"/>
    <col min="9989" max="9989" width="19.140625" style="575" customWidth="1"/>
    <col min="9990" max="9992" width="16.5703125" style="575" customWidth="1"/>
    <col min="9993" max="9993" width="15.7109375" style="575" customWidth="1"/>
    <col min="9994" max="9994" width="19.42578125" style="575" customWidth="1"/>
    <col min="9995" max="9995" width="14.85546875" style="575" bestFit="1" customWidth="1"/>
    <col min="9996" max="9996" width="13.7109375" style="575" bestFit="1" customWidth="1"/>
    <col min="9997" max="9997" width="13" style="575" customWidth="1"/>
    <col min="9998" max="9998" width="18.42578125" style="575" customWidth="1"/>
    <col min="9999" max="10001" width="13.140625" style="575" customWidth="1"/>
    <col min="10002" max="10002" width="16.42578125" style="575" customWidth="1"/>
    <col min="10003" max="10003" width="13.140625" style="575" customWidth="1"/>
    <col min="10004" max="10004" width="15.28515625" style="575" customWidth="1"/>
    <col min="10005" max="10005" width="14" style="575" bestFit="1" customWidth="1"/>
    <col min="10006" max="10006" width="17.140625" style="575" customWidth="1"/>
    <col min="10007" max="10028" width="16.5703125" style="575" customWidth="1"/>
    <col min="10029" max="10029" width="20.140625" style="575" customWidth="1"/>
    <col min="10030" max="10030" width="13.28515625" style="575" customWidth="1"/>
    <col min="10031" max="10031" width="14.85546875" style="575" customWidth="1"/>
    <col min="10032" max="10032" width="13.85546875" style="575" customWidth="1"/>
    <col min="10033" max="10033" width="13.5703125" style="575" customWidth="1"/>
    <col min="10034" max="10034" width="13" style="575" customWidth="1"/>
    <col min="10035" max="10035" width="13.5703125" style="575" customWidth="1"/>
    <col min="10036" max="10036" width="7.7109375" style="575" bestFit="1" customWidth="1"/>
    <col min="10037" max="10206" width="9.140625" style="575"/>
    <col min="10207" max="10207" width="4.28515625" style="575" customWidth="1"/>
    <col min="10208" max="10208" width="10.140625" style="575" customWidth="1"/>
    <col min="10209" max="10209" width="8.85546875" style="575" customWidth="1"/>
    <col min="10210" max="10210" width="11.140625" style="575" customWidth="1"/>
    <col min="10211" max="10211" width="15" style="575" bestFit="1" customWidth="1"/>
    <col min="10212" max="10212" width="13.5703125" style="575" customWidth="1"/>
    <col min="10213" max="10213" width="11.42578125" style="575" bestFit="1" customWidth="1"/>
    <col min="10214" max="10214" width="11.28515625" style="575" customWidth="1"/>
    <col min="10215" max="10215" width="15.28515625" style="575" bestFit="1" customWidth="1"/>
    <col min="10216" max="10218" width="11.85546875" style="575" customWidth="1"/>
    <col min="10219" max="10219" width="19.140625" style="575" customWidth="1"/>
    <col min="10220" max="10220" width="15" style="575" customWidth="1"/>
    <col min="10221" max="10221" width="15.28515625" style="575" customWidth="1"/>
    <col min="10222" max="10224" width="18.85546875" style="575" customWidth="1"/>
    <col min="10225" max="10225" width="12.7109375" style="575" customWidth="1"/>
    <col min="10226" max="10226" width="13.7109375" style="575" customWidth="1"/>
    <col min="10227" max="10227" width="16.140625" style="575" customWidth="1"/>
    <col min="10228" max="10228" width="17" style="575" customWidth="1"/>
    <col min="10229" max="10229" width="15" style="575" customWidth="1"/>
    <col min="10230" max="10230" width="14.28515625" style="575" customWidth="1"/>
    <col min="10231" max="10231" width="14.85546875" style="575" customWidth="1"/>
    <col min="10232" max="10232" width="17.140625" style="575" customWidth="1"/>
    <col min="10233" max="10233" width="13.5703125" style="575" customWidth="1"/>
    <col min="10234" max="10235" width="14.85546875" style="575" customWidth="1"/>
    <col min="10236" max="10236" width="18.85546875" style="575" customWidth="1"/>
    <col min="10237" max="10237" width="19.42578125" style="575" customWidth="1"/>
    <col min="10238" max="10238" width="16.140625" style="575" customWidth="1"/>
    <col min="10239" max="10239" width="14.5703125" style="575" customWidth="1"/>
    <col min="10240" max="10240" width="20.28515625" style="575" customWidth="1"/>
    <col min="10241" max="10241" width="13.85546875" style="575" customWidth="1"/>
    <col min="10242" max="10242" width="19.140625" style="575" customWidth="1"/>
    <col min="10243" max="10243" width="19.7109375" style="575" customWidth="1"/>
    <col min="10244" max="10244" width="16.5703125" style="575" customWidth="1"/>
    <col min="10245" max="10245" width="19.140625" style="575" customWidth="1"/>
    <col min="10246" max="10248" width="16.5703125" style="575" customWidth="1"/>
    <col min="10249" max="10249" width="15.7109375" style="575" customWidth="1"/>
    <col min="10250" max="10250" width="19.42578125" style="575" customWidth="1"/>
    <col min="10251" max="10251" width="14.85546875" style="575" bestFit="1" customWidth="1"/>
    <col min="10252" max="10252" width="13.7109375" style="575" bestFit="1" customWidth="1"/>
    <col min="10253" max="10253" width="13" style="575" customWidth="1"/>
    <col min="10254" max="10254" width="18.42578125" style="575" customWidth="1"/>
    <col min="10255" max="10257" width="13.140625" style="575" customWidth="1"/>
    <col min="10258" max="10258" width="16.42578125" style="575" customWidth="1"/>
    <col min="10259" max="10259" width="13.140625" style="575" customWidth="1"/>
    <col min="10260" max="10260" width="15.28515625" style="575" customWidth="1"/>
    <col min="10261" max="10261" width="14" style="575" bestFit="1" customWidth="1"/>
    <col min="10262" max="10262" width="17.140625" style="575" customWidth="1"/>
    <col min="10263" max="10284" width="16.5703125" style="575" customWidth="1"/>
    <col min="10285" max="10285" width="20.140625" style="575" customWidth="1"/>
    <col min="10286" max="10286" width="13.28515625" style="575" customWidth="1"/>
    <col min="10287" max="10287" width="14.85546875" style="575" customWidth="1"/>
    <col min="10288" max="10288" width="13.85546875" style="575" customWidth="1"/>
    <col min="10289" max="10289" width="13.5703125" style="575" customWidth="1"/>
    <col min="10290" max="10290" width="13" style="575" customWidth="1"/>
    <col min="10291" max="10291" width="13.5703125" style="575" customWidth="1"/>
    <col min="10292" max="10292" width="7.7109375" style="575" bestFit="1" customWidth="1"/>
    <col min="10293" max="10462" width="9.140625" style="575"/>
    <col min="10463" max="10463" width="4.28515625" style="575" customWidth="1"/>
    <col min="10464" max="10464" width="10.140625" style="575" customWidth="1"/>
    <col min="10465" max="10465" width="8.85546875" style="575" customWidth="1"/>
    <col min="10466" max="10466" width="11.140625" style="575" customWidth="1"/>
    <col min="10467" max="10467" width="15" style="575" bestFit="1" customWidth="1"/>
    <col min="10468" max="10468" width="13.5703125" style="575" customWidth="1"/>
    <col min="10469" max="10469" width="11.42578125" style="575" bestFit="1" customWidth="1"/>
    <col min="10470" max="10470" width="11.28515625" style="575" customWidth="1"/>
    <col min="10471" max="10471" width="15.28515625" style="575" bestFit="1" customWidth="1"/>
    <col min="10472" max="10474" width="11.85546875" style="575" customWidth="1"/>
    <col min="10475" max="10475" width="19.140625" style="575" customWidth="1"/>
    <col min="10476" max="10476" width="15" style="575" customWidth="1"/>
    <col min="10477" max="10477" width="15.28515625" style="575" customWidth="1"/>
    <col min="10478" max="10480" width="18.85546875" style="575" customWidth="1"/>
    <col min="10481" max="10481" width="12.7109375" style="575" customWidth="1"/>
    <col min="10482" max="10482" width="13.7109375" style="575" customWidth="1"/>
    <col min="10483" max="10483" width="16.140625" style="575" customWidth="1"/>
    <col min="10484" max="10484" width="17" style="575" customWidth="1"/>
    <col min="10485" max="10485" width="15" style="575" customWidth="1"/>
    <col min="10486" max="10486" width="14.28515625" style="575" customWidth="1"/>
    <col min="10487" max="10487" width="14.85546875" style="575" customWidth="1"/>
    <col min="10488" max="10488" width="17.140625" style="575" customWidth="1"/>
    <col min="10489" max="10489" width="13.5703125" style="575" customWidth="1"/>
    <col min="10490" max="10491" width="14.85546875" style="575" customWidth="1"/>
    <col min="10492" max="10492" width="18.85546875" style="575" customWidth="1"/>
    <col min="10493" max="10493" width="19.42578125" style="575" customWidth="1"/>
    <col min="10494" max="10494" width="16.140625" style="575" customWidth="1"/>
    <col min="10495" max="10495" width="14.5703125" style="575" customWidth="1"/>
    <col min="10496" max="10496" width="20.28515625" style="575" customWidth="1"/>
    <col min="10497" max="10497" width="13.85546875" style="575" customWidth="1"/>
    <col min="10498" max="10498" width="19.140625" style="575" customWidth="1"/>
    <col min="10499" max="10499" width="19.7109375" style="575" customWidth="1"/>
    <col min="10500" max="10500" width="16.5703125" style="575" customWidth="1"/>
    <col min="10501" max="10501" width="19.140625" style="575" customWidth="1"/>
    <col min="10502" max="10504" width="16.5703125" style="575" customWidth="1"/>
    <col min="10505" max="10505" width="15.7109375" style="575" customWidth="1"/>
    <col min="10506" max="10506" width="19.42578125" style="575" customWidth="1"/>
    <col min="10507" max="10507" width="14.85546875" style="575" bestFit="1" customWidth="1"/>
    <col min="10508" max="10508" width="13.7109375" style="575" bestFit="1" customWidth="1"/>
    <col min="10509" max="10509" width="13" style="575" customWidth="1"/>
    <col min="10510" max="10510" width="18.42578125" style="575" customWidth="1"/>
    <col min="10511" max="10513" width="13.140625" style="575" customWidth="1"/>
    <col min="10514" max="10514" width="16.42578125" style="575" customWidth="1"/>
    <col min="10515" max="10515" width="13.140625" style="575" customWidth="1"/>
    <col min="10516" max="10516" width="15.28515625" style="575" customWidth="1"/>
    <col min="10517" max="10517" width="14" style="575" bestFit="1" customWidth="1"/>
    <col min="10518" max="10518" width="17.140625" style="575" customWidth="1"/>
    <col min="10519" max="10540" width="16.5703125" style="575" customWidth="1"/>
    <col min="10541" max="10541" width="20.140625" style="575" customWidth="1"/>
    <col min="10542" max="10542" width="13.28515625" style="575" customWidth="1"/>
    <col min="10543" max="10543" width="14.85546875" style="575" customWidth="1"/>
    <col min="10544" max="10544" width="13.85546875" style="575" customWidth="1"/>
    <col min="10545" max="10545" width="13.5703125" style="575" customWidth="1"/>
    <col min="10546" max="10546" width="13" style="575" customWidth="1"/>
    <col min="10547" max="10547" width="13.5703125" style="575" customWidth="1"/>
    <col min="10548" max="10548" width="7.7109375" style="575" bestFit="1" customWidth="1"/>
    <col min="10549" max="10718" width="9.140625" style="575"/>
    <col min="10719" max="10719" width="4.28515625" style="575" customWidth="1"/>
    <col min="10720" max="10720" width="10.140625" style="575" customWidth="1"/>
    <col min="10721" max="10721" width="8.85546875" style="575" customWidth="1"/>
    <col min="10722" max="10722" width="11.140625" style="575" customWidth="1"/>
    <col min="10723" max="10723" width="15" style="575" bestFit="1" customWidth="1"/>
    <col min="10724" max="10724" width="13.5703125" style="575" customWidth="1"/>
    <col min="10725" max="10725" width="11.42578125" style="575" bestFit="1" customWidth="1"/>
    <col min="10726" max="10726" width="11.28515625" style="575" customWidth="1"/>
    <col min="10727" max="10727" width="15.28515625" style="575" bestFit="1" customWidth="1"/>
    <col min="10728" max="10730" width="11.85546875" style="575" customWidth="1"/>
    <col min="10731" max="10731" width="19.140625" style="575" customWidth="1"/>
    <col min="10732" max="10732" width="15" style="575" customWidth="1"/>
    <col min="10733" max="10733" width="15.28515625" style="575" customWidth="1"/>
    <col min="10734" max="10736" width="18.85546875" style="575" customWidth="1"/>
    <col min="10737" max="10737" width="12.7109375" style="575" customWidth="1"/>
    <col min="10738" max="10738" width="13.7109375" style="575" customWidth="1"/>
    <col min="10739" max="10739" width="16.140625" style="575" customWidth="1"/>
    <col min="10740" max="10740" width="17" style="575" customWidth="1"/>
    <col min="10741" max="10741" width="15" style="575" customWidth="1"/>
    <col min="10742" max="10742" width="14.28515625" style="575" customWidth="1"/>
    <col min="10743" max="10743" width="14.85546875" style="575" customWidth="1"/>
    <col min="10744" max="10744" width="17.140625" style="575" customWidth="1"/>
    <col min="10745" max="10745" width="13.5703125" style="575" customWidth="1"/>
    <col min="10746" max="10747" width="14.85546875" style="575" customWidth="1"/>
    <col min="10748" max="10748" width="18.85546875" style="575" customWidth="1"/>
    <col min="10749" max="10749" width="19.42578125" style="575" customWidth="1"/>
    <col min="10750" max="10750" width="16.140625" style="575" customWidth="1"/>
    <col min="10751" max="10751" width="14.5703125" style="575" customWidth="1"/>
    <col min="10752" max="10752" width="20.28515625" style="575" customWidth="1"/>
    <col min="10753" max="10753" width="13.85546875" style="575" customWidth="1"/>
    <col min="10754" max="10754" width="19.140625" style="575" customWidth="1"/>
    <col min="10755" max="10755" width="19.7109375" style="575" customWidth="1"/>
    <col min="10756" max="10756" width="16.5703125" style="575" customWidth="1"/>
    <col min="10757" max="10757" width="19.140625" style="575" customWidth="1"/>
    <col min="10758" max="10760" width="16.5703125" style="575" customWidth="1"/>
    <col min="10761" max="10761" width="15.7109375" style="575" customWidth="1"/>
    <col min="10762" max="10762" width="19.42578125" style="575" customWidth="1"/>
    <col min="10763" max="10763" width="14.85546875" style="575" bestFit="1" customWidth="1"/>
    <col min="10764" max="10764" width="13.7109375" style="575" bestFit="1" customWidth="1"/>
    <col min="10765" max="10765" width="13" style="575" customWidth="1"/>
    <col min="10766" max="10766" width="18.42578125" style="575" customWidth="1"/>
    <col min="10767" max="10769" width="13.140625" style="575" customWidth="1"/>
    <col min="10770" max="10770" width="16.42578125" style="575" customWidth="1"/>
    <col min="10771" max="10771" width="13.140625" style="575" customWidth="1"/>
    <col min="10772" max="10772" width="15.28515625" style="575" customWidth="1"/>
    <col min="10773" max="10773" width="14" style="575" bestFit="1" customWidth="1"/>
    <col min="10774" max="10774" width="17.140625" style="575" customWidth="1"/>
    <col min="10775" max="10796" width="16.5703125" style="575" customWidth="1"/>
    <col min="10797" max="10797" width="20.140625" style="575" customWidth="1"/>
    <col min="10798" max="10798" width="13.28515625" style="575" customWidth="1"/>
    <col min="10799" max="10799" width="14.85546875" style="575" customWidth="1"/>
    <col min="10800" max="10800" width="13.85546875" style="575" customWidth="1"/>
    <col min="10801" max="10801" width="13.5703125" style="575" customWidth="1"/>
    <col min="10802" max="10802" width="13" style="575" customWidth="1"/>
    <col min="10803" max="10803" width="13.5703125" style="575" customWidth="1"/>
    <col min="10804" max="10804" width="7.7109375" style="575" bestFit="1" customWidth="1"/>
    <col min="10805" max="10974" width="9.140625" style="575"/>
    <col min="10975" max="10975" width="4.28515625" style="575" customWidth="1"/>
    <col min="10976" max="10976" width="10.140625" style="575" customWidth="1"/>
    <col min="10977" max="10977" width="8.85546875" style="575" customWidth="1"/>
    <col min="10978" max="10978" width="11.140625" style="575" customWidth="1"/>
    <col min="10979" max="10979" width="15" style="575" bestFit="1" customWidth="1"/>
    <col min="10980" max="10980" width="13.5703125" style="575" customWidth="1"/>
    <col min="10981" max="10981" width="11.42578125" style="575" bestFit="1" customWidth="1"/>
    <col min="10982" max="10982" width="11.28515625" style="575" customWidth="1"/>
    <col min="10983" max="10983" width="15.28515625" style="575" bestFit="1" customWidth="1"/>
    <col min="10984" max="10986" width="11.85546875" style="575" customWidth="1"/>
    <col min="10987" max="10987" width="19.140625" style="575" customWidth="1"/>
    <col min="10988" max="10988" width="15" style="575" customWidth="1"/>
    <col min="10989" max="10989" width="15.28515625" style="575" customWidth="1"/>
    <col min="10990" max="10992" width="18.85546875" style="575" customWidth="1"/>
    <col min="10993" max="10993" width="12.7109375" style="575" customWidth="1"/>
    <col min="10994" max="10994" width="13.7109375" style="575" customWidth="1"/>
    <col min="10995" max="10995" width="16.140625" style="575" customWidth="1"/>
    <col min="10996" max="10996" width="17" style="575" customWidth="1"/>
    <col min="10997" max="10997" width="15" style="575" customWidth="1"/>
    <col min="10998" max="10998" width="14.28515625" style="575" customWidth="1"/>
    <col min="10999" max="10999" width="14.85546875" style="575" customWidth="1"/>
    <col min="11000" max="11000" width="17.140625" style="575" customWidth="1"/>
    <col min="11001" max="11001" width="13.5703125" style="575" customWidth="1"/>
    <col min="11002" max="11003" width="14.85546875" style="575" customWidth="1"/>
    <col min="11004" max="11004" width="18.85546875" style="575" customWidth="1"/>
    <col min="11005" max="11005" width="19.42578125" style="575" customWidth="1"/>
    <col min="11006" max="11006" width="16.140625" style="575" customWidth="1"/>
    <col min="11007" max="11007" width="14.5703125" style="575" customWidth="1"/>
    <col min="11008" max="11008" width="20.28515625" style="575" customWidth="1"/>
    <col min="11009" max="11009" width="13.85546875" style="575" customWidth="1"/>
    <col min="11010" max="11010" width="19.140625" style="575" customWidth="1"/>
    <col min="11011" max="11011" width="19.7109375" style="575" customWidth="1"/>
    <col min="11012" max="11012" width="16.5703125" style="575" customWidth="1"/>
    <col min="11013" max="11013" width="19.140625" style="575" customWidth="1"/>
    <col min="11014" max="11016" width="16.5703125" style="575" customWidth="1"/>
    <col min="11017" max="11017" width="15.7109375" style="575" customWidth="1"/>
    <col min="11018" max="11018" width="19.42578125" style="575" customWidth="1"/>
    <col min="11019" max="11019" width="14.85546875" style="575" bestFit="1" customWidth="1"/>
    <col min="11020" max="11020" width="13.7109375" style="575" bestFit="1" customWidth="1"/>
    <col min="11021" max="11021" width="13" style="575" customWidth="1"/>
    <col min="11022" max="11022" width="18.42578125" style="575" customWidth="1"/>
    <col min="11023" max="11025" width="13.140625" style="575" customWidth="1"/>
    <col min="11026" max="11026" width="16.42578125" style="575" customWidth="1"/>
    <col min="11027" max="11027" width="13.140625" style="575" customWidth="1"/>
    <col min="11028" max="11028" width="15.28515625" style="575" customWidth="1"/>
    <col min="11029" max="11029" width="14" style="575" bestFit="1" customWidth="1"/>
    <col min="11030" max="11030" width="17.140625" style="575" customWidth="1"/>
    <col min="11031" max="11052" width="16.5703125" style="575" customWidth="1"/>
    <col min="11053" max="11053" width="20.140625" style="575" customWidth="1"/>
    <col min="11054" max="11054" width="13.28515625" style="575" customWidth="1"/>
    <col min="11055" max="11055" width="14.85546875" style="575" customWidth="1"/>
    <col min="11056" max="11056" width="13.85546875" style="575" customWidth="1"/>
    <col min="11057" max="11057" width="13.5703125" style="575" customWidth="1"/>
    <col min="11058" max="11058" width="13" style="575" customWidth="1"/>
    <col min="11059" max="11059" width="13.5703125" style="575" customWidth="1"/>
    <col min="11060" max="11060" width="7.7109375" style="575" bestFit="1" customWidth="1"/>
    <col min="11061" max="11230" width="9.140625" style="575"/>
    <col min="11231" max="11231" width="4.28515625" style="575" customWidth="1"/>
    <col min="11232" max="11232" width="10.140625" style="575" customWidth="1"/>
    <col min="11233" max="11233" width="8.85546875" style="575" customWidth="1"/>
    <col min="11234" max="11234" width="11.140625" style="575" customWidth="1"/>
    <col min="11235" max="11235" width="15" style="575" bestFit="1" customWidth="1"/>
    <col min="11236" max="11236" width="13.5703125" style="575" customWidth="1"/>
    <col min="11237" max="11237" width="11.42578125" style="575" bestFit="1" customWidth="1"/>
    <col min="11238" max="11238" width="11.28515625" style="575" customWidth="1"/>
    <col min="11239" max="11239" width="15.28515625" style="575" bestFit="1" customWidth="1"/>
    <col min="11240" max="11242" width="11.85546875" style="575" customWidth="1"/>
    <col min="11243" max="11243" width="19.140625" style="575" customWidth="1"/>
    <col min="11244" max="11244" width="15" style="575" customWidth="1"/>
    <col min="11245" max="11245" width="15.28515625" style="575" customWidth="1"/>
    <col min="11246" max="11248" width="18.85546875" style="575" customWidth="1"/>
    <col min="11249" max="11249" width="12.7109375" style="575" customWidth="1"/>
    <col min="11250" max="11250" width="13.7109375" style="575" customWidth="1"/>
    <col min="11251" max="11251" width="16.140625" style="575" customWidth="1"/>
    <col min="11252" max="11252" width="17" style="575" customWidth="1"/>
    <col min="11253" max="11253" width="15" style="575" customWidth="1"/>
    <col min="11254" max="11254" width="14.28515625" style="575" customWidth="1"/>
    <col min="11255" max="11255" width="14.85546875" style="575" customWidth="1"/>
    <col min="11256" max="11256" width="17.140625" style="575" customWidth="1"/>
    <col min="11257" max="11257" width="13.5703125" style="575" customWidth="1"/>
    <col min="11258" max="11259" width="14.85546875" style="575" customWidth="1"/>
    <col min="11260" max="11260" width="18.85546875" style="575" customWidth="1"/>
    <col min="11261" max="11261" width="19.42578125" style="575" customWidth="1"/>
    <col min="11262" max="11262" width="16.140625" style="575" customWidth="1"/>
    <col min="11263" max="11263" width="14.5703125" style="575" customWidth="1"/>
    <col min="11264" max="11264" width="20.28515625" style="575" customWidth="1"/>
    <col min="11265" max="11265" width="13.85546875" style="575" customWidth="1"/>
    <col min="11266" max="11266" width="19.140625" style="575" customWidth="1"/>
    <col min="11267" max="11267" width="19.7109375" style="575" customWidth="1"/>
    <col min="11268" max="11268" width="16.5703125" style="575" customWidth="1"/>
    <col min="11269" max="11269" width="19.140625" style="575" customWidth="1"/>
    <col min="11270" max="11272" width="16.5703125" style="575" customWidth="1"/>
    <col min="11273" max="11273" width="15.7109375" style="575" customWidth="1"/>
    <col min="11274" max="11274" width="19.42578125" style="575" customWidth="1"/>
    <col min="11275" max="11275" width="14.85546875" style="575" bestFit="1" customWidth="1"/>
    <col min="11276" max="11276" width="13.7109375" style="575" bestFit="1" customWidth="1"/>
    <col min="11277" max="11277" width="13" style="575" customWidth="1"/>
    <col min="11278" max="11278" width="18.42578125" style="575" customWidth="1"/>
    <col min="11279" max="11281" width="13.140625" style="575" customWidth="1"/>
    <col min="11282" max="11282" width="16.42578125" style="575" customWidth="1"/>
    <col min="11283" max="11283" width="13.140625" style="575" customWidth="1"/>
    <col min="11284" max="11284" width="15.28515625" style="575" customWidth="1"/>
    <col min="11285" max="11285" width="14" style="575" bestFit="1" customWidth="1"/>
    <col min="11286" max="11286" width="17.140625" style="575" customWidth="1"/>
    <col min="11287" max="11308" width="16.5703125" style="575" customWidth="1"/>
    <col min="11309" max="11309" width="20.140625" style="575" customWidth="1"/>
    <col min="11310" max="11310" width="13.28515625" style="575" customWidth="1"/>
    <col min="11311" max="11311" width="14.85546875" style="575" customWidth="1"/>
    <col min="11312" max="11312" width="13.85546875" style="575" customWidth="1"/>
    <col min="11313" max="11313" width="13.5703125" style="575" customWidth="1"/>
    <col min="11314" max="11314" width="13" style="575" customWidth="1"/>
    <col min="11315" max="11315" width="13.5703125" style="575" customWidth="1"/>
    <col min="11316" max="11316" width="7.7109375" style="575" bestFit="1" customWidth="1"/>
    <col min="11317" max="11486" width="9.140625" style="575"/>
    <col min="11487" max="11487" width="4.28515625" style="575" customWidth="1"/>
    <col min="11488" max="11488" width="10.140625" style="575" customWidth="1"/>
    <col min="11489" max="11489" width="8.85546875" style="575" customWidth="1"/>
    <col min="11490" max="11490" width="11.140625" style="575" customWidth="1"/>
    <col min="11491" max="11491" width="15" style="575" bestFit="1" customWidth="1"/>
    <col min="11492" max="11492" width="13.5703125" style="575" customWidth="1"/>
    <col min="11493" max="11493" width="11.42578125" style="575" bestFit="1" customWidth="1"/>
    <col min="11494" max="11494" width="11.28515625" style="575" customWidth="1"/>
    <col min="11495" max="11495" width="15.28515625" style="575" bestFit="1" customWidth="1"/>
    <col min="11496" max="11498" width="11.85546875" style="575" customWidth="1"/>
    <col min="11499" max="11499" width="19.140625" style="575" customWidth="1"/>
    <col min="11500" max="11500" width="15" style="575" customWidth="1"/>
    <col min="11501" max="11501" width="15.28515625" style="575" customWidth="1"/>
    <col min="11502" max="11504" width="18.85546875" style="575" customWidth="1"/>
    <col min="11505" max="11505" width="12.7109375" style="575" customWidth="1"/>
    <col min="11506" max="11506" width="13.7109375" style="575" customWidth="1"/>
    <col min="11507" max="11507" width="16.140625" style="575" customWidth="1"/>
    <col min="11508" max="11508" width="17" style="575" customWidth="1"/>
    <col min="11509" max="11509" width="15" style="575" customWidth="1"/>
    <col min="11510" max="11510" width="14.28515625" style="575" customWidth="1"/>
    <col min="11511" max="11511" width="14.85546875" style="575" customWidth="1"/>
    <col min="11512" max="11512" width="17.140625" style="575" customWidth="1"/>
    <col min="11513" max="11513" width="13.5703125" style="575" customWidth="1"/>
    <col min="11514" max="11515" width="14.85546875" style="575" customWidth="1"/>
    <col min="11516" max="11516" width="18.85546875" style="575" customWidth="1"/>
    <col min="11517" max="11517" width="19.42578125" style="575" customWidth="1"/>
    <col min="11518" max="11518" width="16.140625" style="575" customWidth="1"/>
    <col min="11519" max="11519" width="14.5703125" style="575" customWidth="1"/>
    <col min="11520" max="11520" width="20.28515625" style="575" customWidth="1"/>
    <col min="11521" max="11521" width="13.85546875" style="575" customWidth="1"/>
    <col min="11522" max="11522" width="19.140625" style="575" customWidth="1"/>
    <col min="11523" max="11523" width="19.7109375" style="575" customWidth="1"/>
    <col min="11524" max="11524" width="16.5703125" style="575" customWidth="1"/>
    <col min="11525" max="11525" width="19.140625" style="575" customWidth="1"/>
    <col min="11526" max="11528" width="16.5703125" style="575" customWidth="1"/>
    <col min="11529" max="11529" width="15.7109375" style="575" customWidth="1"/>
    <col min="11530" max="11530" width="19.42578125" style="575" customWidth="1"/>
    <col min="11531" max="11531" width="14.85546875" style="575" bestFit="1" customWidth="1"/>
    <col min="11532" max="11532" width="13.7109375" style="575" bestFit="1" customWidth="1"/>
    <col min="11533" max="11533" width="13" style="575" customWidth="1"/>
    <col min="11534" max="11534" width="18.42578125" style="575" customWidth="1"/>
    <col min="11535" max="11537" width="13.140625" style="575" customWidth="1"/>
    <col min="11538" max="11538" width="16.42578125" style="575" customWidth="1"/>
    <col min="11539" max="11539" width="13.140625" style="575" customWidth="1"/>
    <col min="11540" max="11540" width="15.28515625" style="575" customWidth="1"/>
    <col min="11541" max="11541" width="14" style="575" bestFit="1" customWidth="1"/>
    <col min="11542" max="11542" width="17.140625" style="575" customWidth="1"/>
    <col min="11543" max="11564" width="16.5703125" style="575" customWidth="1"/>
    <col min="11565" max="11565" width="20.140625" style="575" customWidth="1"/>
    <col min="11566" max="11566" width="13.28515625" style="575" customWidth="1"/>
    <col min="11567" max="11567" width="14.85546875" style="575" customWidth="1"/>
    <col min="11568" max="11568" width="13.85546875" style="575" customWidth="1"/>
    <col min="11569" max="11569" width="13.5703125" style="575" customWidth="1"/>
    <col min="11570" max="11570" width="13" style="575" customWidth="1"/>
    <col min="11571" max="11571" width="13.5703125" style="575" customWidth="1"/>
    <col min="11572" max="11572" width="7.7109375" style="575" bestFit="1" customWidth="1"/>
    <col min="11573" max="11742" width="9.140625" style="575"/>
    <col min="11743" max="11743" width="4.28515625" style="575" customWidth="1"/>
    <col min="11744" max="11744" width="10.140625" style="575" customWidth="1"/>
    <col min="11745" max="11745" width="8.85546875" style="575" customWidth="1"/>
    <col min="11746" max="11746" width="11.140625" style="575" customWidth="1"/>
    <col min="11747" max="11747" width="15" style="575" bestFit="1" customWidth="1"/>
    <col min="11748" max="11748" width="13.5703125" style="575" customWidth="1"/>
    <col min="11749" max="11749" width="11.42578125" style="575" bestFit="1" customWidth="1"/>
    <col min="11750" max="11750" width="11.28515625" style="575" customWidth="1"/>
    <col min="11751" max="11751" width="15.28515625" style="575" bestFit="1" customWidth="1"/>
    <col min="11752" max="11754" width="11.85546875" style="575" customWidth="1"/>
    <col min="11755" max="11755" width="19.140625" style="575" customWidth="1"/>
    <col min="11756" max="11756" width="15" style="575" customWidth="1"/>
    <col min="11757" max="11757" width="15.28515625" style="575" customWidth="1"/>
    <col min="11758" max="11760" width="18.85546875" style="575" customWidth="1"/>
    <col min="11761" max="11761" width="12.7109375" style="575" customWidth="1"/>
    <col min="11762" max="11762" width="13.7109375" style="575" customWidth="1"/>
    <col min="11763" max="11763" width="16.140625" style="575" customWidth="1"/>
    <col min="11764" max="11764" width="17" style="575" customWidth="1"/>
    <col min="11765" max="11765" width="15" style="575" customWidth="1"/>
    <col min="11766" max="11766" width="14.28515625" style="575" customWidth="1"/>
    <col min="11767" max="11767" width="14.85546875" style="575" customWidth="1"/>
    <col min="11768" max="11768" width="17.140625" style="575" customWidth="1"/>
    <col min="11769" max="11769" width="13.5703125" style="575" customWidth="1"/>
    <col min="11770" max="11771" width="14.85546875" style="575" customWidth="1"/>
    <col min="11772" max="11772" width="18.85546875" style="575" customWidth="1"/>
    <col min="11773" max="11773" width="19.42578125" style="575" customWidth="1"/>
    <col min="11774" max="11774" width="16.140625" style="575" customWidth="1"/>
    <col min="11775" max="11775" width="14.5703125" style="575" customWidth="1"/>
    <col min="11776" max="11776" width="20.28515625" style="575" customWidth="1"/>
    <col min="11777" max="11777" width="13.85546875" style="575" customWidth="1"/>
    <col min="11778" max="11778" width="19.140625" style="575" customWidth="1"/>
    <col min="11779" max="11779" width="19.7109375" style="575" customWidth="1"/>
    <col min="11780" max="11780" width="16.5703125" style="575" customWidth="1"/>
    <col min="11781" max="11781" width="19.140625" style="575" customWidth="1"/>
    <col min="11782" max="11784" width="16.5703125" style="575" customWidth="1"/>
    <col min="11785" max="11785" width="15.7109375" style="575" customWidth="1"/>
    <col min="11786" max="11786" width="19.42578125" style="575" customWidth="1"/>
    <col min="11787" max="11787" width="14.85546875" style="575" bestFit="1" customWidth="1"/>
    <col min="11788" max="11788" width="13.7109375" style="575" bestFit="1" customWidth="1"/>
    <col min="11789" max="11789" width="13" style="575" customWidth="1"/>
    <col min="11790" max="11790" width="18.42578125" style="575" customWidth="1"/>
    <col min="11791" max="11793" width="13.140625" style="575" customWidth="1"/>
    <col min="11794" max="11794" width="16.42578125" style="575" customWidth="1"/>
    <col min="11795" max="11795" width="13.140625" style="575" customWidth="1"/>
    <col min="11796" max="11796" width="15.28515625" style="575" customWidth="1"/>
    <col min="11797" max="11797" width="14" style="575" bestFit="1" customWidth="1"/>
    <col min="11798" max="11798" width="17.140625" style="575" customWidth="1"/>
    <col min="11799" max="11820" width="16.5703125" style="575" customWidth="1"/>
    <col min="11821" max="11821" width="20.140625" style="575" customWidth="1"/>
    <col min="11822" max="11822" width="13.28515625" style="575" customWidth="1"/>
    <col min="11823" max="11823" width="14.85546875" style="575" customWidth="1"/>
    <col min="11824" max="11824" width="13.85546875" style="575" customWidth="1"/>
    <col min="11825" max="11825" width="13.5703125" style="575" customWidth="1"/>
    <col min="11826" max="11826" width="13" style="575" customWidth="1"/>
    <col min="11827" max="11827" width="13.5703125" style="575" customWidth="1"/>
    <col min="11828" max="11828" width="7.7109375" style="575" bestFit="1" customWidth="1"/>
    <col min="11829" max="11998" width="9.140625" style="575"/>
    <col min="11999" max="11999" width="4.28515625" style="575" customWidth="1"/>
    <col min="12000" max="12000" width="10.140625" style="575" customWidth="1"/>
    <col min="12001" max="12001" width="8.85546875" style="575" customWidth="1"/>
    <col min="12002" max="12002" width="11.140625" style="575" customWidth="1"/>
    <col min="12003" max="12003" width="15" style="575" bestFit="1" customWidth="1"/>
    <col min="12004" max="12004" width="13.5703125" style="575" customWidth="1"/>
    <col min="12005" max="12005" width="11.42578125" style="575" bestFit="1" customWidth="1"/>
    <col min="12006" max="12006" width="11.28515625" style="575" customWidth="1"/>
    <col min="12007" max="12007" width="15.28515625" style="575" bestFit="1" customWidth="1"/>
    <col min="12008" max="12010" width="11.85546875" style="575" customWidth="1"/>
    <col min="12011" max="12011" width="19.140625" style="575" customWidth="1"/>
    <col min="12012" max="12012" width="15" style="575" customWidth="1"/>
    <col min="12013" max="12013" width="15.28515625" style="575" customWidth="1"/>
    <col min="12014" max="12016" width="18.85546875" style="575" customWidth="1"/>
    <col min="12017" max="12017" width="12.7109375" style="575" customWidth="1"/>
    <col min="12018" max="12018" width="13.7109375" style="575" customWidth="1"/>
    <col min="12019" max="12019" width="16.140625" style="575" customWidth="1"/>
    <col min="12020" max="12020" width="17" style="575" customWidth="1"/>
    <col min="12021" max="12021" width="15" style="575" customWidth="1"/>
    <col min="12022" max="12022" width="14.28515625" style="575" customWidth="1"/>
    <col min="12023" max="12023" width="14.85546875" style="575" customWidth="1"/>
    <col min="12024" max="12024" width="17.140625" style="575" customWidth="1"/>
    <col min="12025" max="12025" width="13.5703125" style="575" customWidth="1"/>
    <col min="12026" max="12027" width="14.85546875" style="575" customWidth="1"/>
    <col min="12028" max="12028" width="18.85546875" style="575" customWidth="1"/>
    <col min="12029" max="12029" width="19.42578125" style="575" customWidth="1"/>
    <col min="12030" max="12030" width="16.140625" style="575" customWidth="1"/>
    <col min="12031" max="12031" width="14.5703125" style="575" customWidth="1"/>
    <col min="12032" max="12032" width="20.28515625" style="575" customWidth="1"/>
    <col min="12033" max="12033" width="13.85546875" style="575" customWidth="1"/>
    <col min="12034" max="12034" width="19.140625" style="575" customWidth="1"/>
    <col min="12035" max="12035" width="19.7109375" style="575" customWidth="1"/>
    <col min="12036" max="12036" width="16.5703125" style="575" customWidth="1"/>
    <col min="12037" max="12037" width="19.140625" style="575" customWidth="1"/>
    <col min="12038" max="12040" width="16.5703125" style="575" customWidth="1"/>
    <col min="12041" max="12041" width="15.7109375" style="575" customWidth="1"/>
    <col min="12042" max="12042" width="19.42578125" style="575" customWidth="1"/>
    <col min="12043" max="12043" width="14.85546875" style="575" bestFit="1" customWidth="1"/>
    <col min="12044" max="12044" width="13.7109375" style="575" bestFit="1" customWidth="1"/>
    <col min="12045" max="12045" width="13" style="575" customWidth="1"/>
    <col min="12046" max="12046" width="18.42578125" style="575" customWidth="1"/>
    <col min="12047" max="12049" width="13.140625" style="575" customWidth="1"/>
    <col min="12050" max="12050" width="16.42578125" style="575" customWidth="1"/>
    <col min="12051" max="12051" width="13.140625" style="575" customWidth="1"/>
    <col min="12052" max="12052" width="15.28515625" style="575" customWidth="1"/>
    <col min="12053" max="12053" width="14" style="575" bestFit="1" customWidth="1"/>
    <col min="12054" max="12054" width="17.140625" style="575" customWidth="1"/>
    <col min="12055" max="12076" width="16.5703125" style="575" customWidth="1"/>
    <col min="12077" max="12077" width="20.140625" style="575" customWidth="1"/>
    <col min="12078" max="12078" width="13.28515625" style="575" customWidth="1"/>
    <col min="12079" max="12079" width="14.85546875" style="575" customWidth="1"/>
    <col min="12080" max="12080" width="13.85546875" style="575" customWidth="1"/>
    <col min="12081" max="12081" width="13.5703125" style="575" customWidth="1"/>
    <col min="12082" max="12082" width="13" style="575" customWidth="1"/>
    <col min="12083" max="12083" width="13.5703125" style="575" customWidth="1"/>
    <col min="12084" max="12084" width="7.7109375" style="575" bestFit="1" customWidth="1"/>
    <col min="12085" max="12254" width="9.140625" style="575"/>
    <col min="12255" max="12255" width="4.28515625" style="575" customWidth="1"/>
    <col min="12256" max="12256" width="10.140625" style="575" customWidth="1"/>
    <col min="12257" max="12257" width="8.85546875" style="575" customWidth="1"/>
    <col min="12258" max="12258" width="11.140625" style="575" customWidth="1"/>
    <col min="12259" max="12259" width="15" style="575" bestFit="1" customWidth="1"/>
    <col min="12260" max="12260" width="13.5703125" style="575" customWidth="1"/>
    <col min="12261" max="12261" width="11.42578125" style="575" bestFit="1" customWidth="1"/>
    <col min="12262" max="12262" width="11.28515625" style="575" customWidth="1"/>
    <col min="12263" max="12263" width="15.28515625" style="575" bestFit="1" customWidth="1"/>
    <col min="12264" max="12266" width="11.85546875" style="575" customWidth="1"/>
    <col min="12267" max="12267" width="19.140625" style="575" customWidth="1"/>
    <col min="12268" max="12268" width="15" style="575" customWidth="1"/>
    <col min="12269" max="12269" width="15.28515625" style="575" customWidth="1"/>
    <col min="12270" max="12272" width="18.85546875" style="575" customWidth="1"/>
    <col min="12273" max="12273" width="12.7109375" style="575" customWidth="1"/>
    <col min="12274" max="12274" width="13.7109375" style="575" customWidth="1"/>
    <col min="12275" max="12275" width="16.140625" style="575" customWidth="1"/>
    <col min="12276" max="12276" width="17" style="575" customWidth="1"/>
    <col min="12277" max="12277" width="15" style="575" customWidth="1"/>
    <col min="12278" max="12278" width="14.28515625" style="575" customWidth="1"/>
    <col min="12279" max="12279" width="14.85546875" style="575" customWidth="1"/>
    <col min="12280" max="12280" width="17.140625" style="575" customWidth="1"/>
    <col min="12281" max="12281" width="13.5703125" style="575" customWidth="1"/>
    <col min="12282" max="12283" width="14.85546875" style="575" customWidth="1"/>
    <col min="12284" max="12284" width="18.85546875" style="575" customWidth="1"/>
    <col min="12285" max="12285" width="19.42578125" style="575" customWidth="1"/>
    <col min="12286" max="12286" width="16.140625" style="575" customWidth="1"/>
    <col min="12287" max="12287" width="14.5703125" style="575" customWidth="1"/>
    <col min="12288" max="12288" width="20.28515625" style="575" customWidth="1"/>
    <col min="12289" max="12289" width="13.85546875" style="575" customWidth="1"/>
    <col min="12290" max="12290" width="19.140625" style="575" customWidth="1"/>
    <col min="12291" max="12291" width="19.7109375" style="575" customWidth="1"/>
    <col min="12292" max="12292" width="16.5703125" style="575" customWidth="1"/>
    <col min="12293" max="12293" width="19.140625" style="575" customWidth="1"/>
    <col min="12294" max="12296" width="16.5703125" style="575" customWidth="1"/>
    <col min="12297" max="12297" width="15.7109375" style="575" customWidth="1"/>
    <col min="12298" max="12298" width="19.42578125" style="575" customWidth="1"/>
    <col min="12299" max="12299" width="14.85546875" style="575" bestFit="1" customWidth="1"/>
    <col min="12300" max="12300" width="13.7109375" style="575" bestFit="1" customWidth="1"/>
    <col min="12301" max="12301" width="13" style="575" customWidth="1"/>
    <col min="12302" max="12302" width="18.42578125" style="575" customWidth="1"/>
    <col min="12303" max="12305" width="13.140625" style="575" customWidth="1"/>
    <col min="12306" max="12306" width="16.42578125" style="575" customWidth="1"/>
    <col min="12307" max="12307" width="13.140625" style="575" customWidth="1"/>
    <col min="12308" max="12308" width="15.28515625" style="575" customWidth="1"/>
    <col min="12309" max="12309" width="14" style="575" bestFit="1" customWidth="1"/>
    <col min="12310" max="12310" width="17.140625" style="575" customWidth="1"/>
    <col min="12311" max="12332" width="16.5703125" style="575" customWidth="1"/>
    <col min="12333" max="12333" width="20.140625" style="575" customWidth="1"/>
    <col min="12334" max="12334" width="13.28515625" style="575" customWidth="1"/>
    <col min="12335" max="12335" width="14.85546875" style="575" customWidth="1"/>
    <col min="12336" max="12336" width="13.85546875" style="575" customWidth="1"/>
    <col min="12337" max="12337" width="13.5703125" style="575" customWidth="1"/>
    <col min="12338" max="12338" width="13" style="575" customWidth="1"/>
    <col min="12339" max="12339" width="13.5703125" style="575" customWidth="1"/>
    <col min="12340" max="12340" width="7.7109375" style="575" bestFit="1" customWidth="1"/>
    <col min="12341" max="12510" width="9.140625" style="575"/>
    <col min="12511" max="12511" width="4.28515625" style="575" customWidth="1"/>
    <col min="12512" max="12512" width="10.140625" style="575" customWidth="1"/>
    <col min="12513" max="12513" width="8.85546875" style="575" customWidth="1"/>
    <col min="12514" max="12514" width="11.140625" style="575" customWidth="1"/>
    <col min="12515" max="12515" width="15" style="575" bestFit="1" customWidth="1"/>
    <col min="12516" max="12516" width="13.5703125" style="575" customWidth="1"/>
    <col min="12517" max="12517" width="11.42578125" style="575" bestFit="1" customWidth="1"/>
    <col min="12518" max="12518" width="11.28515625" style="575" customWidth="1"/>
    <col min="12519" max="12519" width="15.28515625" style="575" bestFit="1" customWidth="1"/>
    <col min="12520" max="12522" width="11.85546875" style="575" customWidth="1"/>
    <col min="12523" max="12523" width="19.140625" style="575" customWidth="1"/>
    <col min="12524" max="12524" width="15" style="575" customWidth="1"/>
    <col min="12525" max="12525" width="15.28515625" style="575" customWidth="1"/>
    <col min="12526" max="12528" width="18.85546875" style="575" customWidth="1"/>
    <col min="12529" max="12529" width="12.7109375" style="575" customWidth="1"/>
    <col min="12530" max="12530" width="13.7109375" style="575" customWidth="1"/>
    <col min="12531" max="12531" width="16.140625" style="575" customWidth="1"/>
    <col min="12532" max="12532" width="17" style="575" customWidth="1"/>
    <col min="12533" max="12533" width="15" style="575" customWidth="1"/>
    <col min="12534" max="12534" width="14.28515625" style="575" customWidth="1"/>
    <col min="12535" max="12535" width="14.85546875" style="575" customWidth="1"/>
    <col min="12536" max="12536" width="17.140625" style="575" customWidth="1"/>
    <col min="12537" max="12537" width="13.5703125" style="575" customWidth="1"/>
    <col min="12538" max="12539" width="14.85546875" style="575" customWidth="1"/>
    <col min="12540" max="12540" width="18.85546875" style="575" customWidth="1"/>
    <col min="12541" max="12541" width="19.42578125" style="575" customWidth="1"/>
    <col min="12542" max="12542" width="16.140625" style="575" customWidth="1"/>
    <col min="12543" max="12543" width="14.5703125" style="575" customWidth="1"/>
    <col min="12544" max="12544" width="20.28515625" style="575" customWidth="1"/>
    <col min="12545" max="12545" width="13.85546875" style="575" customWidth="1"/>
    <col min="12546" max="12546" width="19.140625" style="575" customWidth="1"/>
    <col min="12547" max="12547" width="19.7109375" style="575" customWidth="1"/>
    <col min="12548" max="12548" width="16.5703125" style="575" customWidth="1"/>
    <col min="12549" max="12549" width="19.140625" style="575" customWidth="1"/>
    <col min="12550" max="12552" width="16.5703125" style="575" customWidth="1"/>
    <col min="12553" max="12553" width="15.7109375" style="575" customWidth="1"/>
    <col min="12554" max="12554" width="19.42578125" style="575" customWidth="1"/>
    <col min="12555" max="12555" width="14.85546875" style="575" bestFit="1" customWidth="1"/>
    <col min="12556" max="12556" width="13.7109375" style="575" bestFit="1" customWidth="1"/>
    <col min="12557" max="12557" width="13" style="575" customWidth="1"/>
    <col min="12558" max="12558" width="18.42578125" style="575" customWidth="1"/>
    <col min="12559" max="12561" width="13.140625" style="575" customWidth="1"/>
    <col min="12562" max="12562" width="16.42578125" style="575" customWidth="1"/>
    <col min="12563" max="12563" width="13.140625" style="575" customWidth="1"/>
    <col min="12564" max="12564" width="15.28515625" style="575" customWidth="1"/>
    <col min="12565" max="12565" width="14" style="575" bestFit="1" customWidth="1"/>
    <col min="12566" max="12566" width="17.140625" style="575" customWidth="1"/>
    <col min="12567" max="12588" width="16.5703125" style="575" customWidth="1"/>
    <col min="12589" max="12589" width="20.140625" style="575" customWidth="1"/>
    <col min="12590" max="12590" width="13.28515625" style="575" customWidth="1"/>
    <col min="12591" max="12591" width="14.85546875" style="575" customWidth="1"/>
    <col min="12592" max="12592" width="13.85546875" style="575" customWidth="1"/>
    <col min="12593" max="12593" width="13.5703125" style="575" customWidth="1"/>
    <col min="12594" max="12594" width="13" style="575" customWidth="1"/>
    <col min="12595" max="12595" width="13.5703125" style="575" customWidth="1"/>
    <col min="12596" max="12596" width="7.7109375" style="575" bestFit="1" customWidth="1"/>
    <col min="12597" max="12766" width="9.140625" style="575"/>
    <col min="12767" max="12767" width="4.28515625" style="575" customWidth="1"/>
    <col min="12768" max="12768" width="10.140625" style="575" customWidth="1"/>
    <col min="12769" max="12769" width="8.85546875" style="575" customWidth="1"/>
    <col min="12770" max="12770" width="11.140625" style="575" customWidth="1"/>
    <col min="12771" max="12771" width="15" style="575" bestFit="1" customWidth="1"/>
    <col min="12772" max="12772" width="13.5703125" style="575" customWidth="1"/>
    <col min="12773" max="12773" width="11.42578125" style="575" bestFit="1" customWidth="1"/>
    <col min="12774" max="12774" width="11.28515625" style="575" customWidth="1"/>
    <col min="12775" max="12775" width="15.28515625" style="575" bestFit="1" customWidth="1"/>
    <col min="12776" max="12778" width="11.85546875" style="575" customWidth="1"/>
    <col min="12779" max="12779" width="19.140625" style="575" customWidth="1"/>
    <col min="12780" max="12780" width="15" style="575" customWidth="1"/>
    <col min="12781" max="12781" width="15.28515625" style="575" customWidth="1"/>
    <col min="12782" max="12784" width="18.85546875" style="575" customWidth="1"/>
    <col min="12785" max="12785" width="12.7109375" style="575" customWidth="1"/>
    <col min="12786" max="12786" width="13.7109375" style="575" customWidth="1"/>
    <col min="12787" max="12787" width="16.140625" style="575" customWidth="1"/>
    <col min="12788" max="12788" width="17" style="575" customWidth="1"/>
    <col min="12789" max="12789" width="15" style="575" customWidth="1"/>
    <col min="12790" max="12790" width="14.28515625" style="575" customWidth="1"/>
    <col min="12791" max="12791" width="14.85546875" style="575" customWidth="1"/>
    <col min="12792" max="12792" width="17.140625" style="575" customWidth="1"/>
    <col min="12793" max="12793" width="13.5703125" style="575" customWidth="1"/>
    <col min="12794" max="12795" width="14.85546875" style="575" customWidth="1"/>
    <col min="12796" max="12796" width="18.85546875" style="575" customWidth="1"/>
    <col min="12797" max="12797" width="19.42578125" style="575" customWidth="1"/>
    <col min="12798" max="12798" width="16.140625" style="575" customWidth="1"/>
    <col min="12799" max="12799" width="14.5703125" style="575" customWidth="1"/>
    <col min="12800" max="12800" width="20.28515625" style="575" customWidth="1"/>
    <col min="12801" max="12801" width="13.85546875" style="575" customWidth="1"/>
    <col min="12802" max="12802" width="19.140625" style="575" customWidth="1"/>
    <col min="12803" max="12803" width="19.7109375" style="575" customWidth="1"/>
    <col min="12804" max="12804" width="16.5703125" style="575" customWidth="1"/>
    <col min="12805" max="12805" width="19.140625" style="575" customWidth="1"/>
    <col min="12806" max="12808" width="16.5703125" style="575" customWidth="1"/>
    <col min="12809" max="12809" width="15.7109375" style="575" customWidth="1"/>
    <col min="12810" max="12810" width="19.42578125" style="575" customWidth="1"/>
    <col min="12811" max="12811" width="14.85546875" style="575" bestFit="1" customWidth="1"/>
    <col min="12812" max="12812" width="13.7109375" style="575" bestFit="1" customWidth="1"/>
    <col min="12813" max="12813" width="13" style="575" customWidth="1"/>
    <col min="12814" max="12814" width="18.42578125" style="575" customWidth="1"/>
    <col min="12815" max="12817" width="13.140625" style="575" customWidth="1"/>
    <col min="12818" max="12818" width="16.42578125" style="575" customWidth="1"/>
    <col min="12819" max="12819" width="13.140625" style="575" customWidth="1"/>
    <col min="12820" max="12820" width="15.28515625" style="575" customWidth="1"/>
    <col min="12821" max="12821" width="14" style="575" bestFit="1" customWidth="1"/>
    <col min="12822" max="12822" width="17.140625" style="575" customWidth="1"/>
    <col min="12823" max="12844" width="16.5703125" style="575" customWidth="1"/>
    <col min="12845" max="12845" width="20.140625" style="575" customWidth="1"/>
    <col min="12846" max="12846" width="13.28515625" style="575" customWidth="1"/>
    <col min="12847" max="12847" width="14.85546875" style="575" customWidth="1"/>
    <col min="12848" max="12848" width="13.85546875" style="575" customWidth="1"/>
    <col min="12849" max="12849" width="13.5703125" style="575" customWidth="1"/>
    <col min="12850" max="12850" width="13" style="575" customWidth="1"/>
    <col min="12851" max="12851" width="13.5703125" style="575" customWidth="1"/>
    <col min="12852" max="12852" width="7.7109375" style="575" bestFit="1" customWidth="1"/>
    <col min="12853" max="13022" width="9.140625" style="575"/>
    <col min="13023" max="13023" width="4.28515625" style="575" customWidth="1"/>
    <col min="13024" max="13024" width="10.140625" style="575" customWidth="1"/>
    <col min="13025" max="13025" width="8.85546875" style="575" customWidth="1"/>
    <col min="13026" max="13026" width="11.140625" style="575" customWidth="1"/>
    <col min="13027" max="13027" width="15" style="575" bestFit="1" customWidth="1"/>
    <col min="13028" max="13028" width="13.5703125" style="575" customWidth="1"/>
    <col min="13029" max="13029" width="11.42578125" style="575" bestFit="1" customWidth="1"/>
    <col min="13030" max="13030" width="11.28515625" style="575" customWidth="1"/>
    <col min="13031" max="13031" width="15.28515625" style="575" bestFit="1" customWidth="1"/>
    <col min="13032" max="13034" width="11.85546875" style="575" customWidth="1"/>
    <col min="13035" max="13035" width="19.140625" style="575" customWidth="1"/>
    <col min="13036" max="13036" width="15" style="575" customWidth="1"/>
    <col min="13037" max="13037" width="15.28515625" style="575" customWidth="1"/>
    <col min="13038" max="13040" width="18.85546875" style="575" customWidth="1"/>
    <col min="13041" max="13041" width="12.7109375" style="575" customWidth="1"/>
    <col min="13042" max="13042" width="13.7109375" style="575" customWidth="1"/>
    <col min="13043" max="13043" width="16.140625" style="575" customWidth="1"/>
    <col min="13044" max="13044" width="17" style="575" customWidth="1"/>
    <col min="13045" max="13045" width="15" style="575" customWidth="1"/>
    <col min="13046" max="13046" width="14.28515625" style="575" customWidth="1"/>
    <col min="13047" max="13047" width="14.85546875" style="575" customWidth="1"/>
    <col min="13048" max="13048" width="17.140625" style="575" customWidth="1"/>
    <col min="13049" max="13049" width="13.5703125" style="575" customWidth="1"/>
    <col min="13050" max="13051" width="14.85546875" style="575" customWidth="1"/>
    <col min="13052" max="13052" width="18.85546875" style="575" customWidth="1"/>
    <col min="13053" max="13053" width="19.42578125" style="575" customWidth="1"/>
    <col min="13054" max="13054" width="16.140625" style="575" customWidth="1"/>
    <col min="13055" max="13055" width="14.5703125" style="575" customWidth="1"/>
    <col min="13056" max="13056" width="20.28515625" style="575" customWidth="1"/>
    <col min="13057" max="13057" width="13.85546875" style="575" customWidth="1"/>
    <col min="13058" max="13058" width="19.140625" style="575" customWidth="1"/>
    <col min="13059" max="13059" width="19.7109375" style="575" customWidth="1"/>
    <col min="13060" max="13060" width="16.5703125" style="575" customWidth="1"/>
    <col min="13061" max="13061" width="19.140625" style="575" customWidth="1"/>
    <col min="13062" max="13064" width="16.5703125" style="575" customWidth="1"/>
    <col min="13065" max="13065" width="15.7109375" style="575" customWidth="1"/>
    <col min="13066" max="13066" width="19.42578125" style="575" customWidth="1"/>
    <col min="13067" max="13067" width="14.85546875" style="575" bestFit="1" customWidth="1"/>
    <col min="13068" max="13068" width="13.7109375" style="575" bestFit="1" customWidth="1"/>
    <col min="13069" max="13069" width="13" style="575" customWidth="1"/>
    <col min="13070" max="13070" width="18.42578125" style="575" customWidth="1"/>
    <col min="13071" max="13073" width="13.140625" style="575" customWidth="1"/>
    <col min="13074" max="13074" width="16.42578125" style="575" customWidth="1"/>
    <col min="13075" max="13075" width="13.140625" style="575" customWidth="1"/>
    <col min="13076" max="13076" width="15.28515625" style="575" customWidth="1"/>
    <col min="13077" max="13077" width="14" style="575" bestFit="1" customWidth="1"/>
    <col min="13078" max="13078" width="17.140625" style="575" customWidth="1"/>
    <col min="13079" max="13100" width="16.5703125" style="575" customWidth="1"/>
    <col min="13101" max="13101" width="20.140625" style="575" customWidth="1"/>
    <col min="13102" max="13102" width="13.28515625" style="575" customWidth="1"/>
    <col min="13103" max="13103" width="14.85546875" style="575" customWidth="1"/>
    <col min="13104" max="13104" width="13.85546875" style="575" customWidth="1"/>
    <col min="13105" max="13105" width="13.5703125" style="575" customWidth="1"/>
    <col min="13106" max="13106" width="13" style="575" customWidth="1"/>
    <col min="13107" max="13107" width="13.5703125" style="575" customWidth="1"/>
    <col min="13108" max="13108" width="7.7109375" style="575" bestFit="1" customWidth="1"/>
    <col min="13109" max="13278" width="9.140625" style="575"/>
    <col min="13279" max="13279" width="4.28515625" style="575" customWidth="1"/>
    <col min="13280" max="13280" width="10.140625" style="575" customWidth="1"/>
    <col min="13281" max="13281" width="8.85546875" style="575" customWidth="1"/>
    <col min="13282" max="13282" width="11.140625" style="575" customWidth="1"/>
    <col min="13283" max="13283" width="15" style="575" bestFit="1" customWidth="1"/>
    <col min="13284" max="13284" width="13.5703125" style="575" customWidth="1"/>
    <col min="13285" max="13285" width="11.42578125" style="575" bestFit="1" customWidth="1"/>
    <col min="13286" max="13286" width="11.28515625" style="575" customWidth="1"/>
    <col min="13287" max="13287" width="15.28515625" style="575" bestFit="1" customWidth="1"/>
    <col min="13288" max="13290" width="11.85546875" style="575" customWidth="1"/>
    <col min="13291" max="13291" width="19.140625" style="575" customWidth="1"/>
    <col min="13292" max="13292" width="15" style="575" customWidth="1"/>
    <col min="13293" max="13293" width="15.28515625" style="575" customWidth="1"/>
    <col min="13294" max="13296" width="18.85546875" style="575" customWidth="1"/>
    <col min="13297" max="13297" width="12.7109375" style="575" customWidth="1"/>
    <col min="13298" max="13298" width="13.7109375" style="575" customWidth="1"/>
    <col min="13299" max="13299" width="16.140625" style="575" customWidth="1"/>
    <col min="13300" max="13300" width="17" style="575" customWidth="1"/>
    <col min="13301" max="13301" width="15" style="575" customWidth="1"/>
    <col min="13302" max="13302" width="14.28515625" style="575" customWidth="1"/>
    <col min="13303" max="13303" width="14.85546875" style="575" customWidth="1"/>
    <col min="13304" max="13304" width="17.140625" style="575" customWidth="1"/>
    <col min="13305" max="13305" width="13.5703125" style="575" customWidth="1"/>
    <col min="13306" max="13307" width="14.85546875" style="575" customWidth="1"/>
    <col min="13308" max="13308" width="18.85546875" style="575" customWidth="1"/>
    <col min="13309" max="13309" width="19.42578125" style="575" customWidth="1"/>
    <col min="13310" max="13310" width="16.140625" style="575" customWidth="1"/>
    <col min="13311" max="13311" width="14.5703125" style="575" customWidth="1"/>
    <col min="13312" max="13312" width="20.28515625" style="575" customWidth="1"/>
    <col min="13313" max="13313" width="13.85546875" style="575" customWidth="1"/>
    <col min="13314" max="13314" width="19.140625" style="575" customWidth="1"/>
    <col min="13315" max="13315" width="19.7109375" style="575" customWidth="1"/>
    <col min="13316" max="13316" width="16.5703125" style="575" customWidth="1"/>
    <col min="13317" max="13317" width="19.140625" style="575" customWidth="1"/>
    <col min="13318" max="13320" width="16.5703125" style="575" customWidth="1"/>
    <col min="13321" max="13321" width="15.7109375" style="575" customWidth="1"/>
    <col min="13322" max="13322" width="19.42578125" style="575" customWidth="1"/>
    <col min="13323" max="13323" width="14.85546875" style="575" bestFit="1" customWidth="1"/>
    <col min="13324" max="13324" width="13.7109375" style="575" bestFit="1" customWidth="1"/>
    <col min="13325" max="13325" width="13" style="575" customWidth="1"/>
    <col min="13326" max="13326" width="18.42578125" style="575" customWidth="1"/>
    <col min="13327" max="13329" width="13.140625" style="575" customWidth="1"/>
    <col min="13330" max="13330" width="16.42578125" style="575" customWidth="1"/>
    <col min="13331" max="13331" width="13.140625" style="575" customWidth="1"/>
    <col min="13332" max="13332" width="15.28515625" style="575" customWidth="1"/>
    <col min="13333" max="13333" width="14" style="575" bestFit="1" customWidth="1"/>
    <col min="13334" max="13334" width="17.140625" style="575" customWidth="1"/>
    <col min="13335" max="13356" width="16.5703125" style="575" customWidth="1"/>
    <col min="13357" max="13357" width="20.140625" style="575" customWidth="1"/>
    <col min="13358" max="13358" width="13.28515625" style="575" customWidth="1"/>
    <col min="13359" max="13359" width="14.85546875" style="575" customWidth="1"/>
    <col min="13360" max="13360" width="13.85546875" style="575" customWidth="1"/>
    <col min="13361" max="13361" width="13.5703125" style="575" customWidth="1"/>
    <col min="13362" max="13362" width="13" style="575" customWidth="1"/>
    <col min="13363" max="13363" width="13.5703125" style="575" customWidth="1"/>
    <col min="13364" max="13364" width="7.7109375" style="575" bestFit="1" customWidth="1"/>
    <col min="13365" max="13534" width="9.140625" style="575"/>
    <col min="13535" max="13535" width="4.28515625" style="575" customWidth="1"/>
    <col min="13536" max="13536" width="10.140625" style="575" customWidth="1"/>
    <col min="13537" max="13537" width="8.85546875" style="575" customWidth="1"/>
    <col min="13538" max="13538" width="11.140625" style="575" customWidth="1"/>
    <col min="13539" max="13539" width="15" style="575" bestFit="1" customWidth="1"/>
    <col min="13540" max="13540" width="13.5703125" style="575" customWidth="1"/>
    <col min="13541" max="13541" width="11.42578125" style="575" bestFit="1" customWidth="1"/>
    <col min="13542" max="13542" width="11.28515625" style="575" customWidth="1"/>
    <col min="13543" max="13543" width="15.28515625" style="575" bestFit="1" customWidth="1"/>
    <col min="13544" max="13546" width="11.85546875" style="575" customWidth="1"/>
    <col min="13547" max="13547" width="19.140625" style="575" customWidth="1"/>
    <col min="13548" max="13548" width="15" style="575" customWidth="1"/>
    <col min="13549" max="13549" width="15.28515625" style="575" customWidth="1"/>
    <col min="13550" max="13552" width="18.85546875" style="575" customWidth="1"/>
    <col min="13553" max="13553" width="12.7109375" style="575" customWidth="1"/>
    <col min="13554" max="13554" width="13.7109375" style="575" customWidth="1"/>
    <col min="13555" max="13555" width="16.140625" style="575" customWidth="1"/>
    <col min="13556" max="13556" width="17" style="575" customWidth="1"/>
    <col min="13557" max="13557" width="15" style="575" customWidth="1"/>
    <col min="13558" max="13558" width="14.28515625" style="575" customWidth="1"/>
    <col min="13559" max="13559" width="14.85546875" style="575" customWidth="1"/>
    <col min="13560" max="13560" width="17.140625" style="575" customWidth="1"/>
    <col min="13561" max="13561" width="13.5703125" style="575" customWidth="1"/>
    <col min="13562" max="13563" width="14.85546875" style="575" customWidth="1"/>
    <col min="13564" max="13564" width="18.85546875" style="575" customWidth="1"/>
    <col min="13565" max="13565" width="19.42578125" style="575" customWidth="1"/>
    <col min="13566" max="13566" width="16.140625" style="575" customWidth="1"/>
    <col min="13567" max="13567" width="14.5703125" style="575" customWidth="1"/>
    <col min="13568" max="13568" width="20.28515625" style="575" customWidth="1"/>
    <col min="13569" max="13569" width="13.85546875" style="575" customWidth="1"/>
    <col min="13570" max="13570" width="19.140625" style="575" customWidth="1"/>
    <col min="13571" max="13571" width="19.7109375" style="575" customWidth="1"/>
    <col min="13572" max="13572" width="16.5703125" style="575" customWidth="1"/>
    <col min="13573" max="13573" width="19.140625" style="575" customWidth="1"/>
    <col min="13574" max="13576" width="16.5703125" style="575" customWidth="1"/>
    <col min="13577" max="13577" width="15.7109375" style="575" customWidth="1"/>
    <col min="13578" max="13578" width="19.42578125" style="575" customWidth="1"/>
    <col min="13579" max="13579" width="14.85546875" style="575" bestFit="1" customWidth="1"/>
    <col min="13580" max="13580" width="13.7109375" style="575" bestFit="1" customWidth="1"/>
    <col min="13581" max="13581" width="13" style="575" customWidth="1"/>
    <col min="13582" max="13582" width="18.42578125" style="575" customWidth="1"/>
    <col min="13583" max="13585" width="13.140625" style="575" customWidth="1"/>
    <col min="13586" max="13586" width="16.42578125" style="575" customWidth="1"/>
    <col min="13587" max="13587" width="13.140625" style="575" customWidth="1"/>
    <col min="13588" max="13588" width="15.28515625" style="575" customWidth="1"/>
    <col min="13589" max="13589" width="14" style="575" bestFit="1" customWidth="1"/>
    <col min="13590" max="13590" width="17.140625" style="575" customWidth="1"/>
    <col min="13591" max="13612" width="16.5703125" style="575" customWidth="1"/>
    <col min="13613" max="13613" width="20.140625" style="575" customWidth="1"/>
    <col min="13614" max="13614" width="13.28515625" style="575" customWidth="1"/>
    <col min="13615" max="13615" width="14.85546875" style="575" customWidth="1"/>
    <col min="13616" max="13616" width="13.85546875" style="575" customWidth="1"/>
    <col min="13617" max="13617" width="13.5703125" style="575" customWidth="1"/>
    <col min="13618" max="13618" width="13" style="575" customWidth="1"/>
    <col min="13619" max="13619" width="13.5703125" style="575" customWidth="1"/>
    <col min="13620" max="13620" width="7.7109375" style="575" bestFit="1" customWidth="1"/>
    <col min="13621" max="13790" width="9.140625" style="575"/>
    <col min="13791" max="13791" width="4.28515625" style="575" customWidth="1"/>
    <col min="13792" max="13792" width="10.140625" style="575" customWidth="1"/>
    <col min="13793" max="13793" width="8.85546875" style="575" customWidth="1"/>
    <col min="13794" max="13794" width="11.140625" style="575" customWidth="1"/>
    <col min="13795" max="13795" width="15" style="575" bestFit="1" customWidth="1"/>
    <col min="13796" max="13796" width="13.5703125" style="575" customWidth="1"/>
    <col min="13797" max="13797" width="11.42578125" style="575" bestFit="1" customWidth="1"/>
    <col min="13798" max="13798" width="11.28515625" style="575" customWidth="1"/>
    <col min="13799" max="13799" width="15.28515625" style="575" bestFit="1" customWidth="1"/>
    <col min="13800" max="13802" width="11.85546875" style="575" customWidth="1"/>
    <col min="13803" max="13803" width="19.140625" style="575" customWidth="1"/>
    <col min="13804" max="13804" width="15" style="575" customWidth="1"/>
    <col min="13805" max="13805" width="15.28515625" style="575" customWidth="1"/>
    <col min="13806" max="13808" width="18.85546875" style="575" customWidth="1"/>
    <col min="13809" max="13809" width="12.7109375" style="575" customWidth="1"/>
    <col min="13810" max="13810" width="13.7109375" style="575" customWidth="1"/>
    <col min="13811" max="13811" width="16.140625" style="575" customWidth="1"/>
    <col min="13812" max="13812" width="17" style="575" customWidth="1"/>
    <col min="13813" max="13813" width="15" style="575" customWidth="1"/>
    <col min="13814" max="13814" width="14.28515625" style="575" customWidth="1"/>
    <col min="13815" max="13815" width="14.85546875" style="575" customWidth="1"/>
    <col min="13816" max="13816" width="17.140625" style="575" customWidth="1"/>
    <col min="13817" max="13817" width="13.5703125" style="575" customWidth="1"/>
    <col min="13818" max="13819" width="14.85546875" style="575" customWidth="1"/>
    <col min="13820" max="13820" width="18.85546875" style="575" customWidth="1"/>
    <col min="13821" max="13821" width="19.42578125" style="575" customWidth="1"/>
    <col min="13822" max="13822" width="16.140625" style="575" customWidth="1"/>
    <col min="13823" max="13823" width="14.5703125" style="575" customWidth="1"/>
    <col min="13824" max="13824" width="20.28515625" style="575" customWidth="1"/>
    <col min="13825" max="13825" width="13.85546875" style="575" customWidth="1"/>
    <col min="13826" max="13826" width="19.140625" style="575" customWidth="1"/>
    <col min="13827" max="13827" width="19.7109375" style="575" customWidth="1"/>
    <col min="13828" max="13828" width="16.5703125" style="575" customWidth="1"/>
    <col min="13829" max="13829" width="19.140625" style="575" customWidth="1"/>
    <col min="13830" max="13832" width="16.5703125" style="575" customWidth="1"/>
    <col min="13833" max="13833" width="15.7109375" style="575" customWidth="1"/>
    <col min="13834" max="13834" width="19.42578125" style="575" customWidth="1"/>
    <col min="13835" max="13835" width="14.85546875" style="575" bestFit="1" customWidth="1"/>
    <col min="13836" max="13836" width="13.7109375" style="575" bestFit="1" customWidth="1"/>
    <col min="13837" max="13837" width="13" style="575" customWidth="1"/>
    <col min="13838" max="13838" width="18.42578125" style="575" customWidth="1"/>
    <col min="13839" max="13841" width="13.140625" style="575" customWidth="1"/>
    <col min="13842" max="13842" width="16.42578125" style="575" customWidth="1"/>
    <col min="13843" max="13843" width="13.140625" style="575" customWidth="1"/>
    <col min="13844" max="13844" width="15.28515625" style="575" customWidth="1"/>
    <col min="13845" max="13845" width="14" style="575" bestFit="1" customWidth="1"/>
    <col min="13846" max="13846" width="17.140625" style="575" customWidth="1"/>
    <col min="13847" max="13868" width="16.5703125" style="575" customWidth="1"/>
    <col min="13869" max="13869" width="20.140625" style="575" customWidth="1"/>
    <col min="13870" max="13870" width="13.28515625" style="575" customWidth="1"/>
    <col min="13871" max="13871" width="14.85546875" style="575" customWidth="1"/>
    <col min="13872" max="13872" width="13.85546875" style="575" customWidth="1"/>
    <col min="13873" max="13873" width="13.5703125" style="575" customWidth="1"/>
    <col min="13874" max="13874" width="13" style="575" customWidth="1"/>
    <col min="13875" max="13875" width="13.5703125" style="575" customWidth="1"/>
    <col min="13876" max="13876" width="7.7109375" style="575" bestFit="1" customWidth="1"/>
    <col min="13877" max="14046" width="9.140625" style="575"/>
    <col min="14047" max="14047" width="4.28515625" style="575" customWidth="1"/>
    <col min="14048" max="14048" width="10.140625" style="575" customWidth="1"/>
    <col min="14049" max="14049" width="8.85546875" style="575" customWidth="1"/>
    <col min="14050" max="14050" width="11.140625" style="575" customWidth="1"/>
    <col min="14051" max="14051" width="15" style="575" bestFit="1" customWidth="1"/>
    <col min="14052" max="14052" width="13.5703125" style="575" customWidth="1"/>
    <col min="14053" max="14053" width="11.42578125" style="575" bestFit="1" customWidth="1"/>
    <col min="14054" max="14054" width="11.28515625" style="575" customWidth="1"/>
    <col min="14055" max="14055" width="15.28515625" style="575" bestFit="1" customWidth="1"/>
    <col min="14056" max="14058" width="11.85546875" style="575" customWidth="1"/>
    <col min="14059" max="14059" width="19.140625" style="575" customWidth="1"/>
    <col min="14060" max="14060" width="15" style="575" customWidth="1"/>
    <col min="14061" max="14061" width="15.28515625" style="575" customWidth="1"/>
    <col min="14062" max="14064" width="18.85546875" style="575" customWidth="1"/>
    <col min="14065" max="14065" width="12.7109375" style="575" customWidth="1"/>
    <col min="14066" max="14066" width="13.7109375" style="575" customWidth="1"/>
    <col min="14067" max="14067" width="16.140625" style="575" customWidth="1"/>
    <col min="14068" max="14068" width="17" style="575" customWidth="1"/>
    <col min="14069" max="14069" width="15" style="575" customWidth="1"/>
    <col min="14070" max="14070" width="14.28515625" style="575" customWidth="1"/>
    <col min="14071" max="14071" width="14.85546875" style="575" customWidth="1"/>
    <col min="14072" max="14072" width="17.140625" style="575" customWidth="1"/>
    <col min="14073" max="14073" width="13.5703125" style="575" customWidth="1"/>
    <col min="14074" max="14075" width="14.85546875" style="575" customWidth="1"/>
    <col min="14076" max="14076" width="18.85546875" style="575" customWidth="1"/>
    <col min="14077" max="14077" width="19.42578125" style="575" customWidth="1"/>
    <col min="14078" max="14078" width="16.140625" style="575" customWidth="1"/>
    <col min="14079" max="14079" width="14.5703125" style="575" customWidth="1"/>
    <col min="14080" max="14080" width="20.28515625" style="575" customWidth="1"/>
    <col min="14081" max="14081" width="13.85546875" style="575" customWidth="1"/>
    <col min="14082" max="14082" width="19.140625" style="575" customWidth="1"/>
    <col min="14083" max="14083" width="19.7109375" style="575" customWidth="1"/>
    <col min="14084" max="14084" width="16.5703125" style="575" customWidth="1"/>
    <col min="14085" max="14085" width="19.140625" style="575" customWidth="1"/>
    <col min="14086" max="14088" width="16.5703125" style="575" customWidth="1"/>
    <col min="14089" max="14089" width="15.7109375" style="575" customWidth="1"/>
    <col min="14090" max="14090" width="19.42578125" style="575" customWidth="1"/>
    <col min="14091" max="14091" width="14.85546875" style="575" bestFit="1" customWidth="1"/>
    <col min="14092" max="14092" width="13.7109375" style="575" bestFit="1" customWidth="1"/>
    <col min="14093" max="14093" width="13" style="575" customWidth="1"/>
    <col min="14094" max="14094" width="18.42578125" style="575" customWidth="1"/>
    <col min="14095" max="14097" width="13.140625" style="575" customWidth="1"/>
    <col min="14098" max="14098" width="16.42578125" style="575" customWidth="1"/>
    <col min="14099" max="14099" width="13.140625" style="575" customWidth="1"/>
    <col min="14100" max="14100" width="15.28515625" style="575" customWidth="1"/>
    <col min="14101" max="14101" width="14" style="575" bestFit="1" customWidth="1"/>
    <col min="14102" max="14102" width="17.140625" style="575" customWidth="1"/>
    <col min="14103" max="14124" width="16.5703125" style="575" customWidth="1"/>
    <col min="14125" max="14125" width="20.140625" style="575" customWidth="1"/>
    <col min="14126" max="14126" width="13.28515625" style="575" customWidth="1"/>
    <col min="14127" max="14127" width="14.85546875" style="575" customWidth="1"/>
    <col min="14128" max="14128" width="13.85546875" style="575" customWidth="1"/>
    <col min="14129" max="14129" width="13.5703125" style="575" customWidth="1"/>
    <col min="14130" max="14130" width="13" style="575" customWidth="1"/>
    <col min="14131" max="14131" width="13.5703125" style="575" customWidth="1"/>
    <col min="14132" max="14132" width="7.7109375" style="575" bestFit="1" customWidth="1"/>
    <col min="14133" max="14302" width="9.140625" style="575"/>
    <col min="14303" max="14303" width="4.28515625" style="575" customWidth="1"/>
    <col min="14304" max="14304" width="10.140625" style="575" customWidth="1"/>
    <col min="14305" max="14305" width="8.85546875" style="575" customWidth="1"/>
    <col min="14306" max="14306" width="11.140625" style="575" customWidth="1"/>
    <col min="14307" max="14307" width="15" style="575" bestFit="1" customWidth="1"/>
    <col min="14308" max="14308" width="13.5703125" style="575" customWidth="1"/>
    <col min="14309" max="14309" width="11.42578125" style="575" bestFit="1" customWidth="1"/>
    <col min="14310" max="14310" width="11.28515625" style="575" customWidth="1"/>
    <col min="14311" max="14311" width="15.28515625" style="575" bestFit="1" customWidth="1"/>
    <col min="14312" max="14314" width="11.85546875" style="575" customWidth="1"/>
    <col min="14315" max="14315" width="19.140625" style="575" customWidth="1"/>
    <col min="14316" max="14316" width="15" style="575" customWidth="1"/>
    <col min="14317" max="14317" width="15.28515625" style="575" customWidth="1"/>
    <col min="14318" max="14320" width="18.85546875" style="575" customWidth="1"/>
    <col min="14321" max="14321" width="12.7109375" style="575" customWidth="1"/>
    <col min="14322" max="14322" width="13.7109375" style="575" customWidth="1"/>
    <col min="14323" max="14323" width="16.140625" style="575" customWidth="1"/>
    <col min="14324" max="14324" width="17" style="575" customWidth="1"/>
    <col min="14325" max="14325" width="15" style="575" customWidth="1"/>
    <col min="14326" max="14326" width="14.28515625" style="575" customWidth="1"/>
    <col min="14327" max="14327" width="14.85546875" style="575" customWidth="1"/>
    <col min="14328" max="14328" width="17.140625" style="575" customWidth="1"/>
    <col min="14329" max="14329" width="13.5703125" style="575" customWidth="1"/>
    <col min="14330" max="14331" width="14.85546875" style="575" customWidth="1"/>
    <col min="14332" max="14332" width="18.85546875" style="575" customWidth="1"/>
    <col min="14333" max="14333" width="19.42578125" style="575" customWidth="1"/>
    <col min="14334" max="14334" width="16.140625" style="575" customWidth="1"/>
    <col min="14335" max="14335" width="14.5703125" style="575" customWidth="1"/>
    <col min="14336" max="14336" width="20.28515625" style="575" customWidth="1"/>
    <col min="14337" max="14337" width="13.85546875" style="575" customWidth="1"/>
    <col min="14338" max="14338" width="19.140625" style="575" customWidth="1"/>
    <col min="14339" max="14339" width="19.7109375" style="575" customWidth="1"/>
    <col min="14340" max="14340" width="16.5703125" style="575" customWidth="1"/>
    <col min="14341" max="14341" width="19.140625" style="575" customWidth="1"/>
    <col min="14342" max="14344" width="16.5703125" style="575" customWidth="1"/>
    <col min="14345" max="14345" width="15.7109375" style="575" customWidth="1"/>
    <col min="14346" max="14346" width="19.42578125" style="575" customWidth="1"/>
    <col min="14347" max="14347" width="14.85546875" style="575" bestFit="1" customWidth="1"/>
    <col min="14348" max="14348" width="13.7109375" style="575" bestFit="1" customWidth="1"/>
    <col min="14349" max="14349" width="13" style="575" customWidth="1"/>
    <col min="14350" max="14350" width="18.42578125" style="575" customWidth="1"/>
    <col min="14351" max="14353" width="13.140625" style="575" customWidth="1"/>
    <col min="14354" max="14354" width="16.42578125" style="575" customWidth="1"/>
    <col min="14355" max="14355" width="13.140625" style="575" customWidth="1"/>
    <col min="14356" max="14356" width="15.28515625" style="575" customWidth="1"/>
    <col min="14357" max="14357" width="14" style="575" bestFit="1" customWidth="1"/>
    <col min="14358" max="14358" width="17.140625" style="575" customWidth="1"/>
    <col min="14359" max="14380" width="16.5703125" style="575" customWidth="1"/>
    <col min="14381" max="14381" width="20.140625" style="575" customWidth="1"/>
    <col min="14382" max="14382" width="13.28515625" style="575" customWidth="1"/>
    <col min="14383" max="14383" width="14.85546875" style="575" customWidth="1"/>
    <col min="14384" max="14384" width="13.85546875" style="575" customWidth="1"/>
    <col min="14385" max="14385" width="13.5703125" style="575" customWidth="1"/>
    <col min="14386" max="14386" width="13" style="575" customWidth="1"/>
    <col min="14387" max="14387" width="13.5703125" style="575" customWidth="1"/>
    <col min="14388" max="14388" width="7.7109375" style="575" bestFit="1" customWidth="1"/>
    <col min="14389" max="14558" width="9.140625" style="575"/>
    <col min="14559" max="14559" width="4.28515625" style="575" customWidth="1"/>
    <col min="14560" max="14560" width="10.140625" style="575" customWidth="1"/>
    <col min="14561" max="14561" width="8.85546875" style="575" customWidth="1"/>
    <col min="14562" max="14562" width="11.140625" style="575" customWidth="1"/>
    <col min="14563" max="14563" width="15" style="575" bestFit="1" customWidth="1"/>
    <col min="14564" max="14564" width="13.5703125" style="575" customWidth="1"/>
    <col min="14565" max="14565" width="11.42578125" style="575" bestFit="1" customWidth="1"/>
    <col min="14566" max="14566" width="11.28515625" style="575" customWidth="1"/>
    <col min="14567" max="14567" width="15.28515625" style="575" bestFit="1" customWidth="1"/>
    <col min="14568" max="14570" width="11.85546875" style="575" customWidth="1"/>
    <col min="14571" max="14571" width="19.140625" style="575" customWidth="1"/>
    <col min="14572" max="14572" width="15" style="575" customWidth="1"/>
    <col min="14573" max="14573" width="15.28515625" style="575" customWidth="1"/>
    <col min="14574" max="14576" width="18.85546875" style="575" customWidth="1"/>
    <col min="14577" max="14577" width="12.7109375" style="575" customWidth="1"/>
    <col min="14578" max="14578" width="13.7109375" style="575" customWidth="1"/>
    <col min="14579" max="14579" width="16.140625" style="575" customWidth="1"/>
    <col min="14580" max="14580" width="17" style="575" customWidth="1"/>
    <col min="14581" max="14581" width="15" style="575" customWidth="1"/>
    <col min="14582" max="14582" width="14.28515625" style="575" customWidth="1"/>
    <col min="14583" max="14583" width="14.85546875" style="575" customWidth="1"/>
    <col min="14584" max="14584" width="17.140625" style="575" customWidth="1"/>
    <col min="14585" max="14585" width="13.5703125" style="575" customWidth="1"/>
    <col min="14586" max="14587" width="14.85546875" style="575" customWidth="1"/>
    <col min="14588" max="14588" width="18.85546875" style="575" customWidth="1"/>
    <col min="14589" max="14589" width="19.42578125" style="575" customWidth="1"/>
    <col min="14590" max="14590" width="16.140625" style="575" customWidth="1"/>
    <col min="14591" max="14591" width="14.5703125" style="575" customWidth="1"/>
    <col min="14592" max="14592" width="20.28515625" style="575" customWidth="1"/>
    <col min="14593" max="14593" width="13.85546875" style="575" customWidth="1"/>
    <col min="14594" max="14594" width="19.140625" style="575" customWidth="1"/>
    <col min="14595" max="14595" width="19.7109375" style="575" customWidth="1"/>
    <col min="14596" max="14596" width="16.5703125" style="575" customWidth="1"/>
    <col min="14597" max="14597" width="19.140625" style="575" customWidth="1"/>
    <col min="14598" max="14600" width="16.5703125" style="575" customWidth="1"/>
    <col min="14601" max="14601" width="15.7109375" style="575" customWidth="1"/>
    <col min="14602" max="14602" width="19.42578125" style="575" customWidth="1"/>
    <col min="14603" max="14603" width="14.85546875" style="575" bestFit="1" customWidth="1"/>
    <col min="14604" max="14604" width="13.7109375" style="575" bestFit="1" customWidth="1"/>
    <col min="14605" max="14605" width="13" style="575" customWidth="1"/>
    <col min="14606" max="14606" width="18.42578125" style="575" customWidth="1"/>
    <col min="14607" max="14609" width="13.140625" style="575" customWidth="1"/>
    <col min="14610" max="14610" width="16.42578125" style="575" customWidth="1"/>
    <col min="14611" max="14611" width="13.140625" style="575" customWidth="1"/>
    <col min="14612" max="14612" width="15.28515625" style="575" customWidth="1"/>
    <col min="14613" max="14613" width="14" style="575" bestFit="1" customWidth="1"/>
    <col min="14614" max="14614" width="17.140625" style="575" customWidth="1"/>
    <col min="14615" max="14636" width="16.5703125" style="575" customWidth="1"/>
    <col min="14637" max="14637" width="20.140625" style="575" customWidth="1"/>
    <col min="14638" max="14638" width="13.28515625" style="575" customWidth="1"/>
    <col min="14639" max="14639" width="14.85546875" style="575" customWidth="1"/>
    <col min="14640" max="14640" width="13.85546875" style="575" customWidth="1"/>
    <col min="14641" max="14641" width="13.5703125" style="575" customWidth="1"/>
    <col min="14642" max="14642" width="13" style="575" customWidth="1"/>
    <col min="14643" max="14643" width="13.5703125" style="575" customWidth="1"/>
    <col min="14644" max="14644" width="7.7109375" style="575" bestFit="1" customWidth="1"/>
    <col min="14645" max="14814" width="9.140625" style="575"/>
    <col min="14815" max="14815" width="4.28515625" style="575" customWidth="1"/>
    <col min="14816" max="14816" width="10.140625" style="575" customWidth="1"/>
    <col min="14817" max="14817" width="8.85546875" style="575" customWidth="1"/>
    <col min="14818" max="14818" width="11.140625" style="575" customWidth="1"/>
    <col min="14819" max="14819" width="15" style="575" bestFit="1" customWidth="1"/>
    <col min="14820" max="14820" width="13.5703125" style="575" customWidth="1"/>
    <col min="14821" max="14821" width="11.42578125" style="575" bestFit="1" customWidth="1"/>
    <col min="14822" max="14822" width="11.28515625" style="575" customWidth="1"/>
    <col min="14823" max="14823" width="15.28515625" style="575" bestFit="1" customWidth="1"/>
    <col min="14824" max="14826" width="11.85546875" style="575" customWidth="1"/>
    <col min="14827" max="14827" width="19.140625" style="575" customWidth="1"/>
    <col min="14828" max="14828" width="15" style="575" customWidth="1"/>
    <col min="14829" max="14829" width="15.28515625" style="575" customWidth="1"/>
    <col min="14830" max="14832" width="18.85546875" style="575" customWidth="1"/>
    <col min="14833" max="14833" width="12.7109375" style="575" customWidth="1"/>
    <col min="14834" max="14834" width="13.7109375" style="575" customWidth="1"/>
    <col min="14835" max="14835" width="16.140625" style="575" customWidth="1"/>
    <col min="14836" max="14836" width="17" style="575" customWidth="1"/>
    <col min="14837" max="14837" width="15" style="575" customWidth="1"/>
    <col min="14838" max="14838" width="14.28515625" style="575" customWidth="1"/>
    <col min="14839" max="14839" width="14.85546875" style="575" customWidth="1"/>
    <col min="14840" max="14840" width="17.140625" style="575" customWidth="1"/>
    <col min="14841" max="14841" width="13.5703125" style="575" customWidth="1"/>
    <col min="14842" max="14843" width="14.85546875" style="575" customWidth="1"/>
    <col min="14844" max="14844" width="18.85546875" style="575" customWidth="1"/>
    <col min="14845" max="14845" width="19.42578125" style="575" customWidth="1"/>
    <col min="14846" max="14846" width="16.140625" style="575" customWidth="1"/>
    <col min="14847" max="14847" width="14.5703125" style="575" customWidth="1"/>
    <col min="14848" max="14848" width="20.28515625" style="575" customWidth="1"/>
    <col min="14849" max="14849" width="13.85546875" style="575" customWidth="1"/>
    <col min="14850" max="14850" width="19.140625" style="575" customWidth="1"/>
    <col min="14851" max="14851" width="19.7109375" style="575" customWidth="1"/>
    <col min="14852" max="14852" width="16.5703125" style="575" customWidth="1"/>
    <col min="14853" max="14853" width="19.140625" style="575" customWidth="1"/>
    <col min="14854" max="14856" width="16.5703125" style="575" customWidth="1"/>
    <col min="14857" max="14857" width="15.7109375" style="575" customWidth="1"/>
    <col min="14858" max="14858" width="19.42578125" style="575" customWidth="1"/>
    <col min="14859" max="14859" width="14.85546875" style="575" bestFit="1" customWidth="1"/>
    <col min="14860" max="14860" width="13.7109375" style="575" bestFit="1" customWidth="1"/>
    <col min="14861" max="14861" width="13" style="575" customWidth="1"/>
    <col min="14862" max="14862" width="18.42578125" style="575" customWidth="1"/>
    <col min="14863" max="14865" width="13.140625" style="575" customWidth="1"/>
    <col min="14866" max="14866" width="16.42578125" style="575" customWidth="1"/>
    <col min="14867" max="14867" width="13.140625" style="575" customWidth="1"/>
    <col min="14868" max="14868" width="15.28515625" style="575" customWidth="1"/>
    <col min="14869" max="14869" width="14" style="575" bestFit="1" customWidth="1"/>
    <col min="14870" max="14870" width="17.140625" style="575" customWidth="1"/>
    <col min="14871" max="14892" width="16.5703125" style="575" customWidth="1"/>
    <col min="14893" max="14893" width="20.140625" style="575" customWidth="1"/>
    <col min="14894" max="14894" width="13.28515625" style="575" customWidth="1"/>
    <col min="14895" max="14895" width="14.85546875" style="575" customWidth="1"/>
    <col min="14896" max="14896" width="13.85546875" style="575" customWidth="1"/>
    <col min="14897" max="14897" width="13.5703125" style="575" customWidth="1"/>
    <col min="14898" max="14898" width="13" style="575" customWidth="1"/>
    <col min="14899" max="14899" width="13.5703125" style="575" customWidth="1"/>
    <col min="14900" max="14900" width="7.7109375" style="575" bestFit="1" customWidth="1"/>
    <col min="14901" max="15070" width="9.140625" style="575"/>
    <col min="15071" max="15071" width="4.28515625" style="575" customWidth="1"/>
    <col min="15072" max="15072" width="10.140625" style="575" customWidth="1"/>
    <col min="15073" max="15073" width="8.85546875" style="575" customWidth="1"/>
    <col min="15074" max="15074" width="11.140625" style="575" customWidth="1"/>
    <col min="15075" max="15075" width="15" style="575" bestFit="1" customWidth="1"/>
    <col min="15076" max="15076" width="13.5703125" style="575" customWidth="1"/>
    <col min="15077" max="15077" width="11.42578125" style="575" bestFit="1" customWidth="1"/>
    <col min="15078" max="15078" width="11.28515625" style="575" customWidth="1"/>
    <col min="15079" max="15079" width="15.28515625" style="575" bestFit="1" customWidth="1"/>
    <col min="15080" max="15082" width="11.85546875" style="575" customWidth="1"/>
    <col min="15083" max="15083" width="19.140625" style="575" customWidth="1"/>
    <col min="15084" max="15084" width="15" style="575" customWidth="1"/>
    <col min="15085" max="15085" width="15.28515625" style="575" customWidth="1"/>
    <col min="15086" max="15088" width="18.85546875" style="575" customWidth="1"/>
    <col min="15089" max="15089" width="12.7109375" style="575" customWidth="1"/>
    <col min="15090" max="15090" width="13.7109375" style="575" customWidth="1"/>
    <col min="15091" max="15091" width="16.140625" style="575" customWidth="1"/>
    <col min="15092" max="15092" width="17" style="575" customWidth="1"/>
    <col min="15093" max="15093" width="15" style="575" customWidth="1"/>
    <col min="15094" max="15094" width="14.28515625" style="575" customWidth="1"/>
    <col min="15095" max="15095" width="14.85546875" style="575" customWidth="1"/>
    <col min="15096" max="15096" width="17.140625" style="575" customWidth="1"/>
    <col min="15097" max="15097" width="13.5703125" style="575" customWidth="1"/>
    <col min="15098" max="15099" width="14.85546875" style="575" customWidth="1"/>
    <col min="15100" max="15100" width="18.85546875" style="575" customWidth="1"/>
    <col min="15101" max="15101" width="19.42578125" style="575" customWidth="1"/>
    <col min="15102" max="15102" width="16.140625" style="575" customWidth="1"/>
    <col min="15103" max="15103" width="14.5703125" style="575" customWidth="1"/>
    <col min="15104" max="15104" width="20.28515625" style="575" customWidth="1"/>
    <col min="15105" max="15105" width="13.85546875" style="575" customWidth="1"/>
    <col min="15106" max="15106" width="19.140625" style="575" customWidth="1"/>
    <col min="15107" max="15107" width="19.7109375" style="575" customWidth="1"/>
    <col min="15108" max="15108" width="16.5703125" style="575" customWidth="1"/>
    <col min="15109" max="15109" width="19.140625" style="575" customWidth="1"/>
    <col min="15110" max="15112" width="16.5703125" style="575" customWidth="1"/>
    <col min="15113" max="15113" width="15.7109375" style="575" customWidth="1"/>
    <col min="15114" max="15114" width="19.42578125" style="575" customWidth="1"/>
    <col min="15115" max="15115" width="14.85546875" style="575" bestFit="1" customWidth="1"/>
    <col min="15116" max="15116" width="13.7109375" style="575" bestFit="1" customWidth="1"/>
    <col min="15117" max="15117" width="13" style="575" customWidth="1"/>
    <col min="15118" max="15118" width="18.42578125" style="575" customWidth="1"/>
    <col min="15119" max="15121" width="13.140625" style="575" customWidth="1"/>
    <col min="15122" max="15122" width="16.42578125" style="575" customWidth="1"/>
    <col min="15123" max="15123" width="13.140625" style="575" customWidth="1"/>
    <col min="15124" max="15124" width="15.28515625" style="575" customWidth="1"/>
    <col min="15125" max="15125" width="14" style="575" bestFit="1" customWidth="1"/>
    <col min="15126" max="15126" width="17.140625" style="575" customWidth="1"/>
    <col min="15127" max="15148" width="16.5703125" style="575" customWidth="1"/>
    <col min="15149" max="15149" width="20.140625" style="575" customWidth="1"/>
    <col min="15150" max="15150" width="13.28515625" style="575" customWidth="1"/>
    <col min="15151" max="15151" width="14.85546875" style="575" customWidth="1"/>
    <col min="15152" max="15152" width="13.85546875" style="575" customWidth="1"/>
    <col min="15153" max="15153" width="13.5703125" style="575" customWidth="1"/>
    <col min="15154" max="15154" width="13" style="575" customWidth="1"/>
    <col min="15155" max="15155" width="13.5703125" style="575" customWidth="1"/>
    <col min="15156" max="15156" width="7.7109375" style="575" bestFit="1" customWidth="1"/>
    <col min="15157" max="15326" width="9.140625" style="575"/>
    <col min="15327" max="15327" width="4.28515625" style="575" customWidth="1"/>
    <col min="15328" max="15328" width="10.140625" style="575" customWidth="1"/>
    <col min="15329" max="15329" width="8.85546875" style="575" customWidth="1"/>
    <col min="15330" max="15330" width="11.140625" style="575" customWidth="1"/>
    <col min="15331" max="15331" width="15" style="575" bestFit="1" customWidth="1"/>
    <col min="15332" max="15332" width="13.5703125" style="575" customWidth="1"/>
    <col min="15333" max="15333" width="11.42578125" style="575" bestFit="1" customWidth="1"/>
    <col min="15334" max="15334" width="11.28515625" style="575" customWidth="1"/>
    <col min="15335" max="15335" width="15.28515625" style="575" bestFit="1" customWidth="1"/>
    <col min="15336" max="15338" width="11.85546875" style="575" customWidth="1"/>
    <col min="15339" max="15339" width="19.140625" style="575" customWidth="1"/>
    <col min="15340" max="15340" width="15" style="575" customWidth="1"/>
    <col min="15341" max="15341" width="15.28515625" style="575" customWidth="1"/>
    <col min="15342" max="15344" width="18.85546875" style="575" customWidth="1"/>
    <col min="15345" max="15345" width="12.7109375" style="575" customWidth="1"/>
    <col min="15346" max="15346" width="13.7109375" style="575" customWidth="1"/>
    <col min="15347" max="15347" width="16.140625" style="575" customWidth="1"/>
    <col min="15348" max="15348" width="17" style="575" customWidth="1"/>
    <col min="15349" max="15349" width="15" style="575" customWidth="1"/>
    <col min="15350" max="15350" width="14.28515625" style="575" customWidth="1"/>
    <col min="15351" max="15351" width="14.85546875" style="575" customWidth="1"/>
    <col min="15352" max="15352" width="17.140625" style="575" customWidth="1"/>
    <col min="15353" max="15353" width="13.5703125" style="575" customWidth="1"/>
    <col min="15354" max="15355" width="14.85546875" style="575" customWidth="1"/>
    <col min="15356" max="15356" width="18.85546875" style="575" customWidth="1"/>
    <col min="15357" max="15357" width="19.42578125" style="575" customWidth="1"/>
    <col min="15358" max="15358" width="16.140625" style="575" customWidth="1"/>
    <col min="15359" max="15359" width="14.5703125" style="575" customWidth="1"/>
    <col min="15360" max="15360" width="20.28515625" style="575" customWidth="1"/>
    <col min="15361" max="15361" width="13.85546875" style="575" customWidth="1"/>
    <col min="15362" max="15362" width="19.140625" style="575" customWidth="1"/>
    <col min="15363" max="15363" width="19.7109375" style="575" customWidth="1"/>
    <col min="15364" max="15364" width="16.5703125" style="575" customWidth="1"/>
    <col min="15365" max="15365" width="19.140625" style="575" customWidth="1"/>
    <col min="15366" max="15368" width="16.5703125" style="575" customWidth="1"/>
    <col min="15369" max="15369" width="15.7109375" style="575" customWidth="1"/>
    <col min="15370" max="15370" width="19.42578125" style="575" customWidth="1"/>
    <col min="15371" max="15371" width="14.85546875" style="575" bestFit="1" customWidth="1"/>
    <col min="15372" max="15372" width="13.7109375" style="575" bestFit="1" customWidth="1"/>
    <col min="15373" max="15373" width="13" style="575" customWidth="1"/>
    <col min="15374" max="15374" width="18.42578125" style="575" customWidth="1"/>
    <col min="15375" max="15377" width="13.140625" style="575" customWidth="1"/>
    <col min="15378" max="15378" width="16.42578125" style="575" customWidth="1"/>
    <col min="15379" max="15379" width="13.140625" style="575" customWidth="1"/>
    <col min="15380" max="15380" width="15.28515625" style="575" customWidth="1"/>
    <col min="15381" max="15381" width="14" style="575" bestFit="1" customWidth="1"/>
    <col min="15382" max="15382" width="17.140625" style="575" customWidth="1"/>
    <col min="15383" max="15404" width="16.5703125" style="575" customWidth="1"/>
    <col min="15405" max="15405" width="20.140625" style="575" customWidth="1"/>
    <col min="15406" max="15406" width="13.28515625" style="575" customWidth="1"/>
    <col min="15407" max="15407" width="14.85546875" style="575" customWidth="1"/>
    <col min="15408" max="15408" width="13.85546875" style="575" customWidth="1"/>
    <col min="15409" max="15409" width="13.5703125" style="575" customWidth="1"/>
    <col min="15410" max="15410" width="13" style="575" customWidth="1"/>
    <col min="15411" max="15411" width="13.5703125" style="575" customWidth="1"/>
    <col min="15412" max="15412" width="7.7109375" style="575" bestFit="1" customWidth="1"/>
    <col min="15413" max="15582" width="9.140625" style="575"/>
    <col min="15583" max="15583" width="4.28515625" style="575" customWidth="1"/>
    <col min="15584" max="15584" width="10.140625" style="575" customWidth="1"/>
    <col min="15585" max="15585" width="8.85546875" style="575" customWidth="1"/>
    <col min="15586" max="15586" width="11.140625" style="575" customWidth="1"/>
    <col min="15587" max="15587" width="15" style="575" bestFit="1" customWidth="1"/>
    <col min="15588" max="15588" width="13.5703125" style="575" customWidth="1"/>
    <col min="15589" max="15589" width="11.42578125" style="575" bestFit="1" customWidth="1"/>
    <col min="15590" max="15590" width="11.28515625" style="575" customWidth="1"/>
    <col min="15591" max="15591" width="15.28515625" style="575" bestFit="1" customWidth="1"/>
    <col min="15592" max="15594" width="11.85546875" style="575" customWidth="1"/>
    <col min="15595" max="15595" width="19.140625" style="575" customWidth="1"/>
    <col min="15596" max="15596" width="15" style="575" customWidth="1"/>
    <col min="15597" max="15597" width="15.28515625" style="575" customWidth="1"/>
    <col min="15598" max="15600" width="18.85546875" style="575" customWidth="1"/>
    <col min="15601" max="15601" width="12.7109375" style="575" customWidth="1"/>
    <col min="15602" max="15602" width="13.7109375" style="575" customWidth="1"/>
    <col min="15603" max="15603" width="16.140625" style="575" customWidth="1"/>
    <col min="15604" max="15604" width="17" style="575" customWidth="1"/>
    <col min="15605" max="15605" width="15" style="575" customWidth="1"/>
    <col min="15606" max="15606" width="14.28515625" style="575" customWidth="1"/>
    <col min="15607" max="15607" width="14.85546875" style="575" customWidth="1"/>
    <col min="15608" max="15608" width="17.140625" style="575" customWidth="1"/>
    <col min="15609" max="15609" width="13.5703125" style="575" customWidth="1"/>
    <col min="15610" max="15611" width="14.85546875" style="575" customWidth="1"/>
    <col min="15612" max="15612" width="18.85546875" style="575" customWidth="1"/>
    <col min="15613" max="15613" width="19.42578125" style="575" customWidth="1"/>
    <col min="15614" max="15614" width="16.140625" style="575" customWidth="1"/>
    <col min="15615" max="15615" width="14.5703125" style="575" customWidth="1"/>
    <col min="15616" max="15616" width="20.28515625" style="575" customWidth="1"/>
    <col min="15617" max="15617" width="13.85546875" style="575" customWidth="1"/>
    <col min="15618" max="15618" width="19.140625" style="575" customWidth="1"/>
    <col min="15619" max="15619" width="19.7109375" style="575" customWidth="1"/>
    <col min="15620" max="15620" width="16.5703125" style="575" customWidth="1"/>
    <col min="15621" max="15621" width="19.140625" style="575" customWidth="1"/>
    <col min="15622" max="15624" width="16.5703125" style="575" customWidth="1"/>
    <col min="15625" max="15625" width="15.7109375" style="575" customWidth="1"/>
    <col min="15626" max="15626" width="19.42578125" style="575" customWidth="1"/>
    <col min="15627" max="15627" width="14.85546875" style="575" bestFit="1" customWidth="1"/>
    <col min="15628" max="15628" width="13.7109375" style="575" bestFit="1" customWidth="1"/>
    <col min="15629" max="15629" width="13" style="575" customWidth="1"/>
    <col min="15630" max="15630" width="18.42578125" style="575" customWidth="1"/>
    <col min="15631" max="15633" width="13.140625" style="575" customWidth="1"/>
    <col min="15634" max="15634" width="16.42578125" style="575" customWidth="1"/>
    <col min="15635" max="15635" width="13.140625" style="575" customWidth="1"/>
    <col min="15636" max="15636" width="15.28515625" style="575" customWidth="1"/>
    <col min="15637" max="15637" width="14" style="575" bestFit="1" customWidth="1"/>
    <col min="15638" max="15638" width="17.140625" style="575" customWidth="1"/>
    <col min="15639" max="15660" width="16.5703125" style="575" customWidth="1"/>
    <col min="15661" max="15661" width="20.140625" style="575" customWidth="1"/>
    <col min="15662" max="15662" width="13.28515625" style="575" customWidth="1"/>
    <col min="15663" max="15663" width="14.85546875" style="575" customWidth="1"/>
    <col min="15664" max="15664" width="13.85546875" style="575" customWidth="1"/>
    <col min="15665" max="15665" width="13.5703125" style="575" customWidth="1"/>
    <col min="15666" max="15666" width="13" style="575" customWidth="1"/>
    <col min="15667" max="15667" width="13.5703125" style="575" customWidth="1"/>
    <col min="15668" max="15668" width="7.7109375" style="575" bestFit="1" customWidth="1"/>
    <col min="15669" max="15838" width="9.140625" style="575"/>
    <col min="15839" max="15839" width="4.28515625" style="575" customWidth="1"/>
    <col min="15840" max="15840" width="10.140625" style="575" customWidth="1"/>
    <col min="15841" max="15841" width="8.85546875" style="575" customWidth="1"/>
    <col min="15842" max="15842" width="11.140625" style="575" customWidth="1"/>
    <col min="15843" max="15843" width="15" style="575" bestFit="1" customWidth="1"/>
    <col min="15844" max="15844" width="13.5703125" style="575" customWidth="1"/>
    <col min="15845" max="15845" width="11.42578125" style="575" bestFit="1" customWidth="1"/>
    <col min="15846" max="15846" width="11.28515625" style="575" customWidth="1"/>
    <col min="15847" max="15847" width="15.28515625" style="575" bestFit="1" customWidth="1"/>
    <col min="15848" max="15850" width="11.85546875" style="575" customWidth="1"/>
    <col min="15851" max="15851" width="19.140625" style="575" customWidth="1"/>
    <col min="15852" max="15852" width="15" style="575" customWidth="1"/>
    <col min="15853" max="15853" width="15.28515625" style="575" customWidth="1"/>
    <col min="15854" max="15856" width="18.85546875" style="575" customWidth="1"/>
    <col min="15857" max="15857" width="12.7109375" style="575" customWidth="1"/>
    <col min="15858" max="15858" width="13.7109375" style="575" customWidth="1"/>
    <col min="15859" max="15859" width="16.140625" style="575" customWidth="1"/>
    <col min="15860" max="15860" width="17" style="575" customWidth="1"/>
    <col min="15861" max="15861" width="15" style="575" customWidth="1"/>
    <col min="15862" max="15862" width="14.28515625" style="575" customWidth="1"/>
    <col min="15863" max="15863" width="14.85546875" style="575" customWidth="1"/>
    <col min="15864" max="15864" width="17.140625" style="575" customWidth="1"/>
    <col min="15865" max="15865" width="13.5703125" style="575" customWidth="1"/>
    <col min="15866" max="15867" width="14.85546875" style="575" customWidth="1"/>
    <col min="15868" max="15868" width="18.85546875" style="575" customWidth="1"/>
    <col min="15869" max="15869" width="19.42578125" style="575" customWidth="1"/>
    <col min="15870" max="15870" width="16.140625" style="575" customWidth="1"/>
    <col min="15871" max="15871" width="14.5703125" style="575" customWidth="1"/>
    <col min="15872" max="15872" width="20.28515625" style="575" customWidth="1"/>
    <col min="15873" max="15873" width="13.85546875" style="575" customWidth="1"/>
    <col min="15874" max="15874" width="19.140625" style="575" customWidth="1"/>
    <col min="15875" max="15875" width="19.7109375" style="575" customWidth="1"/>
    <col min="15876" max="15876" width="16.5703125" style="575" customWidth="1"/>
    <col min="15877" max="15877" width="19.140625" style="575" customWidth="1"/>
    <col min="15878" max="15880" width="16.5703125" style="575" customWidth="1"/>
    <col min="15881" max="15881" width="15.7109375" style="575" customWidth="1"/>
    <col min="15882" max="15882" width="19.42578125" style="575" customWidth="1"/>
    <col min="15883" max="15883" width="14.85546875" style="575" bestFit="1" customWidth="1"/>
    <col min="15884" max="15884" width="13.7109375" style="575" bestFit="1" customWidth="1"/>
    <col min="15885" max="15885" width="13" style="575" customWidth="1"/>
    <col min="15886" max="15886" width="18.42578125" style="575" customWidth="1"/>
    <col min="15887" max="15889" width="13.140625" style="575" customWidth="1"/>
    <col min="15890" max="15890" width="16.42578125" style="575" customWidth="1"/>
    <col min="15891" max="15891" width="13.140625" style="575" customWidth="1"/>
    <col min="15892" max="15892" width="15.28515625" style="575" customWidth="1"/>
    <col min="15893" max="15893" width="14" style="575" bestFit="1" customWidth="1"/>
    <col min="15894" max="15894" width="17.140625" style="575" customWidth="1"/>
    <col min="15895" max="15916" width="16.5703125" style="575" customWidth="1"/>
    <col min="15917" max="15917" width="20.140625" style="575" customWidth="1"/>
    <col min="15918" max="15918" width="13.28515625" style="575" customWidth="1"/>
    <col min="15919" max="15919" width="14.85546875" style="575" customWidth="1"/>
    <col min="15920" max="15920" width="13.85546875" style="575" customWidth="1"/>
    <col min="15921" max="15921" width="13.5703125" style="575" customWidth="1"/>
    <col min="15922" max="15922" width="13" style="575" customWidth="1"/>
    <col min="15923" max="15923" width="13.5703125" style="575" customWidth="1"/>
    <col min="15924" max="15924" width="7.7109375" style="575" bestFit="1" customWidth="1"/>
    <col min="15925" max="16094" width="9.140625" style="575"/>
    <col min="16095" max="16095" width="4.28515625" style="575" customWidth="1"/>
    <col min="16096" max="16096" width="10.140625" style="575" customWidth="1"/>
    <col min="16097" max="16097" width="8.85546875" style="575" customWidth="1"/>
    <col min="16098" max="16098" width="11.140625" style="575" customWidth="1"/>
    <col min="16099" max="16099" width="15" style="575" bestFit="1" customWidth="1"/>
    <col min="16100" max="16100" width="13.5703125" style="575" customWidth="1"/>
    <col min="16101" max="16101" width="11.42578125" style="575" bestFit="1" customWidth="1"/>
    <col min="16102" max="16102" width="11.28515625" style="575" customWidth="1"/>
    <col min="16103" max="16103" width="15.28515625" style="575" bestFit="1" customWidth="1"/>
    <col min="16104" max="16106" width="11.85546875" style="575" customWidth="1"/>
    <col min="16107" max="16107" width="19.140625" style="575" customWidth="1"/>
    <col min="16108" max="16108" width="15" style="575" customWidth="1"/>
    <col min="16109" max="16109" width="15.28515625" style="575" customWidth="1"/>
    <col min="16110" max="16112" width="18.85546875" style="575" customWidth="1"/>
    <col min="16113" max="16113" width="12.7109375" style="575" customWidth="1"/>
    <col min="16114" max="16114" width="13.7109375" style="575" customWidth="1"/>
    <col min="16115" max="16115" width="16.140625" style="575" customWidth="1"/>
    <col min="16116" max="16116" width="17" style="575" customWidth="1"/>
    <col min="16117" max="16117" width="15" style="575" customWidth="1"/>
    <col min="16118" max="16118" width="14.28515625" style="575" customWidth="1"/>
    <col min="16119" max="16119" width="14.85546875" style="575" customWidth="1"/>
    <col min="16120" max="16120" width="17.140625" style="575" customWidth="1"/>
    <col min="16121" max="16121" width="13.5703125" style="575" customWidth="1"/>
    <col min="16122" max="16123" width="14.85546875" style="575" customWidth="1"/>
    <col min="16124" max="16124" width="18.85546875" style="575" customWidth="1"/>
    <col min="16125" max="16125" width="19.42578125" style="575" customWidth="1"/>
    <col min="16126" max="16126" width="16.140625" style="575" customWidth="1"/>
    <col min="16127" max="16127" width="14.5703125" style="575" customWidth="1"/>
    <col min="16128" max="16128" width="20.28515625" style="575" customWidth="1"/>
    <col min="16129" max="16129" width="13.85546875" style="575" customWidth="1"/>
    <col min="16130" max="16130" width="19.140625" style="575" customWidth="1"/>
    <col min="16131" max="16131" width="19.7109375" style="575" customWidth="1"/>
    <col min="16132" max="16132" width="16.5703125" style="575" customWidth="1"/>
    <col min="16133" max="16133" width="19.140625" style="575" customWidth="1"/>
    <col min="16134" max="16136" width="16.5703125" style="575" customWidth="1"/>
    <col min="16137" max="16137" width="15.7109375" style="575" customWidth="1"/>
    <col min="16138" max="16138" width="19.42578125" style="575" customWidth="1"/>
    <col min="16139" max="16139" width="14.85546875" style="575" bestFit="1" customWidth="1"/>
    <col min="16140" max="16140" width="13.7109375" style="575" bestFit="1" customWidth="1"/>
    <col min="16141" max="16141" width="13" style="575" customWidth="1"/>
    <col min="16142" max="16142" width="18.42578125" style="575" customWidth="1"/>
    <col min="16143" max="16145" width="13.140625" style="575" customWidth="1"/>
    <col min="16146" max="16146" width="16.42578125" style="575" customWidth="1"/>
    <col min="16147" max="16147" width="13.140625" style="575" customWidth="1"/>
    <col min="16148" max="16148" width="15.28515625" style="575" customWidth="1"/>
    <col min="16149" max="16149" width="14" style="575" bestFit="1" customWidth="1"/>
    <col min="16150" max="16150" width="17.140625" style="575" customWidth="1"/>
    <col min="16151" max="16172" width="16.5703125" style="575" customWidth="1"/>
    <col min="16173" max="16173" width="20.140625" style="575" customWidth="1"/>
    <col min="16174" max="16174" width="13.28515625" style="575" customWidth="1"/>
    <col min="16175" max="16175" width="14.85546875" style="575" customWidth="1"/>
    <col min="16176" max="16176" width="13.85546875" style="575" customWidth="1"/>
    <col min="16177" max="16177" width="13.5703125" style="575" customWidth="1"/>
    <col min="16178" max="16178" width="13" style="575" customWidth="1"/>
    <col min="16179" max="16179" width="13.5703125" style="575" customWidth="1"/>
    <col min="16180" max="16180" width="7.7109375" style="575" bestFit="1" customWidth="1"/>
    <col min="16181" max="16384" width="9.140625" style="575"/>
  </cols>
  <sheetData>
    <row r="1" spans="2:65" s="556" customFormat="1" ht="29.25" customHeight="1">
      <c r="B1" s="686" t="s">
        <v>331</v>
      </c>
      <c r="P1" s="557"/>
      <c r="AR1" s="558"/>
      <c r="AS1" s="558"/>
      <c r="AT1" s="558"/>
      <c r="AU1" s="558"/>
      <c r="AV1" s="558"/>
      <c r="AW1" s="558"/>
      <c r="AX1" s="558"/>
      <c r="AY1" s="558"/>
      <c r="AZ1" s="558"/>
      <c r="BA1" s="860"/>
      <c r="BH1" s="861"/>
      <c r="BI1" s="861"/>
    </row>
    <row r="2" spans="2:65" s="556" customFormat="1" ht="15.75" customHeight="1">
      <c r="B2" s="563"/>
      <c r="C2" s="564"/>
      <c r="D2" s="563"/>
      <c r="E2" s="563"/>
      <c r="F2" s="563"/>
      <c r="G2" s="563"/>
      <c r="H2" s="563"/>
      <c r="I2" s="563"/>
      <c r="J2" s="563"/>
      <c r="K2" s="565"/>
      <c r="L2" s="566"/>
      <c r="M2" s="567">
        <f>M14-M15</f>
        <v>134923636.36363634</v>
      </c>
      <c r="AR2" s="558"/>
      <c r="AS2" s="558"/>
      <c r="AT2" s="558"/>
      <c r="AU2" s="558"/>
      <c r="AV2" s="558"/>
      <c r="AW2" s="558"/>
      <c r="AX2" s="558"/>
      <c r="AY2" s="558"/>
      <c r="AZ2" s="558"/>
      <c r="BA2" s="862"/>
      <c r="BH2" s="863"/>
      <c r="BI2" s="863"/>
    </row>
    <row r="3" spans="2:65" ht="15.75" customHeight="1">
      <c r="B3" s="571"/>
      <c r="C3" s="571"/>
      <c r="D3" s="571"/>
      <c r="E3" s="571"/>
      <c r="F3" s="571"/>
      <c r="G3" s="571"/>
      <c r="H3" s="571"/>
      <c r="I3" s="571"/>
      <c r="J3" s="571"/>
      <c r="K3" s="572"/>
      <c r="L3" s="573"/>
      <c r="M3" s="574"/>
      <c r="BA3" s="864"/>
      <c r="BH3" s="865"/>
      <c r="BI3" s="865"/>
    </row>
    <row r="4" spans="2:65" s="869" customFormat="1" ht="18" customHeight="1">
      <c r="B4" s="1432" t="s">
        <v>84</v>
      </c>
      <c r="C4" s="1432"/>
      <c r="D4" s="1432"/>
      <c r="E4" s="1432"/>
      <c r="F4" s="1432"/>
      <c r="G4" s="1432"/>
      <c r="H4" s="1432" t="s">
        <v>85</v>
      </c>
      <c r="I4" s="1432"/>
      <c r="J4" s="1432"/>
      <c r="K4" s="1432"/>
      <c r="L4" s="1432"/>
      <c r="M4" s="1432"/>
      <c r="N4" s="1432"/>
      <c r="O4" s="1432"/>
      <c r="P4" s="1432"/>
      <c r="Q4" s="1432"/>
      <c r="R4" s="1432"/>
      <c r="S4" s="1432"/>
      <c r="T4" s="1432"/>
      <c r="U4" s="1432"/>
      <c r="V4" s="1432"/>
      <c r="W4" s="1432"/>
      <c r="X4" s="1432"/>
      <c r="Y4" s="1432"/>
      <c r="Z4" s="1432"/>
      <c r="AA4" s="1432"/>
      <c r="AB4" s="1432"/>
      <c r="AC4" s="1432"/>
      <c r="AD4" s="1432"/>
      <c r="AE4" s="1432"/>
      <c r="AF4" s="1432"/>
      <c r="AG4" s="1432"/>
      <c r="AH4" s="1432"/>
      <c r="AI4" s="1432"/>
      <c r="AJ4" s="1432"/>
      <c r="AK4" s="1432"/>
      <c r="AL4" s="1432"/>
      <c r="AM4" s="854"/>
      <c r="AN4" s="854"/>
      <c r="AO4" s="854"/>
      <c r="AP4" s="854"/>
      <c r="AQ4" s="854"/>
      <c r="AR4" s="866"/>
      <c r="AS4" s="866"/>
      <c r="AT4" s="866"/>
      <c r="AU4" s="866"/>
      <c r="AV4" s="866"/>
      <c r="AW4" s="866"/>
      <c r="AX4" s="866"/>
      <c r="AY4" s="866"/>
      <c r="AZ4" s="866"/>
      <c r="BA4" s="867"/>
      <c r="BB4" s="854"/>
      <c r="BC4" s="854"/>
      <c r="BD4" s="854"/>
      <c r="BE4" s="854"/>
      <c r="BF4" s="854"/>
      <c r="BG4" s="854"/>
      <c r="BH4" s="868"/>
      <c r="BI4" s="868"/>
      <c r="BJ4" s="854"/>
      <c r="BK4" s="854"/>
      <c r="BL4" s="854"/>
      <c r="BM4" s="854"/>
    </row>
    <row r="5" spans="2:65" s="873" customFormat="1" ht="15.75" customHeight="1">
      <c r="B5" s="1433" t="s">
        <v>86</v>
      </c>
      <c r="C5" s="1433"/>
      <c r="D5" s="1433"/>
      <c r="E5" s="1434"/>
      <c r="F5" s="1434"/>
      <c r="G5" s="1434"/>
      <c r="H5" s="1435" t="s">
        <v>88</v>
      </c>
      <c r="I5" s="1435"/>
      <c r="J5" s="1435"/>
      <c r="K5" s="1436" t="s">
        <v>89</v>
      </c>
      <c r="L5" s="1436"/>
      <c r="M5" s="1436"/>
      <c r="N5" s="1436" t="s">
        <v>90</v>
      </c>
      <c r="O5" s="1436"/>
      <c r="P5" s="1436"/>
      <c r="Q5" s="1436" t="s">
        <v>91</v>
      </c>
      <c r="R5" s="1436"/>
      <c r="S5" s="1436"/>
      <c r="T5" s="1436"/>
      <c r="U5" s="1436"/>
      <c r="V5" s="1437"/>
      <c r="W5" s="1436" t="s">
        <v>92</v>
      </c>
      <c r="X5" s="1436"/>
      <c r="Y5" s="1436"/>
      <c r="Z5" s="1436"/>
      <c r="AA5" s="1436"/>
      <c r="AB5" s="1437"/>
      <c r="AC5" s="1436" t="s">
        <v>93</v>
      </c>
      <c r="AD5" s="1436"/>
      <c r="AE5" s="1436"/>
      <c r="AF5" s="1436"/>
      <c r="AG5" s="1436"/>
      <c r="AH5" s="1436"/>
      <c r="AI5" s="1436"/>
      <c r="AJ5" s="1436"/>
      <c r="AK5" s="1436"/>
      <c r="AL5" s="1436"/>
      <c r="AM5" s="855"/>
      <c r="AN5" s="855"/>
      <c r="AO5" s="855"/>
      <c r="AP5" s="855"/>
      <c r="AQ5" s="855"/>
      <c r="AR5" s="870"/>
      <c r="AS5" s="870"/>
      <c r="AT5" s="870"/>
      <c r="AU5" s="870"/>
      <c r="AV5" s="870"/>
      <c r="AW5" s="870"/>
      <c r="AX5" s="870"/>
      <c r="AY5" s="870"/>
      <c r="AZ5" s="870"/>
      <c r="BA5" s="871"/>
      <c r="BB5" s="855"/>
      <c r="BC5" s="855"/>
      <c r="BD5" s="855"/>
      <c r="BE5" s="855"/>
      <c r="BF5" s="855"/>
      <c r="BG5" s="855"/>
      <c r="BH5" s="872"/>
      <c r="BI5" s="872"/>
      <c r="BJ5" s="855"/>
      <c r="BK5" s="855"/>
      <c r="BL5" s="855"/>
      <c r="BM5" s="855"/>
    </row>
    <row r="6" spans="2:65" s="873" customFormat="1" ht="15.75" customHeight="1">
      <c r="B6" s="1438" t="s">
        <v>94</v>
      </c>
      <c r="C6" s="1438"/>
      <c r="D6" s="1438"/>
      <c r="E6" s="1439"/>
      <c r="F6" s="1439"/>
      <c r="G6" s="1439"/>
      <c r="H6" s="1440" t="s">
        <v>95</v>
      </c>
      <c r="I6" s="1440"/>
      <c r="J6" s="1441">
        <f>AL26</f>
        <v>11326497.897637034</v>
      </c>
      <c r="K6" s="1438" t="s">
        <v>96</v>
      </c>
      <c r="L6" s="1438"/>
      <c r="M6" s="1442">
        <f>'Input　seet'!D12</f>
        <v>309200000</v>
      </c>
      <c r="N6" s="1440" t="s">
        <v>97</v>
      </c>
      <c r="O6" s="1440"/>
      <c r="P6" s="1443">
        <f>'Input　seet'!D15+'Input　seet'!D16</f>
        <v>0</v>
      </c>
      <c r="Q6" s="1444" t="s">
        <v>98</v>
      </c>
      <c r="R6" s="1444"/>
      <c r="S6" s="1444"/>
      <c r="T6" s="1445" t="s">
        <v>99</v>
      </c>
      <c r="U6" s="1445" t="s">
        <v>100</v>
      </c>
      <c r="V6" s="1445"/>
      <c r="W6" s="1446" t="s">
        <v>98</v>
      </c>
      <c r="X6" s="1446"/>
      <c r="Y6" s="1446"/>
      <c r="Z6" s="1445" t="s">
        <v>99</v>
      </c>
      <c r="AA6" s="1446" t="s">
        <v>100</v>
      </c>
      <c r="AB6" s="1446"/>
      <c r="AC6" s="1446" t="s">
        <v>101</v>
      </c>
      <c r="AD6" s="1446"/>
      <c r="AE6" s="1446"/>
      <c r="AF6" s="1445" t="s">
        <v>102</v>
      </c>
      <c r="AG6" s="1445" t="s">
        <v>103</v>
      </c>
      <c r="AH6" s="1444" t="s">
        <v>104</v>
      </c>
      <c r="AI6" s="1444"/>
      <c r="AJ6" s="1444"/>
      <c r="AK6" s="1444"/>
      <c r="AL6" s="1445" t="s">
        <v>103</v>
      </c>
      <c r="AM6" s="855"/>
      <c r="AN6" s="855"/>
      <c r="AO6" s="855"/>
      <c r="AP6" s="855"/>
      <c r="AQ6" s="855"/>
      <c r="AR6" s="870"/>
      <c r="AS6" s="870"/>
      <c r="AT6" s="870"/>
      <c r="AU6" s="870"/>
      <c r="AV6" s="870"/>
      <c r="AW6" s="870"/>
      <c r="AX6" s="870"/>
      <c r="AY6" s="870"/>
      <c r="AZ6" s="870"/>
      <c r="BA6" s="871"/>
      <c r="BB6" s="855"/>
      <c r="BC6" s="855"/>
      <c r="BD6" s="855"/>
      <c r="BE6" s="855"/>
      <c r="BF6" s="855"/>
      <c r="BG6" s="855"/>
      <c r="BH6" s="872"/>
      <c r="BI6" s="872"/>
      <c r="BJ6" s="855"/>
      <c r="BK6" s="855"/>
      <c r="BL6" s="855"/>
      <c r="BM6" s="855"/>
    </row>
    <row r="7" spans="2:65" s="873" customFormat="1" ht="15.75" customHeight="1">
      <c r="B7" s="1438" t="s">
        <v>105</v>
      </c>
      <c r="C7" s="1438"/>
      <c r="D7" s="1438"/>
      <c r="E7" s="1447">
        <v>1</v>
      </c>
      <c r="F7" s="1448">
        <v>1</v>
      </c>
      <c r="G7" s="1445">
        <v>2018</v>
      </c>
      <c r="H7" s="1440" t="s">
        <v>106</v>
      </c>
      <c r="I7" s="1440"/>
      <c r="J7" s="1449">
        <f>Calculation!D12</f>
        <v>24</v>
      </c>
      <c r="K7" s="1438" t="s">
        <v>107</v>
      </c>
      <c r="L7" s="1438"/>
      <c r="M7" s="1442">
        <f>-'Input　seet'!D13</f>
        <v>0</v>
      </c>
      <c r="N7" s="1440" t="s">
        <v>108</v>
      </c>
      <c r="O7" s="1440"/>
      <c r="P7" s="1443">
        <f>'Input　seet'!D18+'Input　seet'!D19</f>
        <v>0</v>
      </c>
      <c r="Q7" s="1440" t="s">
        <v>109</v>
      </c>
      <c r="R7" s="1440"/>
      <c r="S7" s="1440"/>
      <c r="T7" s="1450">
        <v>2500</v>
      </c>
      <c r="U7" s="1450">
        <f>IF(T7&gt;0,T7*J7,0)</f>
        <v>60000</v>
      </c>
      <c r="V7" s="1451" t="s">
        <v>110</v>
      </c>
      <c r="W7" s="1451"/>
      <c r="X7" s="1451"/>
      <c r="Y7" s="1451"/>
      <c r="Z7" s="1450"/>
      <c r="AA7" s="1452"/>
      <c r="AB7" s="1452"/>
      <c r="AC7" s="1451" t="s">
        <v>111</v>
      </c>
      <c r="AD7" s="1451"/>
      <c r="AE7" s="1451"/>
      <c r="AF7" s="1453"/>
      <c r="AG7" s="1450">
        <f>AF7*M8</f>
        <v>0</v>
      </c>
      <c r="AH7" s="1440" t="s">
        <v>112</v>
      </c>
      <c r="AI7" s="1440"/>
      <c r="AJ7" s="1440"/>
      <c r="AK7" s="1440"/>
      <c r="AL7" s="1450">
        <f>AF7*M9</f>
        <v>0</v>
      </c>
      <c r="AM7" s="856"/>
      <c r="AN7" s="856"/>
      <c r="AO7" s="856"/>
      <c r="AP7" s="856"/>
      <c r="AQ7" s="856"/>
      <c r="AR7" s="874"/>
      <c r="AS7" s="874"/>
      <c r="AT7" s="874"/>
      <c r="AU7" s="874"/>
      <c r="AV7" s="874"/>
      <c r="AW7" s="874"/>
      <c r="AX7" s="874"/>
      <c r="AY7" s="874"/>
      <c r="AZ7" s="874"/>
      <c r="BA7" s="875"/>
      <c r="BB7" s="856"/>
      <c r="BC7" s="856"/>
      <c r="BD7" s="856"/>
      <c r="BE7" s="856"/>
      <c r="BF7" s="856"/>
      <c r="BG7" s="856"/>
      <c r="BH7" s="876"/>
      <c r="BI7" s="876"/>
      <c r="BJ7" s="856"/>
      <c r="BK7" s="856"/>
      <c r="BL7" s="856"/>
      <c r="BM7" s="856"/>
    </row>
    <row r="8" spans="2:65" s="873" customFormat="1" ht="15.75" customHeight="1">
      <c r="B8" s="1438" t="s">
        <v>113</v>
      </c>
      <c r="C8" s="1438"/>
      <c r="D8" s="1438"/>
      <c r="E8" s="1447">
        <v>1</v>
      </c>
      <c r="F8" s="1448">
        <v>1</v>
      </c>
      <c r="G8" s="1447">
        <f>G7</f>
        <v>2018</v>
      </c>
      <c r="H8" s="1438" t="s">
        <v>115</v>
      </c>
      <c r="I8" s="1438"/>
      <c r="J8" s="1454" t="s">
        <v>116</v>
      </c>
      <c r="K8" s="1438" t="s">
        <v>117</v>
      </c>
      <c r="L8" s="1438"/>
      <c r="M8" s="1455">
        <f>M6+M7</f>
        <v>309200000</v>
      </c>
      <c r="N8" s="1440" t="s">
        <v>332</v>
      </c>
      <c r="O8" s="1440"/>
      <c r="P8" s="1443">
        <f>'Input　seet'!D40</f>
        <v>0</v>
      </c>
      <c r="Q8" s="1440" t="s">
        <v>119</v>
      </c>
      <c r="R8" s="1440"/>
      <c r="S8" s="1440"/>
      <c r="T8" s="1450"/>
      <c r="U8" s="1450">
        <f>IF(T8&gt;0,T8*J7,0)</f>
        <v>0</v>
      </c>
      <c r="V8" s="1451" t="s">
        <v>120</v>
      </c>
      <c r="W8" s="1451"/>
      <c r="X8" s="1451"/>
      <c r="Y8" s="1451"/>
      <c r="Z8" s="1450"/>
      <c r="AA8" s="1452">
        <f>'Input　seet'!D28</f>
        <v>33920330.042465754</v>
      </c>
      <c r="AB8" s="1452"/>
      <c r="AC8" s="1451" t="s">
        <v>121</v>
      </c>
      <c r="AD8" s="1451"/>
      <c r="AE8" s="1451"/>
      <c r="AF8" s="1453"/>
      <c r="AG8" s="1450">
        <f>AF8*P6</f>
        <v>0</v>
      </c>
      <c r="AH8" s="1440" t="s">
        <v>122</v>
      </c>
      <c r="AI8" s="1440"/>
      <c r="AJ8" s="1440"/>
      <c r="AK8" s="1440"/>
      <c r="AL8" s="1450">
        <f>AF8*P11</f>
        <v>0</v>
      </c>
      <c r="AM8" s="856"/>
      <c r="AN8" s="856"/>
      <c r="AO8" s="856"/>
      <c r="AP8" s="856"/>
      <c r="AQ8" s="856"/>
      <c r="AR8" s="874"/>
      <c r="AS8" s="874"/>
      <c r="AT8" s="874"/>
      <c r="AU8" s="874"/>
      <c r="AV8" s="874"/>
      <c r="AW8" s="874"/>
      <c r="AX8" s="874"/>
      <c r="AY8" s="874"/>
      <c r="AZ8" s="874"/>
      <c r="BA8" s="875"/>
      <c r="BB8" s="856"/>
      <c r="BC8" s="856"/>
      <c r="BD8" s="856"/>
      <c r="BE8" s="856"/>
      <c r="BF8" s="856"/>
      <c r="BG8" s="856"/>
      <c r="BH8" s="876"/>
      <c r="BI8" s="876"/>
      <c r="BJ8" s="856"/>
      <c r="BK8" s="856"/>
      <c r="BL8" s="856"/>
      <c r="BM8" s="856"/>
    </row>
    <row r="9" spans="2:65" s="873" customFormat="1" ht="15.75" customHeight="1">
      <c r="B9" s="1456"/>
      <c r="C9" s="1456"/>
      <c r="D9" s="1456"/>
      <c r="E9" s="1439"/>
      <c r="F9" s="1439"/>
      <c r="G9" s="1439"/>
      <c r="H9" s="1438" t="s">
        <v>123</v>
      </c>
      <c r="I9" s="1438"/>
      <c r="J9" s="1454" t="s">
        <v>124</v>
      </c>
      <c r="K9" s="1438" t="s">
        <v>125</v>
      </c>
      <c r="L9" s="1438"/>
      <c r="M9" s="1457">
        <f>'Input　seet'!D14</f>
        <v>28109090.909090906</v>
      </c>
      <c r="N9" s="1440"/>
      <c r="O9" s="1440"/>
      <c r="P9" s="1443"/>
      <c r="Q9" s="1458" t="s">
        <v>126</v>
      </c>
      <c r="R9" s="1458"/>
      <c r="S9" s="1458"/>
      <c r="T9" s="1450">
        <v>0</v>
      </c>
      <c r="U9" s="1450">
        <f>IF(T9&gt;0,T9*J7,0)</f>
        <v>0</v>
      </c>
      <c r="V9" s="1451" t="s">
        <v>127</v>
      </c>
      <c r="W9" s="1451"/>
      <c r="X9" s="1451"/>
      <c r="Y9" s="1451"/>
      <c r="Z9" s="1450"/>
      <c r="AA9" s="1452">
        <f>'Input　seet'!D37</f>
        <v>20000000</v>
      </c>
      <c r="AB9" s="1452"/>
      <c r="AC9" s="1451" t="s">
        <v>128</v>
      </c>
      <c r="AD9" s="1451"/>
      <c r="AE9" s="1451"/>
      <c r="AF9" s="1453"/>
      <c r="AG9" s="1450">
        <f>AF9*P7</f>
        <v>0</v>
      </c>
      <c r="AH9" s="1440" t="s">
        <v>129</v>
      </c>
      <c r="AI9" s="1440"/>
      <c r="AJ9" s="1440"/>
      <c r="AK9" s="1440"/>
      <c r="AL9" s="1450">
        <f>AF9*P12</f>
        <v>0</v>
      </c>
      <c r="AM9" s="856"/>
      <c r="AN9" s="856"/>
      <c r="AO9" s="856"/>
      <c r="AP9" s="856"/>
      <c r="AQ9" s="856"/>
      <c r="AR9" s="874"/>
      <c r="AS9" s="874"/>
      <c r="AT9" s="874"/>
      <c r="AU9" s="874"/>
      <c r="AV9" s="874"/>
      <c r="AW9" s="874"/>
      <c r="AX9" s="874"/>
      <c r="AY9" s="874"/>
      <c r="AZ9" s="874"/>
      <c r="BA9" s="875"/>
      <c r="BB9" s="856"/>
      <c r="BC9" s="856"/>
      <c r="BD9" s="856"/>
      <c r="BE9" s="856"/>
      <c r="BF9" s="856"/>
      <c r="BG9" s="856"/>
      <c r="BH9" s="876"/>
      <c r="BI9" s="876"/>
      <c r="BJ9" s="856"/>
      <c r="BK9" s="856"/>
      <c r="BL9" s="856"/>
      <c r="BM9" s="856"/>
    </row>
    <row r="10" spans="2:65" s="873" customFormat="1" ht="15.75" customHeight="1">
      <c r="B10" s="1440" t="s">
        <v>130</v>
      </c>
      <c r="C10" s="1440"/>
      <c r="D10" s="1440"/>
      <c r="E10" s="1440"/>
      <c r="F10" s="1440"/>
      <c r="G10" s="1459">
        <f>G14+5%</f>
        <v>0.14300000000000002</v>
      </c>
      <c r="H10" s="1438" t="s">
        <v>131</v>
      </c>
      <c r="I10" s="1438"/>
      <c r="J10" s="1454">
        <f>Calculation!C45</f>
        <v>30</v>
      </c>
      <c r="K10" s="1438" t="s">
        <v>132</v>
      </c>
      <c r="L10" s="1438"/>
      <c r="M10" s="1460"/>
      <c r="N10" s="1440" t="s">
        <v>133</v>
      </c>
      <c r="O10" s="1440"/>
      <c r="P10" s="1443">
        <f>P6+P7+P8</f>
        <v>0</v>
      </c>
      <c r="Q10" s="1458" t="s">
        <v>134</v>
      </c>
      <c r="R10" s="1458"/>
      <c r="S10" s="1458"/>
      <c r="T10" s="1461"/>
      <c r="U10" s="1450">
        <f>IF(T10&gt;0,T10*J7,0)</f>
        <v>0</v>
      </c>
      <c r="V10" s="1451" t="s">
        <v>135</v>
      </c>
      <c r="W10" s="1451"/>
      <c r="X10" s="1451"/>
      <c r="Y10" s="1462">
        <v>4.8611111111111112E-2</v>
      </c>
      <c r="Z10" s="1450"/>
      <c r="AA10" s="1452">
        <f>'Input　seet'!D34</f>
        <v>0</v>
      </c>
      <c r="AB10" s="1452"/>
      <c r="AC10" s="1451" t="s">
        <v>333</v>
      </c>
      <c r="AD10" s="1451"/>
      <c r="AE10" s="1451"/>
      <c r="AF10" s="1450"/>
      <c r="AG10" s="1463">
        <v>3</v>
      </c>
      <c r="AH10" s="1440" t="s">
        <v>137</v>
      </c>
      <c r="AI10" s="1440"/>
      <c r="AJ10" s="1440"/>
      <c r="AK10" s="1440"/>
      <c r="AL10" s="1450">
        <f>AG10</f>
        <v>3</v>
      </c>
      <c r="AM10" s="856"/>
      <c r="AN10" s="856"/>
      <c r="AO10" s="856"/>
      <c r="AP10" s="856"/>
      <c r="AQ10" s="856"/>
      <c r="AR10" s="874"/>
      <c r="AS10" s="874"/>
      <c r="AT10" s="874"/>
      <c r="AU10" s="874"/>
      <c r="AV10" s="874"/>
      <c r="AW10" s="874"/>
      <c r="AX10" s="874"/>
      <c r="AY10" s="874"/>
      <c r="AZ10" s="874"/>
      <c r="BA10" s="875"/>
      <c r="BB10" s="856"/>
      <c r="BC10" s="856"/>
      <c r="BD10" s="856"/>
      <c r="BE10" s="856"/>
      <c r="BF10" s="856"/>
      <c r="BG10" s="856"/>
      <c r="BH10" s="876"/>
      <c r="BI10" s="876"/>
      <c r="BJ10" s="856"/>
      <c r="BK10" s="856"/>
      <c r="BL10" s="856"/>
      <c r="BM10" s="856"/>
    </row>
    <row r="11" spans="2:65" s="873" customFormat="1" ht="15.75" customHeight="1">
      <c r="B11" s="1440" t="s">
        <v>138</v>
      </c>
      <c r="C11" s="1440"/>
      <c r="D11" s="1440"/>
      <c r="E11" s="1440"/>
      <c r="F11" s="1440"/>
      <c r="G11" s="1464"/>
      <c r="H11" s="1438"/>
      <c r="I11" s="1438"/>
      <c r="J11" s="1465"/>
      <c r="K11" s="1466" t="s">
        <v>139</v>
      </c>
      <c r="L11" s="1466"/>
      <c r="M11" s="1467">
        <f>'Input　seet'!D43</f>
        <v>20000000</v>
      </c>
      <c r="N11" s="1440" t="s">
        <v>140</v>
      </c>
      <c r="O11" s="1440"/>
      <c r="P11" s="1443">
        <f>'Input　seet'!D17</f>
        <v>0</v>
      </c>
      <c r="Q11" s="1458" t="s">
        <v>141</v>
      </c>
      <c r="R11" s="1458"/>
      <c r="S11" s="1458"/>
      <c r="T11" s="1461">
        <f>'Input　seet'!D32</f>
        <v>500000</v>
      </c>
      <c r="U11" s="1450">
        <f>IF(T11&gt;0,T11*J7,0)</f>
        <v>12000000</v>
      </c>
      <c r="V11" s="1451" t="s">
        <v>142</v>
      </c>
      <c r="W11" s="1451"/>
      <c r="X11" s="1451"/>
      <c r="Y11" s="1451"/>
      <c r="Z11" s="1450"/>
      <c r="AA11" s="1452">
        <f>AA8*25%</f>
        <v>8480082.5106164385</v>
      </c>
      <c r="AB11" s="1452"/>
      <c r="AC11" s="1451" t="s">
        <v>334</v>
      </c>
      <c r="AD11" s="1451"/>
      <c r="AE11" s="1451"/>
      <c r="AF11" s="1450"/>
      <c r="AG11" s="1463">
        <v>3</v>
      </c>
      <c r="AH11" s="1440" t="s">
        <v>144</v>
      </c>
      <c r="AI11" s="1440"/>
      <c r="AJ11" s="1440"/>
      <c r="AK11" s="1440"/>
      <c r="AL11" s="1450">
        <f>AG11</f>
        <v>3</v>
      </c>
      <c r="AM11" s="856"/>
      <c r="AN11" s="856"/>
      <c r="AO11" s="856"/>
      <c r="AP11" s="856"/>
      <c r="AQ11" s="856"/>
      <c r="AR11" s="874"/>
      <c r="AS11" s="874"/>
      <c r="AT11" s="874"/>
      <c r="AU11" s="874"/>
      <c r="AV11" s="874"/>
      <c r="AW11" s="874"/>
      <c r="AX11" s="874"/>
      <c r="AY11" s="874"/>
      <c r="AZ11" s="874"/>
      <c r="BA11" s="875"/>
      <c r="BB11" s="856"/>
      <c r="BC11" s="856"/>
      <c r="BD11" s="856"/>
      <c r="BE11" s="856"/>
      <c r="BF11" s="856"/>
      <c r="BG11" s="856"/>
      <c r="BH11" s="876"/>
      <c r="BI11" s="876"/>
      <c r="BJ11" s="856"/>
      <c r="BK11" s="856"/>
      <c r="BL11" s="856"/>
      <c r="BM11" s="856"/>
    </row>
    <row r="12" spans="2:65" s="873" customFormat="1" ht="15.75" customHeight="1">
      <c r="B12" s="1440" t="s">
        <v>145</v>
      </c>
      <c r="C12" s="1440"/>
      <c r="D12" s="1440"/>
      <c r="E12" s="1440"/>
      <c r="F12" s="1440"/>
      <c r="G12" s="1464"/>
      <c r="H12" s="1468" t="s">
        <v>146</v>
      </c>
      <c r="I12" s="1468"/>
      <c r="J12" s="1454"/>
      <c r="K12" s="1438" t="s">
        <v>147</v>
      </c>
      <c r="L12" s="1438"/>
      <c r="M12" s="1455">
        <f>M11*10%</f>
        <v>2000000</v>
      </c>
      <c r="N12" s="1440" t="s">
        <v>148</v>
      </c>
      <c r="O12" s="1440"/>
      <c r="P12" s="1469">
        <f>'Input　seet'!D20</f>
        <v>0</v>
      </c>
      <c r="Q12" s="1470"/>
      <c r="R12" s="1470"/>
      <c r="S12" s="1470"/>
      <c r="T12" s="1471"/>
      <c r="U12" s="1471"/>
      <c r="V12" s="1472"/>
      <c r="W12" s="1472"/>
      <c r="X12" s="1472"/>
      <c r="Y12" s="1472"/>
      <c r="Z12" s="1472"/>
      <c r="AA12" s="1452"/>
      <c r="AB12" s="1452"/>
      <c r="AC12" s="1451" t="s">
        <v>335</v>
      </c>
      <c r="AD12" s="1451"/>
      <c r="AE12" s="1451"/>
      <c r="AF12" s="1450"/>
      <c r="AG12" s="1463">
        <v>3</v>
      </c>
      <c r="AH12" s="1440" t="s">
        <v>150</v>
      </c>
      <c r="AI12" s="1440"/>
      <c r="AJ12" s="1440"/>
      <c r="AK12" s="1440"/>
      <c r="AL12" s="1450">
        <f>AG12</f>
        <v>3</v>
      </c>
      <c r="AM12" s="856"/>
      <c r="AN12" s="856"/>
      <c r="AO12" s="856"/>
      <c r="AP12" s="856"/>
      <c r="AQ12" s="856"/>
      <c r="AR12" s="874"/>
      <c r="AS12" s="874"/>
      <c r="AT12" s="874"/>
      <c r="AU12" s="874"/>
      <c r="AV12" s="874"/>
      <c r="AW12" s="874"/>
      <c r="AX12" s="874"/>
      <c r="AY12" s="874"/>
      <c r="AZ12" s="874"/>
      <c r="BA12" s="875"/>
      <c r="BB12" s="856"/>
      <c r="BC12" s="856"/>
      <c r="BD12" s="856"/>
      <c r="BE12" s="856"/>
      <c r="BF12" s="856"/>
      <c r="BG12" s="856"/>
      <c r="BH12" s="876"/>
      <c r="BI12" s="876"/>
      <c r="BJ12" s="856"/>
      <c r="BK12" s="856"/>
      <c r="BL12" s="856"/>
      <c r="BM12" s="856"/>
    </row>
    <row r="13" spans="2:65" s="873" customFormat="1" ht="15.75" customHeight="1">
      <c r="B13" s="1440" t="s">
        <v>151</v>
      </c>
      <c r="C13" s="1440"/>
      <c r="D13" s="1440"/>
      <c r="E13" s="1440"/>
      <c r="F13" s="1440"/>
      <c r="G13" s="1464">
        <f>Calculation!D13</f>
        <v>0.17499999999999999</v>
      </c>
      <c r="H13" s="1438"/>
      <c r="I13" s="1438"/>
      <c r="J13" s="1473"/>
      <c r="K13" s="1474" t="s">
        <v>152</v>
      </c>
      <c r="L13" s="1474"/>
      <c r="M13" s="1455">
        <f>M11*15%</f>
        <v>3000000</v>
      </c>
      <c r="N13" s="1440" t="s">
        <v>153</v>
      </c>
      <c r="O13" s="1440"/>
      <c r="P13" s="1469"/>
      <c r="Q13" s="1475" t="s">
        <v>154</v>
      </c>
      <c r="R13" s="1475"/>
      <c r="S13" s="1475"/>
      <c r="T13" s="1476"/>
      <c r="U13" s="1476"/>
      <c r="V13" s="1472"/>
      <c r="W13" s="1472"/>
      <c r="X13" s="1472"/>
      <c r="Y13" s="1472"/>
      <c r="Z13" s="1472"/>
      <c r="AA13" s="1452"/>
      <c r="AB13" s="1452"/>
      <c r="AC13" s="1477"/>
      <c r="AD13" s="1477"/>
      <c r="AE13" s="1477"/>
      <c r="AF13" s="1472"/>
      <c r="AG13" s="1472"/>
      <c r="AH13" s="1440"/>
      <c r="AI13" s="1440"/>
      <c r="AJ13" s="1440"/>
      <c r="AK13" s="1440"/>
      <c r="AL13" s="1450"/>
      <c r="AM13" s="856"/>
      <c r="AN13" s="856"/>
      <c r="AO13" s="856"/>
      <c r="AP13" s="856"/>
      <c r="AQ13" s="856"/>
      <c r="AR13" s="874"/>
      <c r="AS13" s="874"/>
      <c r="AT13" s="874"/>
      <c r="AU13" s="874"/>
      <c r="AV13" s="874"/>
      <c r="AW13" s="874"/>
      <c r="AX13" s="874"/>
      <c r="AY13" s="874"/>
      <c r="AZ13" s="874"/>
      <c r="BA13" s="875"/>
      <c r="BB13" s="856"/>
      <c r="BC13" s="856"/>
      <c r="BD13" s="856"/>
      <c r="BE13" s="856"/>
      <c r="BF13" s="856"/>
      <c r="BG13" s="856"/>
      <c r="BH13" s="876"/>
      <c r="BI13" s="876"/>
      <c r="BJ13" s="856"/>
      <c r="BK13" s="856"/>
      <c r="BL13" s="856"/>
      <c r="BM13" s="856"/>
    </row>
    <row r="14" spans="2:65" s="873" customFormat="1" ht="15.75" customHeight="1">
      <c r="B14" s="1440" t="s">
        <v>155</v>
      </c>
      <c r="C14" s="1440"/>
      <c r="D14" s="1440"/>
      <c r="E14" s="1440"/>
      <c r="F14" s="1440"/>
      <c r="G14" s="1464">
        <f>Calculation!D14</f>
        <v>9.2999999999999999E-2</v>
      </c>
      <c r="H14" s="1438"/>
      <c r="I14" s="1438"/>
      <c r="J14" s="1478"/>
      <c r="K14" s="1466" t="s">
        <v>156</v>
      </c>
      <c r="L14" s="1466"/>
      <c r="M14" s="1479">
        <f>'Input　seet'!D22</f>
        <v>148416000</v>
      </c>
      <c r="N14" s="1440" t="s">
        <v>157</v>
      </c>
      <c r="O14" s="1440"/>
      <c r="P14" s="1460"/>
      <c r="Q14" s="1475"/>
      <c r="R14" s="1475"/>
      <c r="S14" s="1475"/>
      <c r="T14" s="1480">
        <v>1</v>
      </c>
      <c r="U14" s="1480"/>
      <c r="V14" s="1472"/>
      <c r="W14" s="1472"/>
      <c r="X14" s="1472"/>
      <c r="Y14" s="1472"/>
      <c r="Z14" s="1472"/>
      <c r="AA14" s="1452"/>
      <c r="AB14" s="1452"/>
      <c r="AC14" s="1477"/>
      <c r="AD14" s="1477"/>
      <c r="AE14" s="1477"/>
      <c r="AF14" s="1472"/>
      <c r="AG14" s="1472"/>
      <c r="AH14" s="1440"/>
      <c r="AI14" s="1440"/>
      <c r="AJ14" s="1440"/>
      <c r="AK14" s="1440"/>
      <c r="AL14" s="1450"/>
      <c r="AM14" s="856"/>
      <c r="AN14" s="856"/>
      <c r="AO14" s="856"/>
      <c r="AP14" s="856"/>
      <c r="AQ14" s="856"/>
      <c r="AR14" s="874"/>
      <c r="AS14" s="874"/>
      <c r="AT14" s="874"/>
      <c r="AU14" s="874"/>
      <c r="AV14" s="874"/>
      <c r="AW14" s="874"/>
      <c r="AX14" s="874"/>
      <c r="AY14" s="874"/>
      <c r="AZ14" s="874"/>
      <c r="BA14" s="875"/>
      <c r="BB14" s="856"/>
      <c r="BC14" s="856"/>
      <c r="BD14" s="856"/>
      <c r="BE14" s="856"/>
      <c r="BF14" s="856"/>
      <c r="BG14" s="856"/>
      <c r="BH14" s="876"/>
      <c r="BI14" s="876"/>
      <c r="BJ14" s="856"/>
      <c r="BK14" s="856"/>
      <c r="BL14" s="856"/>
      <c r="BM14" s="856"/>
    </row>
    <row r="15" spans="2:65" s="873" customFormat="1" ht="15.75" customHeight="1">
      <c r="B15" s="1440" t="s">
        <v>158</v>
      </c>
      <c r="C15" s="1440"/>
      <c r="D15" s="1440"/>
      <c r="E15" s="1440"/>
      <c r="F15" s="1440"/>
      <c r="G15" s="1459">
        <f>G13-G14</f>
        <v>8.199999999999999E-2</v>
      </c>
      <c r="H15" s="1438"/>
      <c r="I15" s="1438"/>
      <c r="J15" s="1478"/>
      <c r="K15" s="1438" t="s">
        <v>159</v>
      </c>
      <c r="L15" s="1438"/>
      <c r="M15" s="1481">
        <f>M14-(M14/1.1)</f>
        <v>13492363.636363655</v>
      </c>
      <c r="N15" s="1440"/>
      <c r="O15" s="1440"/>
      <c r="P15" s="1482"/>
      <c r="Q15" s="1444"/>
      <c r="R15" s="1444"/>
      <c r="S15" s="1444"/>
      <c r="T15" s="1446"/>
      <c r="U15" s="1446"/>
      <c r="V15" s="1472"/>
      <c r="W15" s="1472"/>
      <c r="X15" s="1472"/>
      <c r="Y15" s="1472"/>
      <c r="Z15" s="1472"/>
      <c r="AA15" s="1452"/>
      <c r="AB15" s="1452"/>
      <c r="AC15" s="1477"/>
      <c r="AD15" s="1477"/>
      <c r="AE15" s="1477"/>
      <c r="AF15" s="1472"/>
      <c r="AG15" s="1472"/>
      <c r="AH15" s="1440"/>
      <c r="AI15" s="1440"/>
      <c r="AJ15" s="1440"/>
      <c r="AK15" s="1440"/>
      <c r="AL15" s="1450"/>
      <c r="AM15" s="856"/>
      <c r="AN15" s="856"/>
      <c r="AO15" s="856"/>
      <c r="AP15" s="856"/>
      <c r="AQ15" s="856"/>
      <c r="AR15" s="874"/>
      <c r="AS15" s="874"/>
      <c r="AT15" s="874"/>
      <c r="AU15" s="874"/>
      <c r="AV15" s="874"/>
      <c r="AW15" s="874"/>
      <c r="AX15" s="874"/>
      <c r="AY15" s="874"/>
      <c r="AZ15" s="874"/>
      <c r="BA15" s="875"/>
      <c r="BB15" s="856"/>
      <c r="BC15" s="856"/>
      <c r="BD15" s="856"/>
      <c r="BE15" s="856"/>
      <c r="BF15" s="856"/>
      <c r="BG15" s="856"/>
      <c r="BH15" s="876"/>
      <c r="BI15" s="876"/>
      <c r="BJ15" s="856"/>
      <c r="BK15" s="856"/>
      <c r="BL15" s="856"/>
      <c r="BM15" s="856"/>
    </row>
    <row r="16" spans="2:65" ht="15.75" customHeight="1" thickBot="1">
      <c r="B16" s="571"/>
      <c r="C16" s="571"/>
      <c r="D16" s="571"/>
      <c r="E16" s="571"/>
      <c r="F16" s="571"/>
      <c r="G16" s="571"/>
      <c r="H16" s="571"/>
      <c r="I16" s="571"/>
      <c r="J16" s="571"/>
      <c r="M16" s="581"/>
      <c r="AI16" s="576"/>
    </row>
    <row r="17" spans="1:61" s="585" customFormat="1" ht="21.95" customHeight="1" thickTop="1">
      <c r="B17" s="1483" t="s">
        <v>160</v>
      </c>
      <c r="C17" s="1483" t="s">
        <v>336</v>
      </c>
      <c r="D17" s="1484" t="s">
        <v>162</v>
      </c>
      <c r="E17" s="1243" t="s">
        <v>163</v>
      </c>
      <c r="F17" s="1244"/>
      <c r="G17" s="1244"/>
      <c r="H17" s="1244"/>
      <c r="I17" s="1244"/>
      <c r="J17" s="1244"/>
      <c r="K17" s="1244"/>
      <c r="L17" s="1244"/>
      <c r="M17" s="1244"/>
      <c r="N17" s="1244"/>
      <c r="O17" s="1244"/>
      <c r="P17" s="1244"/>
      <c r="Q17" s="1244"/>
      <c r="R17" s="1244"/>
      <c r="S17" s="1244"/>
      <c r="T17" s="1244"/>
      <c r="U17" s="1245" t="s">
        <v>337</v>
      </c>
      <c r="V17" s="1241" t="s">
        <v>338</v>
      </c>
      <c r="W17" s="1243" t="s">
        <v>165</v>
      </c>
      <c r="X17" s="1244"/>
      <c r="Y17" s="1244"/>
      <c r="Z17" s="1244"/>
      <c r="AA17" s="1244"/>
      <c r="AB17" s="1257" t="s">
        <v>339</v>
      </c>
      <c r="AC17" s="1247" t="s">
        <v>340</v>
      </c>
      <c r="AD17" s="1249" t="s">
        <v>341</v>
      </c>
      <c r="AE17" s="1238" t="s">
        <v>342</v>
      </c>
      <c r="AF17" s="1238" t="s">
        <v>343</v>
      </c>
      <c r="AG17" s="1259" t="s">
        <v>344</v>
      </c>
      <c r="AH17" s="1259" t="s">
        <v>345</v>
      </c>
      <c r="AI17" s="1230" t="s">
        <v>346</v>
      </c>
      <c r="AJ17" s="1233" t="s">
        <v>169</v>
      </c>
      <c r="AK17" s="1234"/>
      <c r="AL17" s="1234"/>
      <c r="AM17" s="1234"/>
      <c r="AN17" s="1235"/>
      <c r="AO17" s="1233" t="s">
        <v>170</v>
      </c>
      <c r="AP17" s="1234"/>
      <c r="AQ17" s="1234"/>
      <c r="AR17" s="1235"/>
      <c r="AS17" s="1209" t="s">
        <v>171</v>
      </c>
      <c r="AT17" s="1223" t="s">
        <v>174</v>
      </c>
    </row>
    <row r="18" spans="1:61" s="585" customFormat="1" ht="18" customHeight="1">
      <c r="B18" s="1255"/>
      <c r="C18" s="1255"/>
      <c r="D18" s="1253"/>
      <c r="E18" s="1485" t="s">
        <v>347</v>
      </c>
      <c r="F18" s="1486"/>
      <c r="G18" s="1486" t="s">
        <v>348</v>
      </c>
      <c r="H18" s="1486"/>
      <c r="I18" s="1486" t="s">
        <v>349</v>
      </c>
      <c r="J18" s="1486"/>
      <c r="K18" s="1486" t="s">
        <v>350</v>
      </c>
      <c r="L18" s="1486"/>
      <c r="M18" s="1487" t="s">
        <v>180</v>
      </c>
      <c r="N18" s="1488" t="s">
        <v>351</v>
      </c>
      <c r="O18" s="1487" t="s">
        <v>182</v>
      </c>
      <c r="P18" s="1486" t="s">
        <v>352</v>
      </c>
      <c r="Q18" s="1489"/>
      <c r="R18" s="1490" t="s">
        <v>184</v>
      </c>
      <c r="S18" s="1490" t="s">
        <v>353</v>
      </c>
      <c r="T18" s="1487" t="s">
        <v>354</v>
      </c>
      <c r="U18" s="1491"/>
      <c r="V18" s="1492"/>
      <c r="W18" s="1493" t="s">
        <v>355</v>
      </c>
      <c r="X18" s="1494"/>
      <c r="Y18" s="1494" t="s">
        <v>356</v>
      </c>
      <c r="Z18" s="1494"/>
      <c r="AA18" s="1494"/>
      <c r="AB18" s="1495"/>
      <c r="AC18" s="1496"/>
      <c r="AD18" s="1250"/>
      <c r="AE18" s="1239"/>
      <c r="AF18" s="1239"/>
      <c r="AG18" s="1260"/>
      <c r="AH18" s="1260"/>
      <c r="AI18" s="1231"/>
      <c r="AJ18" s="1497" t="s">
        <v>357</v>
      </c>
      <c r="AK18" s="1498" t="s">
        <v>190</v>
      </c>
      <c r="AL18" s="1499" t="s">
        <v>191</v>
      </c>
      <c r="AM18" s="1498" t="s">
        <v>192</v>
      </c>
      <c r="AN18" s="1500" t="s">
        <v>193</v>
      </c>
      <c r="AO18" s="1501" t="s">
        <v>194</v>
      </c>
      <c r="AP18" s="1502" t="s">
        <v>195</v>
      </c>
      <c r="AQ18" s="1503" t="s">
        <v>196</v>
      </c>
      <c r="AR18" s="1504" t="s">
        <v>197</v>
      </c>
      <c r="AS18" s="1210"/>
      <c r="AT18" s="1224"/>
    </row>
    <row r="19" spans="1:61" s="585" customFormat="1" ht="18" customHeight="1">
      <c r="B19" s="1255"/>
      <c r="C19" s="1255"/>
      <c r="D19" s="1253"/>
      <c r="E19" s="1485" t="s">
        <v>358</v>
      </c>
      <c r="F19" s="1505" t="s">
        <v>205</v>
      </c>
      <c r="G19" s="1486" t="s">
        <v>204</v>
      </c>
      <c r="H19" s="1505" t="s">
        <v>205</v>
      </c>
      <c r="I19" s="1486" t="s">
        <v>204</v>
      </c>
      <c r="J19" s="1505" t="s">
        <v>205</v>
      </c>
      <c r="K19" s="1486" t="s">
        <v>206</v>
      </c>
      <c r="L19" s="1505" t="s">
        <v>205</v>
      </c>
      <c r="M19" s="1487"/>
      <c r="N19" s="1488"/>
      <c r="O19" s="1487"/>
      <c r="P19" s="1486" t="s">
        <v>206</v>
      </c>
      <c r="Q19" s="1505" t="s">
        <v>205</v>
      </c>
      <c r="R19" s="1490"/>
      <c r="S19" s="1490"/>
      <c r="T19" s="1487"/>
      <c r="U19" s="1491"/>
      <c r="V19" s="1492"/>
      <c r="W19" s="1493" t="s">
        <v>207</v>
      </c>
      <c r="X19" s="1506" t="s">
        <v>192</v>
      </c>
      <c r="Y19" s="1494" t="s">
        <v>208</v>
      </c>
      <c r="Z19" s="1486" t="s">
        <v>192</v>
      </c>
      <c r="AA19" s="1486" t="s">
        <v>193</v>
      </c>
      <c r="AB19" s="1495"/>
      <c r="AC19" s="1496"/>
      <c r="AD19" s="1250"/>
      <c r="AE19" s="1239"/>
      <c r="AF19" s="1239"/>
      <c r="AG19" s="1260"/>
      <c r="AH19" s="1260"/>
      <c r="AI19" s="1231"/>
      <c r="AJ19" s="1215"/>
      <c r="AK19" s="1217"/>
      <c r="AL19" s="1219"/>
      <c r="AM19" s="1217"/>
      <c r="AN19" s="1221"/>
      <c r="AO19" s="1212"/>
      <c r="AP19" s="1502"/>
      <c r="AQ19" s="1236"/>
      <c r="AR19" s="902"/>
      <c r="AS19" s="1210"/>
      <c r="AT19" s="1224"/>
    </row>
    <row r="20" spans="1:61" s="585" customFormat="1" ht="30.75" customHeight="1" thickBot="1">
      <c r="B20" s="1256"/>
      <c r="C20" s="1256"/>
      <c r="D20" s="1254"/>
      <c r="E20" s="1507"/>
      <c r="F20" s="1508"/>
      <c r="G20" s="1509"/>
      <c r="H20" s="1508"/>
      <c r="I20" s="1509"/>
      <c r="J20" s="1508"/>
      <c r="K20" s="1509"/>
      <c r="L20" s="1508"/>
      <c r="M20" s="1226"/>
      <c r="N20" s="1227"/>
      <c r="O20" s="1226"/>
      <c r="P20" s="1509"/>
      <c r="Q20" s="1508"/>
      <c r="R20" s="1252"/>
      <c r="S20" s="1252"/>
      <c r="T20" s="1226"/>
      <c r="U20" s="1246"/>
      <c r="V20" s="1242"/>
      <c r="W20" s="1285"/>
      <c r="X20" s="1286"/>
      <c r="Y20" s="1228"/>
      <c r="Z20" s="1229"/>
      <c r="AA20" s="1229"/>
      <c r="AB20" s="1258"/>
      <c r="AC20" s="1248"/>
      <c r="AD20" s="1251"/>
      <c r="AE20" s="1240"/>
      <c r="AF20" s="1240"/>
      <c r="AG20" s="1261"/>
      <c r="AH20" s="1261"/>
      <c r="AI20" s="1232"/>
      <c r="AJ20" s="1216"/>
      <c r="AK20" s="1218"/>
      <c r="AL20" s="1220"/>
      <c r="AM20" s="1218"/>
      <c r="AN20" s="1222"/>
      <c r="AO20" s="1213"/>
      <c r="AP20" s="1214"/>
      <c r="AQ20" s="1237"/>
      <c r="AR20" s="903"/>
      <c r="AS20" s="1211"/>
      <c r="AT20" s="1225"/>
    </row>
    <row r="21" spans="1:61" s="595" customFormat="1" ht="15.75" customHeight="1" thickTop="1" thickBot="1">
      <c r="B21" s="1510"/>
      <c r="C21" s="1510"/>
      <c r="D21" s="1510"/>
      <c r="E21" s="596"/>
      <c r="F21" s="596"/>
      <c r="G21" s="596"/>
      <c r="H21" s="596"/>
      <c r="I21" s="596"/>
      <c r="J21" s="596"/>
      <c r="K21" s="596"/>
      <c r="L21" s="596"/>
      <c r="M21" s="596"/>
      <c r="N21" s="952"/>
      <c r="O21" s="596"/>
      <c r="P21" s="596"/>
      <c r="Q21" s="596"/>
      <c r="R21" s="596"/>
      <c r="S21" s="596"/>
      <c r="T21" s="596"/>
      <c r="U21" s="596"/>
      <c r="V21" s="596"/>
      <c r="W21" s="597"/>
      <c r="X21" s="596"/>
      <c r="Y21" s="596"/>
      <c r="Z21" s="596"/>
      <c r="AA21" s="596"/>
      <c r="AB21" s="952"/>
      <c r="AC21" s="952"/>
      <c r="AD21" s="598"/>
      <c r="AF21" s="598"/>
      <c r="AG21" s="598"/>
      <c r="AH21" s="598"/>
      <c r="AI21" s="596"/>
      <c r="AJ21" s="596"/>
      <c r="AK21" s="596"/>
      <c r="AL21" s="596"/>
      <c r="AM21" s="596"/>
      <c r="AN21" s="596"/>
      <c r="AT21" s="596"/>
    </row>
    <row r="22" spans="1:61" s="595" customFormat="1" ht="15.75" customHeight="1" thickTop="1">
      <c r="A22" s="966">
        <v>-3</v>
      </c>
      <c r="B22" s="1511">
        <v>-3</v>
      </c>
      <c r="C22" s="1512">
        <f>IF($C23=1,12,$C23-1)</f>
        <v>10</v>
      </c>
      <c r="D22" s="1513">
        <f>IF($C25=1,$D$25-1,"             ")</f>
        <v>2017</v>
      </c>
      <c r="E22" s="889">
        <f>IF($AG$10=$A22*-1,$AG$7*-1,0)</f>
        <v>0</v>
      </c>
      <c r="F22" s="892"/>
      <c r="G22" s="890">
        <f>IF($AG$11=$A22*-1,$AG$8*-1,0)</f>
        <v>0</v>
      </c>
      <c r="H22" s="892"/>
      <c r="I22" s="890">
        <f>IF($A22*-1=$AG$12,$AG$9*-1,0)</f>
        <v>0</v>
      </c>
      <c r="J22" s="892"/>
      <c r="K22" s="890"/>
      <c r="L22" s="892"/>
      <c r="M22" s="890"/>
      <c r="N22" s="961"/>
      <c r="O22" s="890"/>
      <c r="P22" s="890"/>
      <c r="Q22" s="892"/>
      <c r="R22" s="890"/>
      <c r="S22" s="890">
        <f>(E22+F22+G22+H22+I22+J22)*G14*1/12</f>
        <v>0</v>
      </c>
      <c r="T22" s="890"/>
      <c r="U22" s="890">
        <f>SUM(E22:T22)</f>
        <v>0</v>
      </c>
      <c r="V22" s="894">
        <f t="shared" ref="V22:V24" si="0">M22+P22+T22+N22</f>
        <v>0</v>
      </c>
      <c r="W22" s="895"/>
      <c r="X22" s="904"/>
      <c r="Y22" s="896"/>
      <c r="Z22" s="896"/>
      <c r="AA22" s="896"/>
      <c r="AB22" s="953"/>
      <c r="AC22" s="955">
        <v>0</v>
      </c>
      <c r="AD22" s="899">
        <f>U22+AC22</f>
        <v>0</v>
      </c>
      <c r="AE22" s="900">
        <f>(U22-V22)+AC22</f>
        <v>0</v>
      </c>
      <c r="AF22" s="901">
        <f>V22</f>
        <v>0</v>
      </c>
      <c r="AG22" s="1514">
        <f t="shared" ref="AG22:AG24" si="1">PV($G$13/12,$B22,0,$AE22*-1,0)</f>
        <v>0</v>
      </c>
      <c r="AH22" s="901"/>
      <c r="AI22" s="1515">
        <f t="shared" ref="AI22:AI24" si="2">AG22+AH22</f>
        <v>0</v>
      </c>
      <c r="AJ22" s="895"/>
      <c r="AK22" s="904"/>
      <c r="AL22" s="896"/>
      <c r="AM22" s="904"/>
      <c r="AN22" s="904"/>
      <c r="AO22" s="905"/>
      <c r="AP22" s="905"/>
      <c r="AQ22" s="905"/>
      <c r="AR22" s="905"/>
      <c r="AS22" s="905"/>
      <c r="AT22" s="906">
        <v>-3</v>
      </c>
    </row>
    <row r="23" spans="1:61" s="595" customFormat="1" ht="15.75" customHeight="1">
      <c r="A23" s="966">
        <v>-2</v>
      </c>
      <c r="B23" s="1511">
        <v>-2</v>
      </c>
      <c r="C23" s="1512">
        <f>IF($C24=1,12,$C24-1)</f>
        <v>11</v>
      </c>
      <c r="D23" s="1513"/>
      <c r="E23" s="1516">
        <f t="shared" ref="E23:E24" si="3">IF($AG$10=$A23*-1,$AG$7*-1,0)</f>
        <v>0</v>
      </c>
      <c r="F23" s="1517"/>
      <c r="G23" s="1518">
        <f t="shared" ref="G23:G24" si="4">IF($AG$11=$A23*-1,$AG$8*-1,0)</f>
        <v>0</v>
      </c>
      <c r="H23" s="1517"/>
      <c r="I23" s="1518">
        <f t="shared" ref="I23:I24" si="5">IF($A23*-1=$AG$12,$AG$9*-1,0)</f>
        <v>0</v>
      </c>
      <c r="J23" s="1517"/>
      <c r="K23" s="1518"/>
      <c r="L23" s="1517"/>
      <c r="M23" s="1518"/>
      <c r="N23" s="1519"/>
      <c r="O23" s="1518"/>
      <c r="P23" s="1518"/>
      <c r="Q23" s="1517"/>
      <c r="R23" s="1518"/>
      <c r="S23" s="1518">
        <f>SUM(E22:J23)*G14*1/12</f>
        <v>0</v>
      </c>
      <c r="T23" s="1518"/>
      <c r="U23" s="1518">
        <f t="shared" ref="U23:U53" si="6">SUM(E23:T23)</f>
        <v>0</v>
      </c>
      <c r="V23" s="1520">
        <f t="shared" si="0"/>
        <v>0</v>
      </c>
      <c r="W23" s="1521"/>
      <c r="X23" s="1522"/>
      <c r="Y23" s="1511"/>
      <c r="Z23" s="1511"/>
      <c r="AA23" s="1511"/>
      <c r="AB23" s="1523"/>
      <c r="AC23" s="1524">
        <v>0</v>
      </c>
      <c r="AD23" s="1525">
        <f t="shared" ref="AD23:AD53" si="7">U23+AC23</f>
        <v>0</v>
      </c>
      <c r="AE23" s="1526">
        <f t="shared" ref="AE23:AE53" si="8">(U23-V23)+AC23</f>
        <v>0</v>
      </c>
      <c r="AF23" s="1514">
        <f t="shared" ref="AF23:AF86" si="9">V23</f>
        <v>0</v>
      </c>
      <c r="AG23" s="1514">
        <f t="shared" si="1"/>
        <v>0</v>
      </c>
      <c r="AH23" s="1514"/>
      <c r="AI23" s="1515">
        <f t="shared" si="2"/>
        <v>0</v>
      </c>
      <c r="AJ23" s="1521"/>
      <c r="AK23" s="1522"/>
      <c r="AL23" s="1511"/>
      <c r="AM23" s="1522"/>
      <c r="AN23" s="1522"/>
      <c r="AO23" s="1527"/>
      <c r="AP23" s="1527"/>
      <c r="AQ23" s="1527"/>
      <c r="AR23" s="1527"/>
      <c r="AS23" s="1527"/>
      <c r="AT23" s="1528">
        <v>-2</v>
      </c>
    </row>
    <row r="24" spans="1:61" s="595" customFormat="1" ht="15.75" customHeight="1">
      <c r="A24" s="966">
        <v>-1</v>
      </c>
      <c r="B24" s="1511">
        <v>-1</v>
      </c>
      <c r="C24" s="1512">
        <f>IF($C25=1,12,$C25-1)</f>
        <v>12</v>
      </c>
      <c r="D24" s="1513"/>
      <c r="E24" s="1516">
        <f t="shared" si="3"/>
        <v>0</v>
      </c>
      <c r="F24" s="1517"/>
      <c r="G24" s="1518">
        <f t="shared" si="4"/>
        <v>0</v>
      </c>
      <c r="H24" s="1517"/>
      <c r="I24" s="1518">
        <f t="shared" si="5"/>
        <v>0</v>
      </c>
      <c r="J24" s="1517"/>
      <c r="K24" s="1518"/>
      <c r="L24" s="1517"/>
      <c r="M24" s="1518"/>
      <c r="N24" s="1519"/>
      <c r="O24" s="1518"/>
      <c r="P24" s="1518"/>
      <c r="Q24" s="1517"/>
      <c r="R24" s="1518"/>
      <c r="S24" s="1518">
        <f>SUM(E22:J24)*G14*1/12</f>
        <v>0</v>
      </c>
      <c r="T24" s="1518"/>
      <c r="U24" s="1518">
        <f t="shared" si="6"/>
        <v>0</v>
      </c>
      <c r="V24" s="1520">
        <f t="shared" si="0"/>
        <v>0</v>
      </c>
      <c r="W24" s="1521"/>
      <c r="X24" s="1522"/>
      <c r="Y24" s="1511"/>
      <c r="Z24" s="1511"/>
      <c r="AA24" s="1511"/>
      <c r="AB24" s="1523"/>
      <c r="AC24" s="1524">
        <v>0</v>
      </c>
      <c r="AD24" s="1525">
        <f t="shared" si="7"/>
        <v>0</v>
      </c>
      <c r="AE24" s="1526">
        <f t="shared" si="8"/>
        <v>0</v>
      </c>
      <c r="AF24" s="1514">
        <f t="shared" si="9"/>
        <v>0</v>
      </c>
      <c r="AG24" s="1514">
        <f t="shared" si="1"/>
        <v>0</v>
      </c>
      <c r="AH24" s="1514"/>
      <c r="AI24" s="1515">
        <f t="shared" si="2"/>
        <v>0</v>
      </c>
      <c r="AJ24" s="1521"/>
      <c r="AK24" s="1522"/>
      <c r="AL24" s="1511"/>
      <c r="AM24" s="1522"/>
      <c r="AN24" s="1522"/>
      <c r="AO24" s="1527"/>
      <c r="AP24" s="1529"/>
      <c r="AQ24" s="1530"/>
      <c r="AR24" s="1529"/>
      <c r="AS24" s="1527"/>
      <c r="AT24" s="1528">
        <v>-1</v>
      </c>
    </row>
    <row r="25" spans="1:61" ht="15.75" customHeight="1">
      <c r="B25" s="1511">
        <v>0</v>
      </c>
      <c r="C25" s="1512">
        <f>$F$7</f>
        <v>1</v>
      </c>
      <c r="D25" s="1513">
        <f>$G$7</f>
        <v>2018</v>
      </c>
      <c r="E25" s="1531">
        <f>(-M8+M9)-E23-E24-E22</f>
        <v>-281090909.09090912</v>
      </c>
      <c r="F25" s="1532"/>
      <c r="G25" s="1514">
        <f>(-P6+P11)-G22-G23-G24</f>
        <v>0</v>
      </c>
      <c r="H25" s="1532"/>
      <c r="I25" s="1514">
        <f>(-P7+P12)-I22-I23-I24</f>
        <v>0</v>
      </c>
      <c r="J25" s="1532"/>
      <c r="K25" s="1514">
        <f>-'Input　seet'!D40</f>
        <v>0</v>
      </c>
      <c r="L25" s="1532"/>
      <c r="M25" s="1514"/>
      <c r="N25" s="1533">
        <f>IF(B25&lt;=($J$7-1),($AA$8/($J$7/12))*-1,)</f>
        <v>-16960165.021232877</v>
      </c>
      <c r="O25" s="1514">
        <f>-'Input　seet'!D46</f>
        <v>-5000000</v>
      </c>
      <c r="P25" s="1514"/>
      <c r="Q25" s="1532"/>
      <c r="R25" s="1514">
        <f>(SUM(E25:Q25)+T25+U22+U23+U24)*G14*J10/360</f>
        <v>-2348645.8243691004</v>
      </c>
      <c r="S25" s="1514"/>
      <c r="T25" s="1514"/>
      <c r="U25" s="1526">
        <f t="shared" si="6"/>
        <v>-305399719.9365111</v>
      </c>
      <c r="V25" s="1520">
        <f>M25+P25+T25+N25</f>
        <v>-16960165.021232877</v>
      </c>
      <c r="W25" s="1531">
        <f t="shared" ref="W25:W85" si="10">IF($AT25=$J$7+1,$M$14/1.1,0)</f>
        <v>0</v>
      </c>
      <c r="X25" s="1532"/>
      <c r="Y25" s="1514"/>
      <c r="Z25" s="1514"/>
      <c r="AA25" s="1514"/>
      <c r="AB25" s="1534"/>
      <c r="AC25" s="1535">
        <f>SUM(W25:AB25)-X25-Z25</f>
        <v>0</v>
      </c>
      <c r="AD25" s="1525">
        <f>U25+AC25</f>
        <v>-305399719.9365111</v>
      </c>
      <c r="AE25" s="1526">
        <f>(U25-V25)+AC25</f>
        <v>-288439554.9152782</v>
      </c>
      <c r="AF25" s="1514">
        <f>V25</f>
        <v>-16960165.021232877</v>
      </c>
      <c r="AG25" s="1514">
        <f>PV($G$13/12,$B25,0,$AE25*-1,0)</f>
        <v>-288439554.9152782</v>
      </c>
      <c r="AH25" s="1514">
        <f>PV($G$14/12,$B25,0,$AF25*-1,0)</f>
        <v>-16960165.021232877</v>
      </c>
      <c r="AI25" s="1515">
        <f>AG25+AH25</f>
        <v>-305399719.9365111</v>
      </c>
      <c r="AJ25" s="1531">
        <v>0</v>
      </c>
      <c r="AK25" s="1532"/>
      <c r="AL25" s="1514">
        <v>0</v>
      </c>
      <c r="AM25" s="1532"/>
      <c r="AN25" s="1532"/>
      <c r="AO25" s="1529"/>
      <c r="AP25" s="1529"/>
      <c r="AQ25" s="1529"/>
      <c r="AR25" s="1529"/>
      <c r="AS25" s="1529"/>
      <c r="AT25" s="1528">
        <v>0</v>
      </c>
      <c r="AU25" s="575"/>
      <c r="AV25" s="575"/>
      <c r="AW25" s="575"/>
      <c r="AX25" s="575"/>
      <c r="AY25" s="575"/>
      <c r="AZ25" s="575"/>
      <c r="BA25" s="575"/>
      <c r="BH25" s="575"/>
      <c r="BI25" s="575"/>
    </row>
    <row r="26" spans="1:61" ht="15.75" customHeight="1">
      <c r="B26" s="1511">
        <f>B25+1</f>
        <v>1</v>
      </c>
      <c r="C26" s="1512">
        <f t="shared" ref="C26:C89" si="11">IF($C25=12,1,$C25+1)</f>
        <v>2</v>
      </c>
      <c r="D26" s="1513" t="str">
        <f t="shared" ref="D26:D37" si="12">IF($C25=12,$D$25+1,"             ")</f>
        <v xml:space="preserve">             </v>
      </c>
      <c r="E26" s="1531"/>
      <c r="F26" s="1532"/>
      <c r="G26" s="1514"/>
      <c r="H26" s="1532"/>
      <c r="I26" s="1514"/>
      <c r="J26" s="1532"/>
      <c r="K26" s="1514"/>
      <c r="L26" s="1532"/>
      <c r="M26" s="1514"/>
      <c r="N26" s="1533"/>
      <c r="O26" s="1514"/>
      <c r="P26" s="1514">
        <f t="shared" ref="P26:P57" si="13">IF($AT26&lt;=$J$7,($T$11)*-1,0)</f>
        <v>-500000</v>
      </c>
      <c r="Q26" s="1532"/>
      <c r="R26" s="1514"/>
      <c r="S26" s="1514"/>
      <c r="T26" s="1514">
        <f t="shared" ref="T26:T57" si="14">IF($AT26&lt;=$J$7,($AA$10/$J$7)*-1,0)</f>
        <v>0</v>
      </c>
      <c r="U26" s="1526">
        <f t="shared" si="6"/>
        <v>-500000</v>
      </c>
      <c r="V26" s="1520">
        <f t="shared" ref="V26:V89" si="15">M26+P26+T26+N26</f>
        <v>-500000</v>
      </c>
      <c r="W26" s="1531">
        <f t="shared" si="10"/>
        <v>0</v>
      </c>
      <c r="X26" s="1532"/>
      <c r="Y26" s="1514">
        <f>M11</f>
        <v>20000000</v>
      </c>
      <c r="Z26" s="1514"/>
      <c r="AA26" s="1514"/>
      <c r="AB26" s="1534">
        <f>IF(B26&lt;=($J$7-1),($AA$11/($J$7/12)),)</f>
        <v>4240041.2553082192</v>
      </c>
      <c r="AC26" s="1535">
        <f t="shared" ref="AC26:AC89" si="16">SUM(W26:AB26)-X26-Z26</f>
        <v>24240041.255308218</v>
      </c>
      <c r="AD26" s="1525">
        <f>U26+AC26</f>
        <v>23740041.255308218</v>
      </c>
      <c r="AE26" s="1526">
        <f>(U26-V26)+AC26</f>
        <v>24240041.255308218</v>
      </c>
      <c r="AF26" s="1514">
        <f t="shared" si="9"/>
        <v>-500000</v>
      </c>
      <c r="AG26" s="1514">
        <f t="shared" ref="AG26:AG56" si="17">PV($G$13/12,$B26,0,$AE26*-1,0)</f>
        <v>23891621.771145675</v>
      </c>
      <c r="AH26" s="1514">
        <f t="shared" ref="AH26:AH56" si="18">PV($G$14/12,$B26,0,$AF26*-1,0)</f>
        <v>-496154.80029769294</v>
      </c>
      <c r="AI26" s="1515">
        <f t="shared" ref="AI26:AI89" si="19">AG26+AH26</f>
        <v>23395466.970847983</v>
      </c>
      <c r="AJ26" s="1531">
        <f>PMT($G$13/12,$J$7,$AI$91,,0)</f>
        <v>11326497.897637034</v>
      </c>
      <c r="AK26" s="1532"/>
      <c r="AL26" s="1536">
        <f>AJ26</f>
        <v>11326497.897637034</v>
      </c>
      <c r="AM26" s="1532"/>
      <c r="AN26" s="1532"/>
      <c r="AO26" s="1529"/>
      <c r="AP26" s="1529"/>
      <c r="AQ26" s="1529"/>
      <c r="AR26" s="1529"/>
      <c r="AS26" s="1537"/>
      <c r="AT26" s="1528">
        <v>1</v>
      </c>
      <c r="AU26" s="575"/>
      <c r="AV26" s="575"/>
      <c r="AW26" s="575"/>
      <c r="AX26" s="575"/>
      <c r="AY26" s="575"/>
      <c r="AZ26" s="575"/>
      <c r="BA26" s="575"/>
      <c r="BH26" s="575"/>
      <c r="BI26" s="575"/>
    </row>
    <row r="27" spans="1:61" ht="15.75" customHeight="1">
      <c r="B27" s="1511">
        <f t="shared" ref="B27:B90" si="20">B26+1</f>
        <v>2</v>
      </c>
      <c r="C27" s="1512">
        <f t="shared" si="11"/>
        <v>3</v>
      </c>
      <c r="D27" s="1513" t="str">
        <f t="shared" si="12"/>
        <v xml:space="preserve">             </v>
      </c>
      <c r="E27" s="1531"/>
      <c r="F27" s="1532"/>
      <c r="G27" s="1514"/>
      <c r="H27" s="1532"/>
      <c r="I27" s="1514"/>
      <c r="J27" s="1532"/>
      <c r="K27" s="1514"/>
      <c r="L27" s="1532"/>
      <c r="M27" s="1514"/>
      <c r="N27" s="1533"/>
      <c r="O27" s="1514"/>
      <c r="P27" s="1514">
        <f t="shared" si="13"/>
        <v>-500000</v>
      </c>
      <c r="Q27" s="1532"/>
      <c r="R27" s="1514"/>
      <c r="S27" s="1514"/>
      <c r="T27" s="1514">
        <f t="shared" si="14"/>
        <v>0</v>
      </c>
      <c r="U27" s="1526">
        <f t="shared" si="6"/>
        <v>-500000</v>
      </c>
      <c r="V27" s="1520">
        <f t="shared" si="15"/>
        <v>-500000</v>
      </c>
      <c r="W27" s="1531">
        <f t="shared" si="10"/>
        <v>0</v>
      </c>
      <c r="X27" s="1532"/>
      <c r="Y27" s="1514"/>
      <c r="Z27" s="1514"/>
      <c r="AA27" s="1514"/>
      <c r="AB27" s="1534"/>
      <c r="AC27" s="1535">
        <f t="shared" si="16"/>
        <v>0</v>
      </c>
      <c r="AD27" s="1525">
        <f>U27+AC27</f>
        <v>-500000</v>
      </c>
      <c r="AE27" s="1526">
        <f t="shared" si="8"/>
        <v>0</v>
      </c>
      <c r="AF27" s="1514">
        <f t="shared" si="9"/>
        <v>-500000</v>
      </c>
      <c r="AG27" s="1514">
        <f t="shared" si="17"/>
        <v>0</v>
      </c>
      <c r="AH27" s="1514">
        <f t="shared" si="18"/>
        <v>-492339.1717168871</v>
      </c>
      <c r="AI27" s="1515">
        <f t="shared" si="19"/>
        <v>-492339.1717168871</v>
      </c>
      <c r="AJ27" s="1531">
        <f t="shared" ref="AJ27:AJ58" si="21">IF(AT27&lt;=$J$7,AJ26,0)</f>
        <v>11326497.897637034</v>
      </c>
      <c r="AK27" s="1532"/>
      <c r="AL27" s="1536">
        <f>AJ27</f>
        <v>11326497.897637034</v>
      </c>
      <c r="AM27" s="1532"/>
      <c r="AN27" s="1532"/>
      <c r="AO27" s="1529"/>
      <c r="AP27" s="1529"/>
      <c r="AQ27" s="1529"/>
      <c r="AR27" s="1529"/>
      <c r="AS27" s="1529"/>
      <c r="AT27" s="1528">
        <v>2</v>
      </c>
      <c r="AU27" s="575"/>
      <c r="AV27" s="575"/>
      <c r="AW27" s="575"/>
      <c r="AX27" s="575"/>
      <c r="AY27" s="575"/>
      <c r="AZ27" s="575"/>
      <c r="BA27" s="575"/>
      <c r="BH27" s="575"/>
      <c r="BI27" s="575"/>
    </row>
    <row r="28" spans="1:61" ht="15.75" customHeight="1">
      <c r="B28" s="1511">
        <f t="shared" si="20"/>
        <v>3</v>
      </c>
      <c r="C28" s="1512">
        <f t="shared" si="11"/>
        <v>4</v>
      </c>
      <c r="D28" s="1513" t="str">
        <f t="shared" si="12"/>
        <v xml:space="preserve">             </v>
      </c>
      <c r="E28" s="1531"/>
      <c r="F28" s="1532"/>
      <c r="G28" s="1514"/>
      <c r="H28" s="1532"/>
      <c r="I28" s="1514"/>
      <c r="J28" s="1532"/>
      <c r="K28" s="1514"/>
      <c r="L28" s="1532"/>
      <c r="M28" s="1514"/>
      <c r="N28" s="1533"/>
      <c r="O28" s="1514"/>
      <c r="P28" s="1514">
        <f t="shared" si="13"/>
        <v>-500000</v>
      </c>
      <c r="Q28" s="1532"/>
      <c r="R28" s="1514"/>
      <c r="S28" s="1514"/>
      <c r="T28" s="1514">
        <f t="shared" si="14"/>
        <v>0</v>
      </c>
      <c r="U28" s="1526">
        <f t="shared" si="6"/>
        <v>-500000</v>
      </c>
      <c r="V28" s="1520">
        <f t="shared" si="15"/>
        <v>-500000</v>
      </c>
      <c r="W28" s="1531">
        <f t="shared" si="10"/>
        <v>0</v>
      </c>
      <c r="X28" s="1532"/>
      <c r="Y28" s="1514"/>
      <c r="Z28" s="1514"/>
      <c r="AA28" s="1514"/>
      <c r="AB28" s="1534"/>
      <c r="AC28" s="1535">
        <f t="shared" si="16"/>
        <v>0</v>
      </c>
      <c r="AD28" s="1525">
        <f t="shared" si="7"/>
        <v>-500000</v>
      </c>
      <c r="AE28" s="1526">
        <f t="shared" si="8"/>
        <v>0</v>
      </c>
      <c r="AF28" s="1514">
        <f t="shared" si="9"/>
        <v>-500000</v>
      </c>
      <c r="AG28" s="1514">
        <f t="shared" si="17"/>
        <v>0</v>
      </c>
      <c r="AH28" s="1514">
        <f t="shared" si="18"/>
        <v>-488552.88684384729</v>
      </c>
      <c r="AI28" s="1515">
        <f t="shared" si="19"/>
        <v>-488552.88684384729</v>
      </c>
      <c r="AJ28" s="1531">
        <f t="shared" si="21"/>
        <v>11326497.897637034</v>
      </c>
      <c r="AK28" s="1532"/>
      <c r="AL28" s="1536">
        <f t="shared" ref="AL28:AL90" si="22">AJ28</f>
        <v>11326497.897637034</v>
      </c>
      <c r="AM28" s="1532"/>
      <c r="AN28" s="1532"/>
      <c r="AO28" s="1529"/>
      <c r="AP28" s="1529"/>
      <c r="AQ28" s="1529"/>
      <c r="AR28" s="1529"/>
      <c r="AS28" s="1529"/>
      <c r="AT28" s="1528">
        <f>AT27+1</f>
        <v>3</v>
      </c>
      <c r="AU28" s="575"/>
      <c r="AV28" s="575"/>
      <c r="AW28" s="575"/>
      <c r="AX28" s="575"/>
      <c r="AY28" s="575"/>
      <c r="AZ28" s="575"/>
      <c r="BA28" s="575"/>
      <c r="BH28" s="575"/>
      <c r="BI28" s="575"/>
    </row>
    <row r="29" spans="1:61" ht="15.75" customHeight="1">
      <c r="B29" s="1511">
        <f t="shared" si="20"/>
        <v>4</v>
      </c>
      <c r="C29" s="1512">
        <f t="shared" si="11"/>
        <v>5</v>
      </c>
      <c r="D29" s="1513" t="str">
        <f t="shared" si="12"/>
        <v xml:space="preserve">             </v>
      </c>
      <c r="E29" s="1531"/>
      <c r="F29" s="1532"/>
      <c r="G29" s="1514"/>
      <c r="H29" s="1532"/>
      <c r="I29" s="1514"/>
      <c r="J29" s="1532"/>
      <c r="K29" s="1514"/>
      <c r="L29" s="1532"/>
      <c r="M29" s="1514"/>
      <c r="N29" s="1533"/>
      <c r="O29" s="1514"/>
      <c r="P29" s="1514">
        <f t="shared" si="13"/>
        <v>-500000</v>
      </c>
      <c r="Q29" s="1532"/>
      <c r="R29" s="1514"/>
      <c r="S29" s="1514"/>
      <c r="T29" s="1514">
        <f t="shared" si="14"/>
        <v>0</v>
      </c>
      <c r="U29" s="1526">
        <f t="shared" si="6"/>
        <v>-500000</v>
      </c>
      <c r="V29" s="1520">
        <f t="shared" si="15"/>
        <v>-500000</v>
      </c>
      <c r="W29" s="1531">
        <f t="shared" si="10"/>
        <v>0</v>
      </c>
      <c r="X29" s="1532"/>
      <c r="Y29" s="1514"/>
      <c r="Z29" s="1514"/>
      <c r="AA29" s="1514"/>
      <c r="AB29" s="1534"/>
      <c r="AC29" s="1535">
        <f t="shared" si="16"/>
        <v>0</v>
      </c>
      <c r="AD29" s="1525">
        <f t="shared" si="7"/>
        <v>-500000</v>
      </c>
      <c r="AE29" s="1526">
        <f t="shared" si="8"/>
        <v>0</v>
      </c>
      <c r="AF29" s="1514">
        <f t="shared" si="9"/>
        <v>-500000</v>
      </c>
      <c r="AG29" s="1514">
        <f t="shared" si="17"/>
        <v>0</v>
      </c>
      <c r="AH29" s="1514">
        <f t="shared" si="18"/>
        <v>-484795.72001374088</v>
      </c>
      <c r="AI29" s="1515">
        <f t="shared" si="19"/>
        <v>-484795.72001374088</v>
      </c>
      <c r="AJ29" s="1531">
        <f t="shared" si="21"/>
        <v>11326497.897637034</v>
      </c>
      <c r="AK29" s="1532"/>
      <c r="AL29" s="1536">
        <f t="shared" si="22"/>
        <v>11326497.897637034</v>
      </c>
      <c r="AM29" s="1532"/>
      <c r="AN29" s="1532"/>
      <c r="AO29" s="1529"/>
      <c r="AP29" s="1529"/>
      <c r="AQ29" s="1529"/>
      <c r="AR29" s="1529"/>
      <c r="AS29" s="1529"/>
      <c r="AT29" s="1528">
        <f t="shared" ref="AT29:AT90" si="23">AT28+1</f>
        <v>4</v>
      </c>
      <c r="AU29" s="575"/>
      <c r="AV29" s="575"/>
      <c r="AW29" s="575"/>
      <c r="AX29" s="575"/>
      <c r="AY29" s="575"/>
      <c r="AZ29" s="575"/>
      <c r="BA29" s="575"/>
      <c r="BH29" s="575"/>
      <c r="BI29" s="575"/>
    </row>
    <row r="30" spans="1:61" ht="15.75" customHeight="1">
      <c r="B30" s="1511">
        <f t="shared" si="20"/>
        <v>5</v>
      </c>
      <c r="C30" s="1512">
        <f t="shared" si="11"/>
        <v>6</v>
      </c>
      <c r="D30" s="1513" t="str">
        <f t="shared" si="12"/>
        <v xml:space="preserve">             </v>
      </c>
      <c r="E30" s="1531"/>
      <c r="F30" s="1532"/>
      <c r="G30" s="1514"/>
      <c r="H30" s="1532"/>
      <c r="I30" s="1514"/>
      <c r="J30" s="1532"/>
      <c r="K30" s="1514"/>
      <c r="L30" s="1532"/>
      <c r="M30" s="1514"/>
      <c r="N30" s="1533"/>
      <c r="O30" s="1514"/>
      <c r="P30" s="1514">
        <f t="shared" si="13"/>
        <v>-500000</v>
      </c>
      <c r="Q30" s="1532"/>
      <c r="R30" s="1514"/>
      <c r="S30" s="1514"/>
      <c r="T30" s="1514">
        <f t="shared" si="14"/>
        <v>0</v>
      </c>
      <c r="U30" s="1526">
        <f t="shared" si="6"/>
        <v>-500000</v>
      </c>
      <c r="V30" s="1520">
        <f t="shared" si="15"/>
        <v>-500000</v>
      </c>
      <c r="W30" s="1531">
        <f t="shared" si="10"/>
        <v>0</v>
      </c>
      <c r="X30" s="1532"/>
      <c r="Y30" s="1514"/>
      <c r="Z30" s="1514"/>
      <c r="AA30" s="1514"/>
      <c r="AB30" s="1534"/>
      <c r="AC30" s="1535">
        <f t="shared" si="16"/>
        <v>0</v>
      </c>
      <c r="AD30" s="1525">
        <f t="shared" si="7"/>
        <v>-500000</v>
      </c>
      <c r="AE30" s="1526">
        <f t="shared" si="8"/>
        <v>0</v>
      </c>
      <c r="AF30" s="1514">
        <f t="shared" si="9"/>
        <v>-500000</v>
      </c>
      <c r="AG30" s="1514">
        <f t="shared" si="17"/>
        <v>0</v>
      </c>
      <c r="AH30" s="1514">
        <f t="shared" si="18"/>
        <v>-481067.4472971877</v>
      </c>
      <c r="AI30" s="1515">
        <f t="shared" si="19"/>
        <v>-481067.4472971877</v>
      </c>
      <c r="AJ30" s="1531">
        <f t="shared" si="21"/>
        <v>11326497.897637034</v>
      </c>
      <c r="AK30" s="1532"/>
      <c r="AL30" s="1536">
        <f>AJ30</f>
        <v>11326497.897637034</v>
      </c>
      <c r="AM30" s="1532"/>
      <c r="AN30" s="1532"/>
      <c r="AO30" s="1529"/>
      <c r="AP30" s="1529"/>
      <c r="AQ30" s="1529"/>
      <c r="AR30" s="1529"/>
      <c r="AS30" s="1529"/>
      <c r="AT30" s="1528">
        <f t="shared" si="23"/>
        <v>5</v>
      </c>
      <c r="AU30" s="575"/>
      <c r="AV30" s="575"/>
      <c r="AW30" s="575"/>
      <c r="AX30" s="575"/>
      <c r="AY30" s="575"/>
      <c r="AZ30" s="575"/>
      <c r="BA30" s="575"/>
      <c r="BH30" s="575"/>
      <c r="BI30" s="575"/>
    </row>
    <row r="31" spans="1:61" ht="15.75" customHeight="1">
      <c r="B31" s="1511">
        <f t="shared" si="20"/>
        <v>6</v>
      </c>
      <c r="C31" s="1512">
        <f t="shared" si="11"/>
        <v>7</v>
      </c>
      <c r="D31" s="1513" t="str">
        <f t="shared" si="12"/>
        <v xml:space="preserve">             </v>
      </c>
      <c r="E31" s="1531"/>
      <c r="F31" s="1532"/>
      <c r="G31" s="1514"/>
      <c r="H31" s="1532"/>
      <c r="I31" s="1514"/>
      <c r="J31" s="1532"/>
      <c r="K31" s="1514"/>
      <c r="L31" s="1532"/>
      <c r="M31" s="1514"/>
      <c r="N31" s="1533"/>
      <c r="O31" s="1514"/>
      <c r="P31" s="1514">
        <f t="shared" si="13"/>
        <v>-500000</v>
      </c>
      <c r="Q31" s="1532"/>
      <c r="R31" s="1514"/>
      <c r="S31" s="1514"/>
      <c r="T31" s="1514">
        <f t="shared" si="14"/>
        <v>0</v>
      </c>
      <c r="U31" s="1526">
        <f t="shared" si="6"/>
        <v>-500000</v>
      </c>
      <c r="V31" s="1520">
        <f t="shared" si="15"/>
        <v>-500000</v>
      </c>
      <c r="W31" s="1531">
        <f t="shared" si="10"/>
        <v>0</v>
      </c>
      <c r="X31" s="1532"/>
      <c r="Y31" s="1514"/>
      <c r="Z31" s="1514"/>
      <c r="AA31" s="1514"/>
      <c r="AB31" s="1534"/>
      <c r="AC31" s="1535">
        <f t="shared" si="16"/>
        <v>0</v>
      </c>
      <c r="AD31" s="1525">
        <f t="shared" si="7"/>
        <v>-500000</v>
      </c>
      <c r="AE31" s="1526">
        <f t="shared" si="8"/>
        <v>0</v>
      </c>
      <c r="AF31" s="1514">
        <f t="shared" si="9"/>
        <v>-500000</v>
      </c>
      <c r="AG31" s="1514">
        <f t="shared" si="17"/>
        <v>0</v>
      </c>
      <c r="AH31" s="1514">
        <f t="shared" si="18"/>
        <v>-477367.84648691409</v>
      </c>
      <c r="AI31" s="1515">
        <f t="shared" si="19"/>
        <v>-477367.84648691409</v>
      </c>
      <c r="AJ31" s="1531">
        <f t="shared" si="21"/>
        <v>11326497.897637034</v>
      </c>
      <c r="AK31" s="1532"/>
      <c r="AL31" s="1536">
        <f t="shared" si="22"/>
        <v>11326497.897637034</v>
      </c>
      <c r="AM31" s="1532"/>
      <c r="AN31" s="1532"/>
      <c r="AO31" s="1529"/>
      <c r="AP31" s="1529"/>
      <c r="AQ31" s="1529"/>
      <c r="AR31" s="1529"/>
      <c r="AS31" s="1529"/>
      <c r="AT31" s="1528">
        <f t="shared" si="23"/>
        <v>6</v>
      </c>
      <c r="AU31" s="575"/>
      <c r="AV31" s="575"/>
      <c r="AW31" s="575"/>
      <c r="AX31" s="575"/>
      <c r="AY31" s="575"/>
      <c r="AZ31" s="575"/>
      <c r="BA31" s="575"/>
      <c r="BH31" s="575"/>
      <c r="BI31" s="575"/>
    </row>
    <row r="32" spans="1:61" ht="15.75" customHeight="1">
      <c r="B32" s="1511">
        <f t="shared" si="20"/>
        <v>7</v>
      </c>
      <c r="C32" s="1512">
        <f t="shared" si="11"/>
        <v>8</v>
      </c>
      <c r="D32" s="1513" t="str">
        <f t="shared" si="12"/>
        <v xml:space="preserve">             </v>
      </c>
      <c r="E32" s="1531"/>
      <c r="F32" s="1532"/>
      <c r="G32" s="1514"/>
      <c r="H32" s="1532"/>
      <c r="I32" s="1514"/>
      <c r="J32" s="1532"/>
      <c r="K32" s="1514"/>
      <c r="L32" s="1532"/>
      <c r="M32" s="1514"/>
      <c r="N32" s="1533"/>
      <c r="O32" s="1514"/>
      <c r="P32" s="1514">
        <f t="shared" si="13"/>
        <v>-500000</v>
      </c>
      <c r="Q32" s="1532"/>
      <c r="R32" s="1514"/>
      <c r="S32" s="1514"/>
      <c r="T32" s="1514">
        <f t="shared" si="14"/>
        <v>0</v>
      </c>
      <c r="U32" s="1526">
        <f t="shared" si="6"/>
        <v>-500000</v>
      </c>
      <c r="V32" s="1520">
        <f t="shared" si="15"/>
        <v>-500000</v>
      </c>
      <c r="W32" s="1531">
        <f t="shared" si="10"/>
        <v>0</v>
      </c>
      <c r="X32" s="1532"/>
      <c r="Y32" s="1514"/>
      <c r="Z32" s="1514"/>
      <c r="AA32" s="1514"/>
      <c r="AB32" s="1534"/>
      <c r="AC32" s="1535">
        <f t="shared" si="16"/>
        <v>0</v>
      </c>
      <c r="AD32" s="1525">
        <f t="shared" si="7"/>
        <v>-500000</v>
      </c>
      <c r="AE32" s="1526">
        <f t="shared" si="8"/>
        <v>0</v>
      </c>
      <c r="AF32" s="1514">
        <f t="shared" si="9"/>
        <v>-500000</v>
      </c>
      <c r="AG32" s="1514">
        <f t="shared" si="17"/>
        <v>0</v>
      </c>
      <c r="AH32" s="1514">
        <f t="shared" si="18"/>
        <v>-473696.69708450919</v>
      </c>
      <c r="AI32" s="1515">
        <f t="shared" si="19"/>
        <v>-473696.69708450919</v>
      </c>
      <c r="AJ32" s="1531">
        <f t="shared" si="21"/>
        <v>11326497.897637034</v>
      </c>
      <c r="AK32" s="1532"/>
      <c r="AL32" s="1536">
        <f t="shared" si="22"/>
        <v>11326497.897637034</v>
      </c>
      <c r="AM32" s="1532"/>
      <c r="AN32" s="1532"/>
      <c r="AO32" s="1529"/>
      <c r="AP32" s="1529"/>
      <c r="AQ32" s="1529"/>
      <c r="AR32" s="1529"/>
      <c r="AS32" s="1529"/>
      <c r="AT32" s="1528">
        <f t="shared" si="23"/>
        <v>7</v>
      </c>
      <c r="AU32" s="575"/>
      <c r="AV32" s="575"/>
      <c r="AW32" s="575"/>
      <c r="AX32" s="575"/>
      <c r="AY32" s="575"/>
      <c r="AZ32" s="575"/>
      <c r="BA32" s="575"/>
      <c r="BH32" s="575"/>
      <c r="BI32" s="575"/>
    </row>
    <row r="33" spans="2:61" ht="15.75" customHeight="1">
      <c r="B33" s="1511">
        <f t="shared" si="20"/>
        <v>8</v>
      </c>
      <c r="C33" s="1512">
        <f t="shared" si="11"/>
        <v>9</v>
      </c>
      <c r="D33" s="1513" t="str">
        <f t="shared" si="12"/>
        <v xml:space="preserve">             </v>
      </c>
      <c r="E33" s="1531"/>
      <c r="F33" s="1532"/>
      <c r="G33" s="1514"/>
      <c r="H33" s="1532"/>
      <c r="I33" s="1514"/>
      <c r="J33" s="1532"/>
      <c r="K33" s="1514"/>
      <c r="L33" s="1532"/>
      <c r="M33" s="1514"/>
      <c r="N33" s="1533"/>
      <c r="O33" s="1514"/>
      <c r="P33" s="1514">
        <f t="shared" si="13"/>
        <v>-500000</v>
      </c>
      <c r="Q33" s="1532"/>
      <c r="R33" s="1514"/>
      <c r="S33" s="1514"/>
      <c r="T33" s="1514">
        <f t="shared" si="14"/>
        <v>0</v>
      </c>
      <c r="U33" s="1526">
        <f t="shared" si="6"/>
        <v>-500000</v>
      </c>
      <c r="V33" s="1520">
        <f t="shared" si="15"/>
        <v>-500000</v>
      </c>
      <c r="W33" s="1531">
        <f t="shared" si="10"/>
        <v>0</v>
      </c>
      <c r="X33" s="1532"/>
      <c r="Y33" s="1514"/>
      <c r="Z33" s="1514"/>
      <c r="AA33" s="1514"/>
      <c r="AB33" s="1534"/>
      <c r="AC33" s="1535">
        <f t="shared" si="16"/>
        <v>0</v>
      </c>
      <c r="AD33" s="1525">
        <f t="shared" si="7"/>
        <v>-500000</v>
      </c>
      <c r="AE33" s="1526">
        <f t="shared" si="8"/>
        <v>0</v>
      </c>
      <c r="AF33" s="1514">
        <f t="shared" si="9"/>
        <v>-500000</v>
      </c>
      <c r="AG33" s="1514">
        <f t="shared" si="17"/>
        <v>0</v>
      </c>
      <c r="AH33" s="1514">
        <f t="shared" si="18"/>
        <v>-470053.78028728277</v>
      </c>
      <c r="AI33" s="1515">
        <f t="shared" si="19"/>
        <v>-470053.78028728277</v>
      </c>
      <c r="AJ33" s="1531">
        <f t="shared" si="21"/>
        <v>11326497.897637034</v>
      </c>
      <c r="AK33" s="1532"/>
      <c r="AL33" s="1536">
        <f t="shared" si="22"/>
        <v>11326497.897637034</v>
      </c>
      <c r="AM33" s="1532"/>
      <c r="AN33" s="1532"/>
      <c r="AO33" s="1529"/>
      <c r="AP33" s="1529"/>
      <c r="AQ33" s="1529"/>
      <c r="AR33" s="1529"/>
      <c r="AS33" s="1529"/>
      <c r="AT33" s="1528">
        <f t="shared" si="23"/>
        <v>8</v>
      </c>
      <c r="AU33" s="575"/>
      <c r="AV33" s="575"/>
      <c r="AW33" s="575"/>
      <c r="AX33" s="575"/>
      <c r="AY33" s="575"/>
      <c r="AZ33" s="575"/>
      <c r="BA33" s="575"/>
      <c r="BH33" s="575"/>
      <c r="BI33" s="575"/>
    </row>
    <row r="34" spans="2:61" ht="15.75" customHeight="1">
      <c r="B34" s="1511">
        <f t="shared" si="20"/>
        <v>9</v>
      </c>
      <c r="C34" s="1512">
        <f t="shared" si="11"/>
        <v>10</v>
      </c>
      <c r="D34" s="1513" t="str">
        <f t="shared" si="12"/>
        <v xml:space="preserve">             </v>
      </c>
      <c r="E34" s="1531"/>
      <c r="F34" s="1532"/>
      <c r="G34" s="1514"/>
      <c r="H34" s="1532"/>
      <c r="I34" s="1514"/>
      <c r="J34" s="1532"/>
      <c r="K34" s="1514"/>
      <c r="L34" s="1532"/>
      <c r="M34" s="1514"/>
      <c r="N34" s="1533"/>
      <c r="O34" s="1514"/>
      <c r="P34" s="1514">
        <f t="shared" si="13"/>
        <v>-500000</v>
      </c>
      <c r="Q34" s="1532"/>
      <c r="R34" s="1514"/>
      <c r="S34" s="1514"/>
      <c r="T34" s="1514">
        <f t="shared" si="14"/>
        <v>0</v>
      </c>
      <c r="U34" s="1526">
        <f t="shared" si="6"/>
        <v>-500000</v>
      </c>
      <c r="V34" s="1520">
        <f t="shared" si="15"/>
        <v>-500000</v>
      </c>
      <c r="W34" s="1531">
        <f t="shared" si="10"/>
        <v>0</v>
      </c>
      <c r="X34" s="1532"/>
      <c r="Y34" s="1514"/>
      <c r="Z34" s="1514"/>
      <c r="AA34" s="1514"/>
      <c r="AB34" s="1534"/>
      <c r="AC34" s="1535">
        <f t="shared" si="16"/>
        <v>0</v>
      </c>
      <c r="AD34" s="1525">
        <f t="shared" si="7"/>
        <v>-500000</v>
      </c>
      <c r="AE34" s="1526">
        <f t="shared" si="8"/>
        <v>0</v>
      </c>
      <c r="AF34" s="1514">
        <f t="shared" si="9"/>
        <v>-500000</v>
      </c>
      <c r="AG34" s="1514">
        <f t="shared" si="17"/>
        <v>0</v>
      </c>
      <c r="AH34" s="1514">
        <f t="shared" si="18"/>
        <v>-466438.87897522486</v>
      </c>
      <c r="AI34" s="1515">
        <f t="shared" si="19"/>
        <v>-466438.87897522486</v>
      </c>
      <c r="AJ34" s="1531">
        <f t="shared" si="21"/>
        <v>11326497.897637034</v>
      </c>
      <c r="AK34" s="1532"/>
      <c r="AL34" s="1536">
        <f>AJ34</f>
        <v>11326497.897637034</v>
      </c>
      <c r="AM34" s="1532"/>
      <c r="AN34" s="1532"/>
      <c r="AO34" s="1529"/>
      <c r="AP34" s="1529"/>
      <c r="AQ34" s="1529"/>
      <c r="AR34" s="1529"/>
      <c r="AS34" s="1529"/>
      <c r="AT34" s="1528">
        <f t="shared" si="23"/>
        <v>9</v>
      </c>
      <c r="AU34" s="575"/>
      <c r="AV34" s="575"/>
      <c r="AW34" s="575"/>
      <c r="AX34" s="575"/>
      <c r="AY34" s="575"/>
      <c r="AZ34" s="575"/>
      <c r="BA34" s="575"/>
      <c r="BH34" s="575"/>
      <c r="BI34" s="575"/>
    </row>
    <row r="35" spans="2:61" ht="15.75" customHeight="1">
      <c r="B35" s="1511">
        <f t="shared" si="20"/>
        <v>10</v>
      </c>
      <c r="C35" s="1512">
        <f t="shared" si="11"/>
        <v>11</v>
      </c>
      <c r="D35" s="1513" t="str">
        <f t="shared" si="12"/>
        <v xml:space="preserve">             </v>
      </c>
      <c r="E35" s="1531"/>
      <c r="F35" s="1532"/>
      <c r="G35" s="1514"/>
      <c r="H35" s="1532"/>
      <c r="I35" s="1514"/>
      <c r="J35" s="1532"/>
      <c r="K35" s="1514"/>
      <c r="L35" s="1532"/>
      <c r="M35" s="1514"/>
      <c r="N35" s="1533"/>
      <c r="O35" s="1514"/>
      <c r="P35" s="1514">
        <f t="shared" si="13"/>
        <v>-500000</v>
      </c>
      <c r="Q35" s="1532"/>
      <c r="R35" s="1514"/>
      <c r="S35" s="1514"/>
      <c r="T35" s="1514">
        <f t="shared" si="14"/>
        <v>0</v>
      </c>
      <c r="U35" s="1526">
        <f t="shared" si="6"/>
        <v>-500000</v>
      </c>
      <c r="V35" s="1520">
        <f t="shared" si="15"/>
        <v>-500000</v>
      </c>
      <c r="W35" s="1531">
        <f t="shared" si="10"/>
        <v>0</v>
      </c>
      <c r="X35" s="1532"/>
      <c r="Y35" s="1514"/>
      <c r="Z35" s="1514"/>
      <c r="AA35" s="1514"/>
      <c r="AB35" s="1534"/>
      <c r="AC35" s="1535">
        <f t="shared" si="16"/>
        <v>0</v>
      </c>
      <c r="AD35" s="1525">
        <f t="shared" si="7"/>
        <v>-500000</v>
      </c>
      <c r="AE35" s="1526">
        <f t="shared" si="8"/>
        <v>0</v>
      </c>
      <c r="AF35" s="1514">
        <f t="shared" si="9"/>
        <v>-500000</v>
      </c>
      <c r="AG35" s="1514">
        <f t="shared" si="17"/>
        <v>0</v>
      </c>
      <c r="AH35" s="1514">
        <f t="shared" si="18"/>
        <v>-462851.77769806481</v>
      </c>
      <c r="AI35" s="1515">
        <f t="shared" si="19"/>
        <v>-462851.77769806481</v>
      </c>
      <c r="AJ35" s="1531">
        <f t="shared" si="21"/>
        <v>11326497.897637034</v>
      </c>
      <c r="AK35" s="1532"/>
      <c r="AL35" s="1536">
        <f t="shared" si="22"/>
        <v>11326497.897637034</v>
      </c>
      <c r="AM35" s="1532"/>
      <c r="AN35" s="1532"/>
      <c r="AO35" s="1529"/>
      <c r="AP35" s="1529"/>
      <c r="AQ35" s="1529"/>
      <c r="AR35" s="1529"/>
      <c r="AS35" s="1529"/>
      <c r="AT35" s="1528">
        <f t="shared" si="23"/>
        <v>10</v>
      </c>
      <c r="AU35" s="575"/>
      <c r="AV35" s="575"/>
      <c r="AW35" s="575"/>
      <c r="AX35" s="575"/>
      <c r="AY35" s="575"/>
      <c r="AZ35" s="575"/>
      <c r="BA35" s="575"/>
      <c r="BH35" s="575"/>
      <c r="BI35" s="575"/>
    </row>
    <row r="36" spans="2:61" ht="15.75" customHeight="1">
      <c r="B36" s="1511">
        <f t="shared" si="20"/>
        <v>11</v>
      </c>
      <c r="C36" s="1512">
        <f t="shared" si="11"/>
        <v>12</v>
      </c>
      <c r="D36" s="1513" t="str">
        <f t="shared" si="12"/>
        <v xml:space="preserve">             </v>
      </c>
      <c r="E36" s="1531"/>
      <c r="F36" s="1532"/>
      <c r="G36" s="1514"/>
      <c r="H36" s="1532"/>
      <c r="I36" s="1514"/>
      <c r="J36" s="1532"/>
      <c r="K36" s="1514"/>
      <c r="L36" s="1532"/>
      <c r="M36" s="1514">
        <f>IF(B36&lt;=$J$7,($AA$9/($J$7/12))*-1,)</f>
        <v>-10000000</v>
      </c>
      <c r="N36" s="1533"/>
      <c r="O36" s="1514"/>
      <c r="P36" s="1514">
        <f t="shared" si="13"/>
        <v>-500000</v>
      </c>
      <c r="Q36" s="1532"/>
      <c r="R36" s="1514"/>
      <c r="S36" s="1514"/>
      <c r="T36" s="1514">
        <f t="shared" si="14"/>
        <v>0</v>
      </c>
      <c r="U36" s="1526">
        <f t="shared" si="6"/>
        <v>-10500000</v>
      </c>
      <c r="V36" s="1520">
        <f t="shared" si="15"/>
        <v>-10500000</v>
      </c>
      <c r="W36" s="1531">
        <f t="shared" si="10"/>
        <v>0</v>
      </c>
      <c r="X36" s="1532"/>
      <c r="Y36" s="1514"/>
      <c r="Z36" s="1514"/>
      <c r="AA36" s="1514"/>
      <c r="AB36" s="1534"/>
      <c r="AC36" s="1535">
        <f t="shared" si="16"/>
        <v>0</v>
      </c>
      <c r="AD36" s="1525">
        <f t="shared" si="7"/>
        <v>-10500000</v>
      </c>
      <c r="AE36" s="1526">
        <f t="shared" si="8"/>
        <v>0</v>
      </c>
      <c r="AF36" s="1514">
        <f t="shared" si="9"/>
        <v>-10500000</v>
      </c>
      <c r="AG36" s="1514">
        <f t="shared" si="17"/>
        <v>0</v>
      </c>
      <c r="AH36" s="1514">
        <f t="shared" si="18"/>
        <v>-9645137.515911052</v>
      </c>
      <c r="AI36" s="1515">
        <f t="shared" si="19"/>
        <v>-9645137.515911052</v>
      </c>
      <c r="AJ36" s="1531">
        <f t="shared" si="21"/>
        <v>11326497.897637034</v>
      </c>
      <c r="AK36" s="1532"/>
      <c r="AL36" s="1536">
        <f t="shared" si="22"/>
        <v>11326497.897637034</v>
      </c>
      <c r="AM36" s="1532"/>
      <c r="AN36" s="1532"/>
      <c r="AO36" s="1529"/>
      <c r="AP36" s="1529"/>
      <c r="AQ36" s="1529"/>
      <c r="AR36" s="1529"/>
      <c r="AS36" s="1529"/>
      <c r="AT36" s="1528">
        <f t="shared" si="23"/>
        <v>11</v>
      </c>
      <c r="AU36" s="575"/>
      <c r="AV36" s="575"/>
      <c r="AW36" s="575"/>
      <c r="AX36" s="575"/>
      <c r="AY36" s="575"/>
      <c r="AZ36" s="575"/>
      <c r="BA36" s="575"/>
      <c r="BH36" s="575"/>
      <c r="BI36" s="575"/>
    </row>
    <row r="37" spans="2:61" ht="15.75" customHeight="1">
      <c r="B37" s="1511">
        <f t="shared" si="20"/>
        <v>12</v>
      </c>
      <c r="C37" s="1512">
        <f t="shared" si="11"/>
        <v>1</v>
      </c>
      <c r="D37" s="1513">
        <f t="shared" si="12"/>
        <v>2019</v>
      </c>
      <c r="E37" s="1531"/>
      <c r="F37" s="1532"/>
      <c r="G37" s="1514"/>
      <c r="H37" s="1532"/>
      <c r="I37" s="1514"/>
      <c r="J37" s="1532"/>
      <c r="K37" s="1514"/>
      <c r="L37" s="1532"/>
      <c r="M37" s="1538"/>
      <c r="N37" s="1533">
        <f>IF(B37&lt;=($J$7-1),($AA$8/($J$7/12))*-1,)</f>
        <v>-16960165.021232877</v>
      </c>
      <c r="O37" s="1514"/>
      <c r="P37" s="1514">
        <f t="shared" si="13"/>
        <v>-500000</v>
      </c>
      <c r="Q37" s="1532"/>
      <c r="R37" s="1514"/>
      <c r="S37" s="1514"/>
      <c r="T37" s="1514">
        <f t="shared" si="14"/>
        <v>0</v>
      </c>
      <c r="U37" s="1526">
        <f t="shared" si="6"/>
        <v>-17460165.021232877</v>
      </c>
      <c r="V37" s="1520">
        <f t="shared" si="15"/>
        <v>-17460165.021232877</v>
      </c>
      <c r="W37" s="1531">
        <f t="shared" si="10"/>
        <v>0</v>
      </c>
      <c r="X37" s="1532"/>
      <c r="Y37" s="1514"/>
      <c r="Z37" s="1514"/>
      <c r="AA37" s="1514"/>
      <c r="AB37" s="1534"/>
      <c r="AC37" s="1535">
        <f t="shared" si="16"/>
        <v>0</v>
      </c>
      <c r="AD37" s="1525">
        <f t="shared" si="7"/>
        <v>-17460165.021232877</v>
      </c>
      <c r="AE37" s="1526">
        <f t="shared" si="8"/>
        <v>0</v>
      </c>
      <c r="AF37" s="1514">
        <f t="shared" si="9"/>
        <v>-17460165.021232877</v>
      </c>
      <c r="AG37" s="1514">
        <f t="shared" si="17"/>
        <v>0</v>
      </c>
      <c r="AH37" s="1514">
        <f t="shared" si="18"/>
        <v>-15915293.870625617</v>
      </c>
      <c r="AI37" s="1515">
        <f t="shared" si="19"/>
        <v>-15915293.870625617</v>
      </c>
      <c r="AJ37" s="1531">
        <f t="shared" si="21"/>
        <v>11326497.897637034</v>
      </c>
      <c r="AK37" s="1532"/>
      <c r="AL37" s="1536">
        <f t="shared" si="22"/>
        <v>11326497.897637034</v>
      </c>
      <c r="AM37" s="1532"/>
      <c r="AN37" s="1532"/>
      <c r="AO37" s="1529"/>
      <c r="AP37" s="1529"/>
      <c r="AQ37" s="1529"/>
      <c r="AR37" s="1529"/>
      <c r="AS37" s="1529"/>
      <c r="AT37" s="1528">
        <f t="shared" si="23"/>
        <v>12</v>
      </c>
      <c r="AU37" s="575"/>
      <c r="AV37" s="575"/>
      <c r="AW37" s="575"/>
      <c r="AX37" s="575"/>
      <c r="AY37" s="575"/>
      <c r="AZ37" s="575"/>
      <c r="BA37" s="575"/>
      <c r="BH37" s="575"/>
      <c r="BI37" s="575"/>
    </row>
    <row r="38" spans="2:61" ht="16.5" customHeight="1">
      <c r="B38" s="1511">
        <f t="shared" si="20"/>
        <v>13</v>
      </c>
      <c r="C38" s="1512">
        <f t="shared" si="11"/>
        <v>2</v>
      </c>
      <c r="D38" s="1513" t="str">
        <f>IF($C37=12,$D$37+1,"             ")</f>
        <v xml:space="preserve">             </v>
      </c>
      <c r="E38" s="1531"/>
      <c r="F38" s="1532"/>
      <c r="G38" s="1514"/>
      <c r="H38" s="1532"/>
      <c r="I38" s="1514"/>
      <c r="J38" s="1532"/>
      <c r="K38" s="1514"/>
      <c r="L38" s="1532"/>
      <c r="M38" s="1514"/>
      <c r="N38" s="1533"/>
      <c r="O38" s="1514"/>
      <c r="P38" s="1514">
        <f t="shared" si="13"/>
        <v>-500000</v>
      </c>
      <c r="Q38" s="1532"/>
      <c r="R38" s="1514"/>
      <c r="S38" s="1514"/>
      <c r="T38" s="1514">
        <f t="shared" si="14"/>
        <v>0</v>
      </c>
      <c r="U38" s="1526">
        <f t="shared" si="6"/>
        <v>-500000</v>
      </c>
      <c r="V38" s="1520">
        <f t="shared" si="15"/>
        <v>-500000</v>
      </c>
      <c r="W38" s="1531">
        <f t="shared" si="10"/>
        <v>0</v>
      </c>
      <c r="X38" s="1532"/>
      <c r="Y38" s="1514"/>
      <c r="Z38" s="1514"/>
      <c r="AA38" s="1514"/>
      <c r="AB38" s="1534">
        <f>IF(B38&lt;=($J$7-1),($AA$11/($J$7/12)),)</f>
        <v>4240041.2553082192</v>
      </c>
      <c r="AC38" s="1535">
        <f t="shared" si="16"/>
        <v>4240041.2553082192</v>
      </c>
      <c r="AD38" s="1525">
        <f t="shared" si="7"/>
        <v>3740041.2553082192</v>
      </c>
      <c r="AE38" s="1526">
        <f t="shared" si="8"/>
        <v>4240041.2553082192</v>
      </c>
      <c r="AF38" s="1514">
        <f t="shared" si="9"/>
        <v>-500000</v>
      </c>
      <c r="AG38" s="1514">
        <f t="shared" si="17"/>
        <v>3512607.8888450144</v>
      </c>
      <c r="AH38" s="1514">
        <f t="shared" si="18"/>
        <v>-452255.14435039245</v>
      </c>
      <c r="AI38" s="1515">
        <f t="shared" si="19"/>
        <v>3060352.7444946221</v>
      </c>
      <c r="AJ38" s="1531">
        <f t="shared" si="21"/>
        <v>11326497.897637034</v>
      </c>
      <c r="AK38" s="1532"/>
      <c r="AL38" s="1536">
        <f t="shared" si="22"/>
        <v>11326497.897637034</v>
      </c>
      <c r="AM38" s="1532"/>
      <c r="AN38" s="1532"/>
      <c r="AO38" s="1529"/>
      <c r="AP38" s="1529"/>
      <c r="AQ38" s="1529"/>
      <c r="AR38" s="1529"/>
      <c r="AS38" s="1529"/>
      <c r="AT38" s="1528">
        <f t="shared" si="23"/>
        <v>13</v>
      </c>
      <c r="AU38" s="575"/>
      <c r="AV38" s="575"/>
      <c r="AW38" s="575"/>
      <c r="AX38" s="575"/>
      <c r="AY38" s="575"/>
      <c r="AZ38" s="575"/>
      <c r="BA38" s="575"/>
      <c r="BH38" s="575"/>
      <c r="BI38" s="575"/>
    </row>
    <row r="39" spans="2:61" ht="15.75" customHeight="1">
      <c r="B39" s="1511">
        <f t="shared" si="20"/>
        <v>14</v>
      </c>
      <c r="C39" s="1512">
        <f t="shared" si="11"/>
        <v>3</v>
      </c>
      <c r="D39" s="1513" t="str">
        <f t="shared" ref="D39:D49" si="24">IF($C38=12,$D$37+1,"             ")</f>
        <v xml:space="preserve">             </v>
      </c>
      <c r="E39" s="1531"/>
      <c r="F39" s="1532"/>
      <c r="G39" s="1514"/>
      <c r="H39" s="1532"/>
      <c r="I39" s="1514"/>
      <c r="J39" s="1532"/>
      <c r="K39" s="1514"/>
      <c r="L39" s="1532"/>
      <c r="M39" s="1514"/>
      <c r="N39" s="1533"/>
      <c r="O39" s="1514"/>
      <c r="P39" s="1514">
        <f t="shared" si="13"/>
        <v>-500000</v>
      </c>
      <c r="Q39" s="1532"/>
      <c r="R39" s="1514"/>
      <c r="S39" s="1514"/>
      <c r="T39" s="1514">
        <f t="shared" si="14"/>
        <v>0</v>
      </c>
      <c r="U39" s="1526">
        <f t="shared" si="6"/>
        <v>-500000</v>
      </c>
      <c r="V39" s="1520">
        <f t="shared" si="15"/>
        <v>-500000</v>
      </c>
      <c r="W39" s="1531">
        <f t="shared" si="10"/>
        <v>0</v>
      </c>
      <c r="X39" s="1532"/>
      <c r="Y39" s="1514"/>
      <c r="Z39" s="1514"/>
      <c r="AA39" s="1514"/>
      <c r="AB39" s="1534"/>
      <c r="AC39" s="1535">
        <f t="shared" si="16"/>
        <v>0</v>
      </c>
      <c r="AD39" s="1525">
        <f t="shared" si="7"/>
        <v>-500000</v>
      </c>
      <c r="AE39" s="1526">
        <f t="shared" si="8"/>
        <v>0</v>
      </c>
      <c r="AF39" s="1514">
        <f t="shared" si="9"/>
        <v>-500000</v>
      </c>
      <c r="AG39" s="1514">
        <f t="shared" si="17"/>
        <v>0</v>
      </c>
      <c r="AH39" s="1514">
        <f t="shared" si="18"/>
        <v>-448777.12165754649</v>
      </c>
      <c r="AI39" s="1515">
        <f t="shared" si="19"/>
        <v>-448777.12165754649</v>
      </c>
      <c r="AJ39" s="1531">
        <f t="shared" si="21"/>
        <v>11326497.897637034</v>
      </c>
      <c r="AK39" s="1532"/>
      <c r="AL39" s="1536">
        <f t="shared" si="22"/>
        <v>11326497.897637034</v>
      </c>
      <c r="AM39" s="1532"/>
      <c r="AN39" s="1532"/>
      <c r="AO39" s="1529"/>
      <c r="AP39" s="1529"/>
      <c r="AQ39" s="1529"/>
      <c r="AR39" s="1529"/>
      <c r="AS39" s="1529"/>
      <c r="AT39" s="1528">
        <f t="shared" si="23"/>
        <v>14</v>
      </c>
      <c r="AU39" s="575"/>
      <c r="AV39" s="575"/>
      <c r="AW39" s="575"/>
      <c r="AX39" s="575"/>
      <c r="AY39" s="575"/>
      <c r="AZ39" s="575"/>
      <c r="BA39" s="575"/>
      <c r="BH39" s="575"/>
      <c r="BI39" s="575"/>
    </row>
    <row r="40" spans="2:61" ht="15.75" customHeight="1">
      <c r="B40" s="1511">
        <f t="shared" si="20"/>
        <v>15</v>
      </c>
      <c r="C40" s="1512">
        <f t="shared" si="11"/>
        <v>4</v>
      </c>
      <c r="D40" s="1513" t="str">
        <f t="shared" si="24"/>
        <v xml:space="preserve">             </v>
      </c>
      <c r="E40" s="1531"/>
      <c r="F40" s="1532"/>
      <c r="G40" s="1514"/>
      <c r="H40" s="1532"/>
      <c r="I40" s="1514"/>
      <c r="J40" s="1532"/>
      <c r="K40" s="1514"/>
      <c r="L40" s="1532"/>
      <c r="M40" s="1514"/>
      <c r="N40" s="1533"/>
      <c r="O40" s="1514"/>
      <c r="P40" s="1514">
        <f t="shared" si="13"/>
        <v>-500000</v>
      </c>
      <c r="Q40" s="1532"/>
      <c r="R40" s="1514"/>
      <c r="S40" s="1514"/>
      <c r="T40" s="1514">
        <f t="shared" si="14"/>
        <v>0</v>
      </c>
      <c r="U40" s="1526">
        <f t="shared" si="6"/>
        <v>-500000</v>
      </c>
      <c r="V40" s="1520">
        <f t="shared" si="15"/>
        <v>-500000</v>
      </c>
      <c r="W40" s="1531">
        <f t="shared" si="10"/>
        <v>0</v>
      </c>
      <c r="X40" s="1532"/>
      <c r="Y40" s="1514"/>
      <c r="Z40" s="1514"/>
      <c r="AA40" s="1514"/>
      <c r="AB40" s="1534"/>
      <c r="AC40" s="1535">
        <f t="shared" si="16"/>
        <v>0</v>
      </c>
      <c r="AD40" s="1525">
        <f t="shared" si="7"/>
        <v>-500000</v>
      </c>
      <c r="AE40" s="1526">
        <f t="shared" si="8"/>
        <v>0</v>
      </c>
      <c r="AF40" s="1514">
        <f t="shared" si="9"/>
        <v>-500000</v>
      </c>
      <c r="AG40" s="1514">
        <f t="shared" si="17"/>
        <v>0</v>
      </c>
      <c r="AH40" s="1514">
        <f t="shared" si="18"/>
        <v>-445325.84634834685</v>
      </c>
      <c r="AI40" s="1515">
        <f t="shared" si="19"/>
        <v>-445325.84634834685</v>
      </c>
      <c r="AJ40" s="1531">
        <f t="shared" si="21"/>
        <v>11326497.897637034</v>
      </c>
      <c r="AK40" s="1532"/>
      <c r="AL40" s="1536">
        <f t="shared" si="22"/>
        <v>11326497.897637034</v>
      </c>
      <c r="AM40" s="1532"/>
      <c r="AN40" s="1532"/>
      <c r="AO40" s="1529"/>
      <c r="AP40" s="1529"/>
      <c r="AQ40" s="1529"/>
      <c r="AR40" s="1529"/>
      <c r="AS40" s="1529"/>
      <c r="AT40" s="1528">
        <f t="shared" si="23"/>
        <v>15</v>
      </c>
      <c r="AU40" s="575"/>
      <c r="AV40" s="575"/>
      <c r="AW40" s="575"/>
      <c r="AX40" s="575"/>
      <c r="AY40" s="575"/>
      <c r="AZ40" s="575"/>
      <c r="BA40" s="575"/>
      <c r="BH40" s="575"/>
      <c r="BI40" s="575"/>
    </row>
    <row r="41" spans="2:61" ht="15.75" customHeight="1">
      <c r="B41" s="1511">
        <f t="shared" si="20"/>
        <v>16</v>
      </c>
      <c r="C41" s="1512">
        <f t="shared" si="11"/>
        <v>5</v>
      </c>
      <c r="D41" s="1513" t="str">
        <f t="shared" si="24"/>
        <v xml:space="preserve">             </v>
      </c>
      <c r="E41" s="1531"/>
      <c r="F41" s="1532"/>
      <c r="G41" s="1514"/>
      <c r="H41" s="1532"/>
      <c r="I41" s="1514"/>
      <c r="J41" s="1532"/>
      <c r="K41" s="1514"/>
      <c r="L41" s="1532"/>
      <c r="M41" s="1514"/>
      <c r="N41" s="1533"/>
      <c r="O41" s="1514"/>
      <c r="P41" s="1514">
        <f t="shared" si="13"/>
        <v>-500000</v>
      </c>
      <c r="Q41" s="1532"/>
      <c r="R41" s="1514"/>
      <c r="S41" s="1514"/>
      <c r="T41" s="1514">
        <f t="shared" si="14"/>
        <v>0</v>
      </c>
      <c r="U41" s="1526">
        <f t="shared" si="6"/>
        <v>-500000</v>
      </c>
      <c r="V41" s="1520">
        <f t="shared" si="15"/>
        <v>-500000</v>
      </c>
      <c r="W41" s="1531">
        <f t="shared" si="10"/>
        <v>0</v>
      </c>
      <c r="X41" s="1532"/>
      <c r="Y41" s="1514"/>
      <c r="Z41" s="1514"/>
      <c r="AA41" s="1514"/>
      <c r="AB41" s="1534"/>
      <c r="AC41" s="1535">
        <f t="shared" si="16"/>
        <v>0</v>
      </c>
      <c r="AD41" s="1525">
        <f t="shared" si="7"/>
        <v>-500000</v>
      </c>
      <c r="AE41" s="1526">
        <f t="shared" si="8"/>
        <v>0</v>
      </c>
      <c r="AF41" s="1514">
        <f t="shared" si="9"/>
        <v>-500000</v>
      </c>
      <c r="AG41" s="1514">
        <f t="shared" si="17"/>
        <v>0</v>
      </c>
      <c r="AH41" s="1514">
        <f t="shared" si="18"/>
        <v>-441901.11272473016</v>
      </c>
      <c r="AI41" s="1515">
        <f t="shared" si="19"/>
        <v>-441901.11272473016</v>
      </c>
      <c r="AJ41" s="1531">
        <f t="shared" si="21"/>
        <v>11326497.897637034</v>
      </c>
      <c r="AK41" s="1532"/>
      <c r="AL41" s="1536">
        <f t="shared" si="22"/>
        <v>11326497.897637034</v>
      </c>
      <c r="AM41" s="1532"/>
      <c r="AN41" s="1532"/>
      <c r="AO41" s="1529"/>
      <c r="AP41" s="1529"/>
      <c r="AQ41" s="1529"/>
      <c r="AR41" s="1529"/>
      <c r="AS41" s="1529"/>
      <c r="AT41" s="1528">
        <f t="shared" si="23"/>
        <v>16</v>
      </c>
      <c r="AU41" s="575"/>
      <c r="AV41" s="575"/>
      <c r="AW41" s="575"/>
      <c r="AX41" s="575"/>
      <c r="AY41" s="575"/>
      <c r="AZ41" s="575"/>
      <c r="BA41" s="575"/>
      <c r="BH41" s="575"/>
      <c r="BI41" s="575"/>
    </row>
    <row r="42" spans="2:61" ht="15.75" customHeight="1">
      <c r="B42" s="1511">
        <f t="shared" si="20"/>
        <v>17</v>
      </c>
      <c r="C42" s="1512">
        <f t="shared" si="11"/>
        <v>6</v>
      </c>
      <c r="D42" s="1513" t="str">
        <f t="shared" si="24"/>
        <v xml:space="preserve">             </v>
      </c>
      <c r="E42" s="1531"/>
      <c r="F42" s="1532"/>
      <c r="G42" s="1514"/>
      <c r="H42" s="1532"/>
      <c r="I42" s="1514"/>
      <c r="J42" s="1532"/>
      <c r="K42" s="1514"/>
      <c r="L42" s="1532"/>
      <c r="M42" s="1514"/>
      <c r="N42" s="1533"/>
      <c r="O42" s="1514"/>
      <c r="P42" s="1514">
        <f t="shared" si="13"/>
        <v>-500000</v>
      </c>
      <c r="Q42" s="1532"/>
      <c r="R42" s="1514"/>
      <c r="S42" s="1514"/>
      <c r="T42" s="1514">
        <f t="shared" si="14"/>
        <v>0</v>
      </c>
      <c r="U42" s="1526">
        <f t="shared" si="6"/>
        <v>-500000</v>
      </c>
      <c r="V42" s="1520">
        <f t="shared" si="15"/>
        <v>-500000</v>
      </c>
      <c r="W42" s="1531">
        <f t="shared" si="10"/>
        <v>0</v>
      </c>
      <c r="X42" s="1532"/>
      <c r="Y42" s="1514"/>
      <c r="Z42" s="1514"/>
      <c r="AA42" s="1514"/>
      <c r="AB42" s="1534"/>
      <c r="AC42" s="1535">
        <f t="shared" si="16"/>
        <v>0</v>
      </c>
      <c r="AD42" s="1525">
        <f t="shared" si="7"/>
        <v>-500000</v>
      </c>
      <c r="AE42" s="1526">
        <f t="shared" si="8"/>
        <v>0</v>
      </c>
      <c r="AF42" s="1514">
        <f t="shared" si="9"/>
        <v>-500000</v>
      </c>
      <c r="AG42" s="1514">
        <f t="shared" si="17"/>
        <v>0</v>
      </c>
      <c r="AH42" s="1514">
        <f t="shared" si="18"/>
        <v>-438502.71667053358</v>
      </c>
      <c r="AI42" s="1515">
        <f t="shared" si="19"/>
        <v>-438502.71667053358</v>
      </c>
      <c r="AJ42" s="1531">
        <f t="shared" si="21"/>
        <v>11326497.897637034</v>
      </c>
      <c r="AK42" s="1532"/>
      <c r="AL42" s="1536">
        <f t="shared" si="22"/>
        <v>11326497.897637034</v>
      </c>
      <c r="AM42" s="1532"/>
      <c r="AN42" s="1532"/>
      <c r="AO42" s="1529"/>
      <c r="AP42" s="1529"/>
      <c r="AQ42" s="1529"/>
      <c r="AR42" s="1529"/>
      <c r="AS42" s="1529"/>
      <c r="AT42" s="1528">
        <f t="shared" si="23"/>
        <v>17</v>
      </c>
      <c r="AU42" s="575"/>
      <c r="AV42" s="575"/>
      <c r="AW42" s="575"/>
      <c r="AX42" s="575"/>
      <c r="AY42" s="575"/>
      <c r="AZ42" s="575"/>
      <c r="BA42" s="575"/>
      <c r="BH42" s="575"/>
      <c r="BI42" s="575"/>
    </row>
    <row r="43" spans="2:61" ht="15.75" customHeight="1">
      <c r="B43" s="1511">
        <f t="shared" si="20"/>
        <v>18</v>
      </c>
      <c r="C43" s="1512">
        <f t="shared" si="11"/>
        <v>7</v>
      </c>
      <c r="D43" s="1513" t="str">
        <f t="shared" si="24"/>
        <v xml:space="preserve">             </v>
      </c>
      <c r="E43" s="1531"/>
      <c r="F43" s="1532"/>
      <c r="G43" s="1514"/>
      <c r="H43" s="1532"/>
      <c r="I43" s="1514"/>
      <c r="J43" s="1532"/>
      <c r="K43" s="1514"/>
      <c r="L43" s="1532"/>
      <c r="M43" s="1514"/>
      <c r="N43" s="1533"/>
      <c r="O43" s="1514"/>
      <c r="P43" s="1514">
        <f t="shared" si="13"/>
        <v>-500000</v>
      </c>
      <c r="Q43" s="1532"/>
      <c r="R43" s="1514"/>
      <c r="S43" s="1514"/>
      <c r="T43" s="1514">
        <f t="shared" si="14"/>
        <v>0</v>
      </c>
      <c r="U43" s="1526">
        <f t="shared" si="6"/>
        <v>-500000</v>
      </c>
      <c r="V43" s="1520">
        <f t="shared" si="15"/>
        <v>-500000</v>
      </c>
      <c r="W43" s="1531">
        <f t="shared" si="10"/>
        <v>0</v>
      </c>
      <c r="X43" s="1532"/>
      <c r="Y43" s="1514"/>
      <c r="Z43" s="1514"/>
      <c r="AA43" s="1514"/>
      <c r="AB43" s="1534"/>
      <c r="AC43" s="1535">
        <f t="shared" si="16"/>
        <v>0</v>
      </c>
      <c r="AD43" s="1525">
        <f t="shared" si="7"/>
        <v>-500000</v>
      </c>
      <c r="AE43" s="1526">
        <f t="shared" si="8"/>
        <v>0</v>
      </c>
      <c r="AF43" s="1514">
        <f t="shared" si="9"/>
        <v>-500000</v>
      </c>
      <c r="AG43" s="1514">
        <f t="shared" si="17"/>
        <v>0</v>
      </c>
      <c r="AH43" s="1514">
        <f t="shared" si="18"/>
        <v>-435130.45563932881</v>
      </c>
      <c r="AI43" s="1515">
        <f t="shared" si="19"/>
        <v>-435130.45563932881</v>
      </c>
      <c r="AJ43" s="1531">
        <f t="shared" si="21"/>
        <v>11326497.897637034</v>
      </c>
      <c r="AK43" s="1532"/>
      <c r="AL43" s="1536">
        <f t="shared" si="22"/>
        <v>11326497.897637034</v>
      </c>
      <c r="AM43" s="1532"/>
      <c r="AN43" s="1532"/>
      <c r="AO43" s="1529"/>
      <c r="AP43" s="1529"/>
      <c r="AQ43" s="1529"/>
      <c r="AR43" s="1529"/>
      <c r="AS43" s="1529"/>
      <c r="AT43" s="1528">
        <f t="shared" si="23"/>
        <v>18</v>
      </c>
      <c r="AU43" s="575"/>
      <c r="AV43" s="575"/>
      <c r="AW43" s="575"/>
      <c r="AX43" s="575"/>
      <c r="AY43" s="575"/>
      <c r="AZ43" s="575"/>
      <c r="BA43" s="575"/>
      <c r="BH43" s="575"/>
      <c r="BI43" s="575"/>
    </row>
    <row r="44" spans="2:61" ht="15.75" customHeight="1">
      <c r="B44" s="1511">
        <f t="shared" si="20"/>
        <v>19</v>
      </c>
      <c r="C44" s="1512">
        <f t="shared" si="11"/>
        <v>8</v>
      </c>
      <c r="D44" s="1513" t="str">
        <f t="shared" si="24"/>
        <v xml:space="preserve">             </v>
      </c>
      <c r="E44" s="1531"/>
      <c r="F44" s="1532"/>
      <c r="G44" s="1514"/>
      <c r="H44" s="1532"/>
      <c r="I44" s="1514"/>
      <c r="J44" s="1532"/>
      <c r="K44" s="1514"/>
      <c r="L44" s="1532"/>
      <c r="M44" s="1514"/>
      <c r="N44" s="1533"/>
      <c r="O44" s="1514"/>
      <c r="P44" s="1514">
        <f t="shared" si="13"/>
        <v>-500000</v>
      </c>
      <c r="Q44" s="1532"/>
      <c r="R44" s="1514"/>
      <c r="S44" s="1514"/>
      <c r="T44" s="1514">
        <f t="shared" si="14"/>
        <v>0</v>
      </c>
      <c r="U44" s="1526">
        <f t="shared" si="6"/>
        <v>-500000</v>
      </c>
      <c r="V44" s="1520">
        <f t="shared" si="15"/>
        <v>-500000</v>
      </c>
      <c r="W44" s="1531">
        <f t="shared" si="10"/>
        <v>0</v>
      </c>
      <c r="X44" s="1532"/>
      <c r="Y44" s="1514"/>
      <c r="Z44" s="1514"/>
      <c r="AA44" s="1514"/>
      <c r="AB44" s="1534"/>
      <c r="AC44" s="1535">
        <f t="shared" si="16"/>
        <v>0</v>
      </c>
      <c r="AD44" s="1525">
        <f t="shared" si="7"/>
        <v>-500000</v>
      </c>
      <c r="AE44" s="1526">
        <f t="shared" si="8"/>
        <v>0</v>
      </c>
      <c r="AF44" s="1514">
        <f t="shared" si="9"/>
        <v>-500000</v>
      </c>
      <c r="AG44" s="1514">
        <f t="shared" si="17"/>
        <v>0</v>
      </c>
      <c r="AH44" s="1514">
        <f t="shared" si="18"/>
        <v>-431784.12864235061</v>
      </c>
      <c r="AI44" s="1515">
        <f t="shared" si="19"/>
        <v>-431784.12864235061</v>
      </c>
      <c r="AJ44" s="1531">
        <f t="shared" si="21"/>
        <v>11326497.897637034</v>
      </c>
      <c r="AK44" s="1532"/>
      <c r="AL44" s="1536">
        <f t="shared" si="22"/>
        <v>11326497.897637034</v>
      </c>
      <c r="AM44" s="1532"/>
      <c r="AN44" s="1532"/>
      <c r="AO44" s="1529"/>
      <c r="AP44" s="1529"/>
      <c r="AQ44" s="1529"/>
      <c r="AR44" s="1529"/>
      <c r="AS44" s="1529"/>
      <c r="AT44" s="1528">
        <f t="shared" si="23"/>
        <v>19</v>
      </c>
      <c r="AU44" s="575"/>
      <c r="AV44" s="575"/>
      <c r="AW44" s="575"/>
      <c r="AX44" s="575"/>
      <c r="AY44" s="575"/>
      <c r="AZ44" s="575"/>
      <c r="BA44" s="575"/>
      <c r="BH44" s="575"/>
      <c r="BI44" s="575"/>
    </row>
    <row r="45" spans="2:61" ht="15.75" customHeight="1">
      <c r="B45" s="1511">
        <f t="shared" si="20"/>
        <v>20</v>
      </c>
      <c r="C45" s="1512">
        <f t="shared" si="11"/>
        <v>9</v>
      </c>
      <c r="D45" s="1513" t="str">
        <f>IF($C44=12,$D$33+1,"             ")</f>
        <v xml:space="preserve">             </v>
      </c>
      <c r="E45" s="1531"/>
      <c r="F45" s="1532"/>
      <c r="G45" s="1514"/>
      <c r="H45" s="1532"/>
      <c r="I45" s="1514"/>
      <c r="J45" s="1532"/>
      <c r="K45" s="1514"/>
      <c r="L45" s="1532"/>
      <c r="M45" s="1514"/>
      <c r="N45" s="1533"/>
      <c r="O45" s="1514"/>
      <c r="P45" s="1514">
        <f t="shared" si="13"/>
        <v>-500000</v>
      </c>
      <c r="Q45" s="1532"/>
      <c r="R45" s="1514"/>
      <c r="S45" s="1514"/>
      <c r="T45" s="1514">
        <f t="shared" si="14"/>
        <v>0</v>
      </c>
      <c r="U45" s="1526">
        <f t="shared" si="6"/>
        <v>-500000</v>
      </c>
      <c r="V45" s="1520">
        <f t="shared" si="15"/>
        <v>-500000</v>
      </c>
      <c r="W45" s="1531">
        <f t="shared" si="10"/>
        <v>0</v>
      </c>
      <c r="X45" s="1532"/>
      <c r="Y45" s="1514"/>
      <c r="Z45" s="1514"/>
      <c r="AA45" s="1514"/>
      <c r="AB45" s="1534"/>
      <c r="AC45" s="1535">
        <f t="shared" si="16"/>
        <v>0</v>
      </c>
      <c r="AD45" s="1525">
        <f t="shared" si="7"/>
        <v>-500000</v>
      </c>
      <c r="AE45" s="1526">
        <f t="shared" si="8"/>
        <v>0</v>
      </c>
      <c r="AF45" s="1514">
        <f t="shared" si="9"/>
        <v>-500000</v>
      </c>
      <c r="AG45" s="1514">
        <f t="shared" si="17"/>
        <v>0</v>
      </c>
      <c r="AH45" s="1514">
        <f t="shared" si="18"/>
        <v>-428463.53623651766</v>
      </c>
      <c r="AI45" s="1515">
        <f t="shared" si="19"/>
        <v>-428463.53623651766</v>
      </c>
      <c r="AJ45" s="1531">
        <f t="shared" si="21"/>
        <v>11326497.897637034</v>
      </c>
      <c r="AK45" s="1532"/>
      <c r="AL45" s="1536">
        <f t="shared" si="22"/>
        <v>11326497.897637034</v>
      </c>
      <c r="AM45" s="1532"/>
      <c r="AN45" s="1532"/>
      <c r="AO45" s="1529"/>
      <c r="AP45" s="1529"/>
      <c r="AQ45" s="1529"/>
      <c r="AR45" s="1529"/>
      <c r="AS45" s="1529"/>
      <c r="AT45" s="1528">
        <f t="shared" si="23"/>
        <v>20</v>
      </c>
      <c r="AU45" s="575"/>
      <c r="AV45" s="575"/>
      <c r="AW45" s="575"/>
      <c r="AX45" s="575"/>
      <c r="AY45" s="575"/>
      <c r="AZ45" s="575"/>
      <c r="BA45" s="575"/>
      <c r="BH45" s="575"/>
      <c r="BI45" s="575"/>
    </row>
    <row r="46" spans="2:61" ht="15.75" customHeight="1">
      <c r="B46" s="1511">
        <f t="shared" si="20"/>
        <v>21</v>
      </c>
      <c r="C46" s="1512">
        <f t="shared" si="11"/>
        <v>10</v>
      </c>
      <c r="D46" s="1513" t="str">
        <f t="shared" si="24"/>
        <v xml:space="preserve">             </v>
      </c>
      <c r="E46" s="1531"/>
      <c r="F46" s="1532"/>
      <c r="G46" s="1514"/>
      <c r="H46" s="1532"/>
      <c r="I46" s="1514"/>
      <c r="J46" s="1532"/>
      <c r="K46" s="1514"/>
      <c r="L46" s="1532"/>
      <c r="M46" s="1514"/>
      <c r="N46" s="1533"/>
      <c r="O46" s="1514"/>
      <c r="P46" s="1514">
        <f t="shared" si="13"/>
        <v>-500000</v>
      </c>
      <c r="Q46" s="1532"/>
      <c r="R46" s="1514"/>
      <c r="S46" s="1514"/>
      <c r="T46" s="1514">
        <f t="shared" si="14"/>
        <v>0</v>
      </c>
      <c r="U46" s="1526">
        <f t="shared" si="6"/>
        <v>-500000</v>
      </c>
      <c r="V46" s="1520">
        <f t="shared" si="15"/>
        <v>-500000</v>
      </c>
      <c r="W46" s="1531">
        <f t="shared" si="10"/>
        <v>0</v>
      </c>
      <c r="X46" s="1532"/>
      <c r="Y46" s="1514"/>
      <c r="Z46" s="1514"/>
      <c r="AA46" s="1514"/>
      <c r="AB46" s="1534"/>
      <c r="AC46" s="1535">
        <f t="shared" si="16"/>
        <v>0</v>
      </c>
      <c r="AD46" s="1525">
        <f t="shared" si="7"/>
        <v>-500000</v>
      </c>
      <c r="AE46" s="1526">
        <f t="shared" si="8"/>
        <v>0</v>
      </c>
      <c r="AF46" s="1514">
        <f t="shared" si="9"/>
        <v>-500000</v>
      </c>
      <c r="AG46" s="1514">
        <f t="shared" si="17"/>
        <v>0</v>
      </c>
      <c r="AH46" s="1514">
        <f t="shared" si="18"/>
        <v>-425168.48051254544</v>
      </c>
      <c r="AI46" s="1515">
        <f t="shared" si="19"/>
        <v>-425168.48051254544</v>
      </c>
      <c r="AJ46" s="1531">
        <f t="shared" si="21"/>
        <v>11326497.897637034</v>
      </c>
      <c r="AK46" s="1532"/>
      <c r="AL46" s="1536">
        <f t="shared" si="22"/>
        <v>11326497.897637034</v>
      </c>
      <c r="AM46" s="1532"/>
      <c r="AN46" s="1532"/>
      <c r="AO46" s="1529"/>
      <c r="AP46" s="1529"/>
      <c r="AQ46" s="1529"/>
      <c r="AR46" s="1529"/>
      <c r="AS46" s="1529"/>
      <c r="AT46" s="1528">
        <f t="shared" si="23"/>
        <v>21</v>
      </c>
      <c r="AU46" s="575"/>
      <c r="AV46" s="575"/>
      <c r="AW46" s="575"/>
      <c r="AX46" s="575"/>
      <c r="AY46" s="575"/>
      <c r="AZ46" s="575"/>
      <c r="BA46" s="575"/>
      <c r="BH46" s="575"/>
      <c r="BI46" s="575"/>
    </row>
    <row r="47" spans="2:61" ht="15.75" customHeight="1">
      <c r="B47" s="1511">
        <f t="shared" si="20"/>
        <v>22</v>
      </c>
      <c r="C47" s="1512">
        <f t="shared" si="11"/>
        <v>11</v>
      </c>
      <c r="D47" s="1513" t="str">
        <f t="shared" si="24"/>
        <v xml:space="preserve">             </v>
      </c>
      <c r="E47" s="1531"/>
      <c r="F47" s="1532"/>
      <c r="G47" s="1514"/>
      <c r="H47" s="1532"/>
      <c r="I47" s="1514"/>
      <c r="J47" s="1532"/>
      <c r="K47" s="1514"/>
      <c r="L47" s="1532"/>
      <c r="M47" s="1514"/>
      <c r="N47" s="1533"/>
      <c r="O47" s="1514"/>
      <c r="P47" s="1514">
        <f t="shared" si="13"/>
        <v>-500000</v>
      </c>
      <c r="Q47" s="1532"/>
      <c r="R47" s="1514"/>
      <c r="S47" s="1514"/>
      <c r="T47" s="1514">
        <f t="shared" si="14"/>
        <v>0</v>
      </c>
      <c r="U47" s="1526">
        <f t="shared" si="6"/>
        <v>-500000</v>
      </c>
      <c r="V47" s="1520">
        <f t="shared" si="15"/>
        <v>-500000</v>
      </c>
      <c r="W47" s="1531">
        <f t="shared" si="10"/>
        <v>0</v>
      </c>
      <c r="X47" s="1532"/>
      <c r="Y47" s="1514"/>
      <c r="Z47" s="1514"/>
      <c r="AA47" s="1514"/>
      <c r="AB47" s="1534"/>
      <c r="AC47" s="1535">
        <f t="shared" si="16"/>
        <v>0</v>
      </c>
      <c r="AD47" s="1525">
        <f t="shared" si="7"/>
        <v>-500000</v>
      </c>
      <c r="AE47" s="1526">
        <f t="shared" si="8"/>
        <v>0</v>
      </c>
      <c r="AF47" s="1514">
        <f t="shared" si="9"/>
        <v>-500000</v>
      </c>
      <c r="AG47" s="1514">
        <f t="shared" si="17"/>
        <v>0</v>
      </c>
      <c r="AH47" s="1514">
        <f t="shared" si="18"/>
        <v>-421898.76508315105</v>
      </c>
      <c r="AI47" s="1515">
        <f t="shared" si="19"/>
        <v>-421898.76508315105</v>
      </c>
      <c r="AJ47" s="1531">
        <f t="shared" si="21"/>
        <v>11326497.897637034</v>
      </c>
      <c r="AK47" s="1532"/>
      <c r="AL47" s="1536">
        <f t="shared" si="22"/>
        <v>11326497.897637034</v>
      </c>
      <c r="AM47" s="1532"/>
      <c r="AN47" s="1532"/>
      <c r="AO47" s="1529"/>
      <c r="AP47" s="1529"/>
      <c r="AQ47" s="1529"/>
      <c r="AR47" s="1529"/>
      <c r="AS47" s="1529"/>
      <c r="AT47" s="1528">
        <f t="shared" si="23"/>
        <v>22</v>
      </c>
      <c r="AU47" s="575"/>
      <c r="AV47" s="575"/>
      <c r="AW47" s="575"/>
      <c r="AX47" s="575"/>
      <c r="AY47" s="575"/>
      <c r="AZ47" s="575"/>
      <c r="BA47" s="575"/>
      <c r="BH47" s="575"/>
      <c r="BI47" s="575"/>
    </row>
    <row r="48" spans="2:61" ht="15.75" customHeight="1">
      <c r="B48" s="1511">
        <f t="shared" si="20"/>
        <v>23</v>
      </c>
      <c r="C48" s="1512">
        <f t="shared" si="11"/>
        <v>12</v>
      </c>
      <c r="D48" s="1513" t="str">
        <f t="shared" si="24"/>
        <v xml:space="preserve">             </v>
      </c>
      <c r="E48" s="1531"/>
      <c r="F48" s="1532"/>
      <c r="G48" s="1514"/>
      <c r="H48" s="1532"/>
      <c r="I48" s="1514"/>
      <c r="J48" s="1532"/>
      <c r="K48" s="1514"/>
      <c r="L48" s="1532"/>
      <c r="M48" s="1514">
        <f>IF(B48&lt;=$J$7,($AA$9/($J$7/12))*-1,)</f>
        <v>-10000000</v>
      </c>
      <c r="N48" s="1533"/>
      <c r="O48" s="1514"/>
      <c r="P48" s="1514">
        <f t="shared" si="13"/>
        <v>-500000</v>
      </c>
      <c r="Q48" s="1532"/>
      <c r="R48" s="1514"/>
      <c r="S48" s="1514"/>
      <c r="T48" s="1514">
        <f t="shared" si="14"/>
        <v>0</v>
      </c>
      <c r="U48" s="1526">
        <f t="shared" si="6"/>
        <v>-10500000</v>
      </c>
      <c r="V48" s="1520">
        <f t="shared" si="15"/>
        <v>-10500000</v>
      </c>
      <c r="W48" s="1531">
        <f t="shared" si="10"/>
        <v>0</v>
      </c>
      <c r="X48" s="1532"/>
      <c r="Y48" s="1514"/>
      <c r="Z48" s="1514"/>
      <c r="AA48" s="1514"/>
      <c r="AB48" s="1534"/>
      <c r="AC48" s="1535">
        <f t="shared" si="16"/>
        <v>0</v>
      </c>
      <c r="AD48" s="1525">
        <f t="shared" si="7"/>
        <v>-10500000</v>
      </c>
      <c r="AE48" s="1526">
        <f t="shared" si="8"/>
        <v>0</v>
      </c>
      <c r="AF48" s="1514">
        <f t="shared" si="9"/>
        <v>-10500000</v>
      </c>
      <c r="AG48" s="1514">
        <f t="shared" si="17"/>
        <v>0</v>
      </c>
      <c r="AH48" s="1514">
        <f t="shared" si="18"/>
        <v>-8791738.0964983106</v>
      </c>
      <c r="AI48" s="1515">
        <f t="shared" si="19"/>
        <v>-8791738.0964983106</v>
      </c>
      <c r="AJ48" s="1531">
        <f t="shared" si="21"/>
        <v>11326497.897637034</v>
      </c>
      <c r="AK48" s="1532"/>
      <c r="AL48" s="1536">
        <f t="shared" si="22"/>
        <v>11326497.897637034</v>
      </c>
      <c r="AM48" s="1532"/>
      <c r="AN48" s="1532"/>
      <c r="AO48" s="1529"/>
      <c r="AP48" s="1529"/>
      <c r="AQ48" s="1529"/>
      <c r="AR48" s="1529"/>
      <c r="AS48" s="1529"/>
      <c r="AT48" s="1528">
        <f t="shared" si="23"/>
        <v>23</v>
      </c>
      <c r="AU48" s="575"/>
      <c r="AV48" s="575"/>
      <c r="AW48" s="575"/>
      <c r="AX48" s="575"/>
      <c r="AY48" s="575"/>
      <c r="AZ48" s="575"/>
      <c r="BA48" s="575"/>
      <c r="BH48" s="575"/>
      <c r="BI48" s="575"/>
    </row>
    <row r="49" spans="2:61" ht="15.75" customHeight="1">
      <c r="B49" s="1511">
        <f t="shared" si="20"/>
        <v>24</v>
      </c>
      <c r="C49" s="1512">
        <f t="shared" si="11"/>
        <v>1</v>
      </c>
      <c r="D49" s="1513">
        <f t="shared" si="24"/>
        <v>2020</v>
      </c>
      <c r="E49" s="1531"/>
      <c r="F49" s="1532"/>
      <c r="G49" s="1514"/>
      <c r="H49" s="1532"/>
      <c r="I49" s="1514"/>
      <c r="J49" s="1532"/>
      <c r="K49" s="1514"/>
      <c r="L49" s="1532"/>
      <c r="M49" s="1538"/>
      <c r="N49" s="1533">
        <f>IF(B49&lt;=($J$7-1),($AA$8/($J$7/12))*-1,)</f>
        <v>0</v>
      </c>
      <c r="O49" s="1514"/>
      <c r="P49" s="1514">
        <f t="shared" si="13"/>
        <v>-500000</v>
      </c>
      <c r="Q49" s="1532"/>
      <c r="R49" s="1514"/>
      <c r="S49" s="1514"/>
      <c r="T49" s="1514">
        <f t="shared" si="14"/>
        <v>0</v>
      </c>
      <c r="U49" s="1526">
        <f t="shared" si="6"/>
        <v>-500000</v>
      </c>
      <c r="V49" s="1520">
        <f t="shared" si="15"/>
        <v>-500000</v>
      </c>
      <c r="W49" s="1531">
        <f t="shared" si="10"/>
        <v>0</v>
      </c>
      <c r="X49" s="1532"/>
      <c r="Y49" s="1514"/>
      <c r="Z49" s="1514"/>
      <c r="AA49" s="1514"/>
      <c r="AB49" s="1534"/>
      <c r="AC49" s="1535">
        <f t="shared" si="16"/>
        <v>0</v>
      </c>
      <c r="AD49" s="1525">
        <f t="shared" si="7"/>
        <v>-500000</v>
      </c>
      <c r="AE49" s="1526">
        <f t="shared" si="8"/>
        <v>0</v>
      </c>
      <c r="AF49" s="1514">
        <f t="shared" si="9"/>
        <v>-500000</v>
      </c>
      <c r="AG49" s="1514">
        <f t="shared" si="17"/>
        <v>0</v>
      </c>
      <c r="AH49" s="1514">
        <f t="shared" si="18"/>
        <v>-415434.57709883223</v>
      </c>
      <c r="AI49" s="1515">
        <f t="shared" si="19"/>
        <v>-415434.57709883223</v>
      </c>
      <c r="AJ49" s="1531">
        <f t="shared" si="21"/>
        <v>11326497.897637034</v>
      </c>
      <c r="AK49" s="1532"/>
      <c r="AL49" s="1536">
        <f t="shared" si="22"/>
        <v>11326497.897637034</v>
      </c>
      <c r="AM49" s="1532"/>
      <c r="AN49" s="1532"/>
      <c r="AO49" s="1529"/>
      <c r="AP49" s="1529"/>
      <c r="AQ49" s="1529"/>
      <c r="AR49" s="1529"/>
      <c r="AS49" s="1529"/>
      <c r="AT49" s="1528">
        <f t="shared" si="23"/>
        <v>24</v>
      </c>
      <c r="AU49" s="575"/>
      <c r="AV49" s="575"/>
      <c r="AW49" s="575"/>
      <c r="AX49" s="575"/>
      <c r="AY49" s="575"/>
      <c r="AZ49" s="575"/>
      <c r="BA49" s="575"/>
      <c r="BH49" s="575"/>
      <c r="BI49" s="575"/>
    </row>
    <row r="50" spans="2:61" ht="15.75" customHeight="1">
      <c r="B50" s="1511">
        <f t="shared" si="20"/>
        <v>25</v>
      </c>
      <c r="C50" s="1512">
        <f t="shared" si="11"/>
        <v>2</v>
      </c>
      <c r="D50" s="1513" t="str">
        <f>IF($C49=12,$D$49+1,"             ")</f>
        <v xml:space="preserve">             </v>
      </c>
      <c r="E50" s="1531"/>
      <c r="F50" s="1532"/>
      <c r="G50" s="1514"/>
      <c r="H50" s="1532"/>
      <c r="I50" s="1514"/>
      <c r="J50" s="1532"/>
      <c r="K50" s="1514"/>
      <c r="L50" s="1532"/>
      <c r="M50" s="1514"/>
      <c r="N50" s="1533"/>
      <c r="O50" s="1514"/>
      <c r="P50" s="1514">
        <f t="shared" si="13"/>
        <v>0</v>
      </c>
      <c r="Q50" s="1532"/>
      <c r="R50" s="1514"/>
      <c r="S50" s="1514"/>
      <c r="T50" s="1514">
        <f t="shared" si="14"/>
        <v>0</v>
      </c>
      <c r="U50" s="1526">
        <f t="shared" si="6"/>
        <v>0</v>
      </c>
      <c r="V50" s="1520">
        <f t="shared" si="15"/>
        <v>0</v>
      </c>
      <c r="W50" s="1531">
        <f t="shared" si="10"/>
        <v>134923636.36363634</v>
      </c>
      <c r="X50" s="1532"/>
      <c r="Y50" s="1514"/>
      <c r="Z50" s="1514"/>
      <c r="AA50" s="1514"/>
      <c r="AB50" s="1534">
        <f>IF(B50&lt;=($J$7-1),($AA$11/($J$7/12)),)</f>
        <v>0</v>
      </c>
      <c r="AC50" s="1535">
        <f t="shared" si="16"/>
        <v>134923636.36363634</v>
      </c>
      <c r="AD50" s="1525">
        <f t="shared" si="7"/>
        <v>134923636.36363634</v>
      </c>
      <c r="AE50" s="1526">
        <f t="shared" si="8"/>
        <v>134923636.36363634</v>
      </c>
      <c r="AF50" s="1514">
        <f t="shared" si="9"/>
        <v>0</v>
      </c>
      <c r="AG50" s="1514">
        <f t="shared" si="17"/>
        <v>93949601.319599122</v>
      </c>
      <c r="AH50" s="1514">
        <f t="shared" si="18"/>
        <v>0</v>
      </c>
      <c r="AI50" s="1515">
        <f t="shared" si="19"/>
        <v>93949601.319599122</v>
      </c>
      <c r="AJ50" s="1531">
        <f t="shared" si="21"/>
        <v>0</v>
      </c>
      <c r="AK50" s="1532"/>
      <c r="AL50" s="1536">
        <f t="shared" si="22"/>
        <v>0</v>
      </c>
      <c r="AM50" s="1532"/>
      <c r="AN50" s="1532"/>
      <c r="AO50" s="1529"/>
      <c r="AP50" s="1529"/>
      <c r="AQ50" s="1529"/>
      <c r="AR50" s="1529"/>
      <c r="AS50" s="1529"/>
      <c r="AT50" s="1528">
        <f t="shared" si="23"/>
        <v>25</v>
      </c>
      <c r="AU50" s="575"/>
      <c r="AV50" s="575"/>
      <c r="AW50" s="575"/>
      <c r="AX50" s="575"/>
      <c r="AY50" s="575"/>
      <c r="AZ50" s="575"/>
      <c r="BA50" s="575"/>
      <c r="BH50" s="575"/>
      <c r="BI50" s="575"/>
    </row>
    <row r="51" spans="2:61" ht="15.75" customHeight="1">
      <c r="B51" s="1511">
        <f t="shared" si="20"/>
        <v>26</v>
      </c>
      <c r="C51" s="1512">
        <f t="shared" si="11"/>
        <v>3</v>
      </c>
      <c r="D51" s="1513" t="str">
        <f t="shared" ref="D51:D61" si="25">IF($C50=12,$D$49+1,"             ")</f>
        <v xml:space="preserve">             </v>
      </c>
      <c r="E51" s="1531"/>
      <c r="F51" s="1532"/>
      <c r="G51" s="1514"/>
      <c r="H51" s="1532"/>
      <c r="I51" s="1514"/>
      <c r="J51" s="1532"/>
      <c r="K51" s="1514"/>
      <c r="L51" s="1532"/>
      <c r="M51" s="1514"/>
      <c r="N51" s="1533"/>
      <c r="O51" s="1514"/>
      <c r="P51" s="1514">
        <f t="shared" si="13"/>
        <v>0</v>
      </c>
      <c r="Q51" s="1532"/>
      <c r="R51" s="1514"/>
      <c r="S51" s="1514"/>
      <c r="T51" s="1514">
        <f t="shared" si="14"/>
        <v>0</v>
      </c>
      <c r="U51" s="1526">
        <f t="shared" si="6"/>
        <v>0</v>
      </c>
      <c r="V51" s="1520">
        <f t="shared" si="15"/>
        <v>0</v>
      </c>
      <c r="W51" s="1531">
        <f t="shared" si="10"/>
        <v>0</v>
      </c>
      <c r="X51" s="1532"/>
      <c r="Y51" s="1514"/>
      <c r="Z51" s="1514"/>
      <c r="AA51" s="1514"/>
      <c r="AB51" s="1534"/>
      <c r="AC51" s="1535">
        <f t="shared" si="16"/>
        <v>0</v>
      </c>
      <c r="AD51" s="1525">
        <f t="shared" si="7"/>
        <v>0</v>
      </c>
      <c r="AE51" s="1526">
        <f t="shared" si="8"/>
        <v>0</v>
      </c>
      <c r="AF51" s="1514">
        <f t="shared" si="9"/>
        <v>0</v>
      </c>
      <c r="AG51" s="1514">
        <f t="shared" si="17"/>
        <v>0</v>
      </c>
      <c r="AH51" s="1514">
        <f t="shared" si="18"/>
        <v>0</v>
      </c>
      <c r="AI51" s="1515">
        <f t="shared" si="19"/>
        <v>0</v>
      </c>
      <c r="AJ51" s="1531">
        <f t="shared" si="21"/>
        <v>0</v>
      </c>
      <c r="AK51" s="1532"/>
      <c r="AL51" s="1536">
        <f t="shared" si="22"/>
        <v>0</v>
      </c>
      <c r="AM51" s="1532"/>
      <c r="AN51" s="1532"/>
      <c r="AO51" s="1529"/>
      <c r="AP51" s="1529"/>
      <c r="AQ51" s="1529"/>
      <c r="AR51" s="1529"/>
      <c r="AS51" s="1529"/>
      <c r="AT51" s="1528">
        <f t="shared" si="23"/>
        <v>26</v>
      </c>
      <c r="AU51" s="575"/>
      <c r="AV51" s="575"/>
      <c r="AW51" s="575"/>
      <c r="AX51" s="575"/>
      <c r="AY51" s="575"/>
      <c r="AZ51" s="575"/>
      <c r="BA51" s="575"/>
      <c r="BH51" s="575"/>
      <c r="BI51" s="575"/>
    </row>
    <row r="52" spans="2:61" ht="15.75" customHeight="1">
      <c r="B52" s="1511">
        <f t="shared" si="20"/>
        <v>27</v>
      </c>
      <c r="C52" s="1512">
        <f t="shared" si="11"/>
        <v>4</v>
      </c>
      <c r="D52" s="1513" t="str">
        <f t="shared" si="25"/>
        <v xml:space="preserve">             </v>
      </c>
      <c r="E52" s="1531"/>
      <c r="F52" s="1532"/>
      <c r="G52" s="1514"/>
      <c r="H52" s="1532"/>
      <c r="I52" s="1514"/>
      <c r="J52" s="1532"/>
      <c r="K52" s="1514"/>
      <c r="L52" s="1532"/>
      <c r="M52" s="1514"/>
      <c r="N52" s="1533"/>
      <c r="O52" s="1514"/>
      <c r="P52" s="1514">
        <f t="shared" si="13"/>
        <v>0</v>
      </c>
      <c r="Q52" s="1532"/>
      <c r="R52" s="1514"/>
      <c r="S52" s="1514"/>
      <c r="T52" s="1514">
        <f t="shared" si="14"/>
        <v>0</v>
      </c>
      <c r="U52" s="1526">
        <f t="shared" si="6"/>
        <v>0</v>
      </c>
      <c r="V52" s="1520">
        <f t="shared" si="15"/>
        <v>0</v>
      </c>
      <c r="W52" s="1531">
        <f t="shared" si="10"/>
        <v>0</v>
      </c>
      <c r="X52" s="1532"/>
      <c r="Y52" s="1514"/>
      <c r="Z52" s="1514"/>
      <c r="AA52" s="1514"/>
      <c r="AB52" s="1534"/>
      <c r="AC52" s="1535">
        <f t="shared" si="16"/>
        <v>0</v>
      </c>
      <c r="AD52" s="1525">
        <f t="shared" si="7"/>
        <v>0</v>
      </c>
      <c r="AE52" s="1526">
        <f t="shared" si="8"/>
        <v>0</v>
      </c>
      <c r="AF52" s="1514">
        <f t="shared" si="9"/>
        <v>0</v>
      </c>
      <c r="AG52" s="1514">
        <f t="shared" si="17"/>
        <v>0</v>
      </c>
      <c r="AH52" s="1514">
        <f t="shared" si="18"/>
        <v>0</v>
      </c>
      <c r="AI52" s="1515">
        <f t="shared" si="19"/>
        <v>0</v>
      </c>
      <c r="AJ52" s="1531">
        <f t="shared" si="21"/>
        <v>0</v>
      </c>
      <c r="AK52" s="1532"/>
      <c r="AL52" s="1536">
        <f t="shared" si="22"/>
        <v>0</v>
      </c>
      <c r="AM52" s="1532"/>
      <c r="AN52" s="1532"/>
      <c r="AO52" s="1529"/>
      <c r="AP52" s="1529"/>
      <c r="AQ52" s="1529"/>
      <c r="AR52" s="1529"/>
      <c r="AS52" s="1529"/>
      <c r="AT52" s="1528">
        <f t="shared" si="23"/>
        <v>27</v>
      </c>
      <c r="AU52" s="575"/>
      <c r="AV52" s="575"/>
      <c r="AW52" s="575"/>
      <c r="AX52" s="575"/>
      <c r="AY52" s="575"/>
      <c r="AZ52" s="575"/>
      <c r="BA52" s="575"/>
      <c r="BH52" s="575"/>
      <c r="BI52" s="575"/>
    </row>
    <row r="53" spans="2:61" ht="15.75" customHeight="1">
      <c r="B53" s="1511">
        <f t="shared" si="20"/>
        <v>28</v>
      </c>
      <c r="C53" s="1512">
        <f t="shared" si="11"/>
        <v>5</v>
      </c>
      <c r="D53" s="1513" t="str">
        <f t="shared" si="25"/>
        <v xml:space="preserve">             </v>
      </c>
      <c r="E53" s="1531"/>
      <c r="F53" s="1532"/>
      <c r="G53" s="1514"/>
      <c r="H53" s="1532"/>
      <c r="I53" s="1514"/>
      <c r="J53" s="1532"/>
      <c r="K53" s="1514"/>
      <c r="L53" s="1532"/>
      <c r="M53" s="1514"/>
      <c r="N53" s="1533"/>
      <c r="O53" s="1514"/>
      <c r="P53" s="1514">
        <f t="shared" si="13"/>
        <v>0</v>
      </c>
      <c r="Q53" s="1532"/>
      <c r="R53" s="1514"/>
      <c r="S53" s="1514"/>
      <c r="T53" s="1514">
        <f t="shared" si="14"/>
        <v>0</v>
      </c>
      <c r="U53" s="1526">
        <f t="shared" si="6"/>
        <v>0</v>
      </c>
      <c r="V53" s="1520">
        <f t="shared" si="15"/>
        <v>0</v>
      </c>
      <c r="W53" s="1531">
        <f t="shared" si="10"/>
        <v>0</v>
      </c>
      <c r="X53" s="1532"/>
      <c r="Y53" s="1514"/>
      <c r="Z53" s="1514"/>
      <c r="AA53" s="1514"/>
      <c r="AB53" s="1534"/>
      <c r="AC53" s="1535">
        <f t="shared" si="16"/>
        <v>0</v>
      </c>
      <c r="AD53" s="1525">
        <f t="shared" si="7"/>
        <v>0</v>
      </c>
      <c r="AE53" s="1526">
        <f t="shared" si="8"/>
        <v>0</v>
      </c>
      <c r="AF53" s="1514">
        <f t="shared" si="9"/>
        <v>0</v>
      </c>
      <c r="AG53" s="1514">
        <f t="shared" si="17"/>
        <v>0</v>
      </c>
      <c r="AH53" s="1514">
        <f t="shared" si="18"/>
        <v>0</v>
      </c>
      <c r="AI53" s="1515">
        <f t="shared" si="19"/>
        <v>0</v>
      </c>
      <c r="AJ53" s="1531">
        <f t="shared" si="21"/>
        <v>0</v>
      </c>
      <c r="AK53" s="1532"/>
      <c r="AL53" s="1536">
        <f t="shared" si="22"/>
        <v>0</v>
      </c>
      <c r="AM53" s="1532"/>
      <c r="AN53" s="1532"/>
      <c r="AO53" s="1529"/>
      <c r="AP53" s="1529"/>
      <c r="AQ53" s="1529"/>
      <c r="AR53" s="1529"/>
      <c r="AS53" s="1529"/>
      <c r="AT53" s="1528">
        <f t="shared" si="23"/>
        <v>28</v>
      </c>
      <c r="AU53" s="575"/>
      <c r="AV53" s="575"/>
      <c r="AW53" s="575"/>
      <c r="AX53" s="575"/>
      <c r="AY53" s="575"/>
      <c r="AZ53" s="575"/>
      <c r="BA53" s="575"/>
      <c r="BH53" s="575"/>
      <c r="BI53" s="575"/>
    </row>
    <row r="54" spans="2:61" ht="15.75" customHeight="1">
      <c r="B54" s="1511">
        <f t="shared" si="20"/>
        <v>29</v>
      </c>
      <c r="C54" s="1512">
        <f t="shared" si="11"/>
        <v>6</v>
      </c>
      <c r="D54" s="1513" t="str">
        <f t="shared" si="25"/>
        <v xml:space="preserve">             </v>
      </c>
      <c r="E54" s="1531"/>
      <c r="F54" s="1532"/>
      <c r="G54" s="1514"/>
      <c r="H54" s="1532"/>
      <c r="I54" s="1514"/>
      <c r="J54" s="1532"/>
      <c r="K54" s="1514"/>
      <c r="L54" s="1532"/>
      <c r="M54" s="1514"/>
      <c r="N54" s="1533"/>
      <c r="O54" s="1514"/>
      <c r="P54" s="1514">
        <f t="shared" si="13"/>
        <v>0</v>
      </c>
      <c r="Q54" s="1532"/>
      <c r="R54" s="1514"/>
      <c r="S54" s="1514"/>
      <c r="T54" s="1514">
        <f t="shared" si="14"/>
        <v>0</v>
      </c>
      <c r="U54" s="1526">
        <f t="shared" ref="U54:U85" si="26">SUM(E54:T54)</f>
        <v>0</v>
      </c>
      <c r="V54" s="1520">
        <f t="shared" si="15"/>
        <v>0</v>
      </c>
      <c r="W54" s="1531">
        <f t="shared" si="10"/>
        <v>0</v>
      </c>
      <c r="X54" s="1532"/>
      <c r="Y54" s="1514"/>
      <c r="Z54" s="1514"/>
      <c r="AA54" s="1514"/>
      <c r="AB54" s="1534"/>
      <c r="AC54" s="1535">
        <f t="shared" si="16"/>
        <v>0</v>
      </c>
      <c r="AD54" s="1525">
        <f t="shared" ref="AD54:AD85" si="27">U54+AC54</f>
        <v>0</v>
      </c>
      <c r="AE54" s="1526">
        <f t="shared" ref="AE54:AE90" si="28">(U54-V54)+AC54</f>
        <v>0</v>
      </c>
      <c r="AF54" s="1514">
        <f t="shared" si="9"/>
        <v>0</v>
      </c>
      <c r="AG54" s="1514">
        <f t="shared" si="17"/>
        <v>0</v>
      </c>
      <c r="AH54" s="1514">
        <f t="shared" si="18"/>
        <v>0</v>
      </c>
      <c r="AI54" s="1515">
        <f t="shared" si="19"/>
        <v>0</v>
      </c>
      <c r="AJ54" s="1531">
        <f t="shared" si="21"/>
        <v>0</v>
      </c>
      <c r="AK54" s="1532"/>
      <c r="AL54" s="1536">
        <f t="shared" si="22"/>
        <v>0</v>
      </c>
      <c r="AM54" s="1532"/>
      <c r="AN54" s="1532"/>
      <c r="AO54" s="1529"/>
      <c r="AP54" s="1529"/>
      <c r="AQ54" s="1529"/>
      <c r="AR54" s="1529"/>
      <c r="AS54" s="1529"/>
      <c r="AT54" s="1528">
        <f t="shared" si="23"/>
        <v>29</v>
      </c>
      <c r="AU54" s="575"/>
      <c r="AV54" s="575"/>
      <c r="AW54" s="575"/>
      <c r="AX54" s="575"/>
      <c r="AY54" s="575"/>
      <c r="AZ54" s="575"/>
      <c r="BA54" s="575"/>
      <c r="BH54" s="575"/>
      <c r="BI54" s="575"/>
    </row>
    <row r="55" spans="2:61" ht="15.75" customHeight="1">
      <c r="B55" s="1511">
        <f t="shared" si="20"/>
        <v>30</v>
      </c>
      <c r="C55" s="1512">
        <f t="shared" si="11"/>
        <v>7</v>
      </c>
      <c r="D55" s="1513" t="str">
        <f t="shared" si="25"/>
        <v xml:space="preserve">             </v>
      </c>
      <c r="E55" s="1531"/>
      <c r="F55" s="1532"/>
      <c r="G55" s="1514"/>
      <c r="H55" s="1532"/>
      <c r="I55" s="1514"/>
      <c r="J55" s="1532"/>
      <c r="K55" s="1514"/>
      <c r="L55" s="1532"/>
      <c r="M55" s="1514"/>
      <c r="N55" s="1533"/>
      <c r="O55" s="1514"/>
      <c r="P55" s="1514">
        <f t="shared" si="13"/>
        <v>0</v>
      </c>
      <c r="Q55" s="1532"/>
      <c r="R55" s="1514"/>
      <c r="S55" s="1514"/>
      <c r="T55" s="1514">
        <f t="shared" si="14"/>
        <v>0</v>
      </c>
      <c r="U55" s="1526">
        <f t="shared" si="26"/>
        <v>0</v>
      </c>
      <c r="V55" s="1520">
        <f t="shared" si="15"/>
        <v>0</v>
      </c>
      <c r="W55" s="1531">
        <f t="shared" si="10"/>
        <v>0</v>
      </c>
      <c r="X55" s="1532"/>
      <c r="Y55" s="1514"/>
      <c r="Z55" s="1514"/>
      <c r="AA55" s="1514"/>
      <c r="AB55" s="1534"/>
      <c r="AC55" s="1535">
        <f t="shared" si="16"/>
        <v>0</v>
      </c>
      <c r="AD55" s="1525">
        <f t="shared" si="27"/>
        <v>0</v>
      </c>
      <c r="AE55" s="1526">
        <f t="shared" si="28"/>
        <v>0</v>
      </c>
      <c r="AF55" s="1514">
        <f t="shared" si="9"/>
        <v>0</v>
      </c>
      <c r="AG55" s="1514">
        <f t="shared" si="17"/>
        <v>0</v>
      </c>
      <c r="AH55" s="1514">
        <f t="shared" si="18"/>
        <v>0</v>
      </c>
      <c r="AI55" s="1515">
        <f t="shared" si="19"/>
        <v>0</v>
      </c>
      <c r="AJ55" s="1531">
        <f t="shared" si="21"/>
        <v>0</v>
      </c>
      <c r="AK55" s="1532"/>
      <c r="AL55" s="1536">
        <f t="shared" si="22"/>
        <v>0</v>
      </c>
      <c r="AM55" s="1532"/>
      <c r="AN55" s="1532"/>
      <c r="AO55" s="1529"/>
      <c r="AP55" s="1529"/>
      <c r="AQ55" s="1529"/>
      <c r="AR55" s="1529"/>
      <c r="AS55" s="1529"/>
      <c r="AT55" s="1528">
        <f t="shared" si="23"/>
        <v>30</v>
      </c>
      <c r="AU55" s="575"/>
      <c r="AV55" s="575"/>
      <c r="AW55" s="575"/>
      <c r="AX55" s="575"/>
      <c r="AY55" s="575"/>
      <c r="AZ55" s="575"/>
      <c r="BA55" s="575"/>
      <c r="BH55" s="575"/>
      <c r="BI55" s="575"/>
    </row>
    <row r="56" spans="2:61" ht="15.75" customHeight="1">
      <c r="B56" s="1511">
        <f t="shared" si="20"/>
        <v>31</v>
      </c>
      <c r="C56" s="1512">
        <f t="shared" si="11"/>
        <v>8</v>
      </c>
      <c r="D56" s="1513" t="str">
        <f t="shared" si="25"/>
        <v xml:space="preserve">             </v>
      </c>
      <c r="E56" s="1531"/>
      <c r="F56" s="1532"/>
      <c r="G56" s="1514"/>
      <c r="H56" s="1532"/>
      <c r="I56" s="1514"/>
      <c r="J56" s="1532"/>
      <c r="K56" s="1514"/>
      <c r="L56" s="1532"/>
      <c r="M56" s="1514"/>
      <c r="N56" s="1533"/>
      <c r="O56" s="1514"/>
      <c r="P56" s="1514">
        <f t="shared" si="13"/>
        <v>0</v>
      </c>
      <c r="Q56" s="1532"/>
      <c r="R56" s="1514"/>
      <c r="S56" s="1514"/>
      <c r="T56" s="1514">
        <f t="shared" si="14"/>
        <v>0</v>
      </c>
      <c r="U56" s="1526">
        <f t="shared" si="26"/>
        <v>0</v>
      </c>
      <c r="V56" s="1520">
        <f t="shared" si="15"/>
        <v>0</v>
      </c>
      <c r="W56" s="1531">
        <f t="shared" si="10"/>
        <v>0</v>
      </c>
      <c r="X56" s="1532"/>
      <c r="Y56" s="1514"/>
      <c r="Z56" s="1514"/>
      <c r="AA56" s="1514"/>
      <c r="AB56" s="1534"/>
      <c r="AC56" s="1535">
        <f t="shared" si="16"/>
        <v>0</v>
      </c>
      <c r="AD56" s="1525">
        <f t="shared" si="27"/>
        <v>0</v>
      </c>
      <c r="AE56" s="1526">
        <f t="shared" si="28"/>
        <v>0</v>
      </c>
      <c r="AF56" s="1514">
        <f t="shared" si="9"/>
        <v>0</v>
      </c>
      <c r="AG56" s="1514">
        <f t="shared" si="17"/>
        <v>0</v>
      </c>
      <c r="AH56" s="1514">
        <f t="shared" si="18"/>
        <v>0</v>
      </c>
      <c r="AI56" s="1515">
        <f t="shared" si="19"/>
        <v>0</v>
      </c>
      <c r="AJ56" s="1531">
        <f t="shared" si="21"/>
        <v>0</v>
      </c>
      <c r="AK56" s="1532"/>
      <c r="AL56" s="1536">
        <f t="shared" si="22"/>
        <v>0</v>
      </c>
      <c r="AM56" s="1532"/>
      <c r="AN56" s="1532"/>
      <c r="AO56" s="1529"/>
      <c r="AP56" s="1529"/>
      <c r="AQ56" s="1529"/>
      <c r="AR56" s="1529"/>
      <c r="AS56" s="1529"/>
      <c r="AT56" s="1528">
        <f t="shared" si="23"/>
        <v>31</v>
      </c>
      <c r="AU56" s="575"/>
      <c r="AV56" s="575"/>
      <c r="AW56" s="575"/>
      <c r="AX56" s="575"/>
      <c r="AY56" s="575"/>
      <c r="AZ56" s="575"/>
      <c r="BA56" s="575"/>
      <c r="BH56" s="575"/>
      <c r="BI56" s="575"/>
    </row>
    <row r="57" spans="2:61" ht="15.75" customHeight="1">
      <c r="B57" s="1511">
        <f t="shared" si="20"/>
        <v>32</v>
      </c>
      <c r="C57" s="1512">
        <f t="shared" si="11"/>
        <v>9</v>
      </c>
      <c r="D57" s="1513" t="str">
        <f>IF($C56=12,$D$45+1,"             ")</f>
        <v xml:space="preserve">             </v>
      </c>
      <c r="E57" s="1531"/>
      <c r="F57" s="1532"/>
      <c r="G57" s="1514"/>
      <c r="H57" s="1532"/>
      <c r="I57" s="1514"/>
      <c r="J57" s="1532"/>
      <c r="K57" s="1514"/>
      <c r="L57" s="1532"/>
      <c r="M57" s="1514"/>
      <c r="N57" s="1533"/>
      <c r="O57" s="1514"/>
      <c r="P57" s="1514">
        <f t="shared" si="13"/>
        <v>0</v>
      </c>
      <c r="Q57" s="1532"/>
      <c r="R57" s="1514"/>
      <c r="S57" s="1514"/>
      <c r="T57" s="1514">
        <f t="shared" si="14"/>
        <v>0</v>
      </c>
      <c r="U57" s="1526">
        <f t="shared" si="26"/>
        <v>0</v>
      </c>
      <c r="V57" s="1520">
        <f t="shared" si="15"/>
        <v>0</v>
      </c>
      <c r="W57" s="1531">
        <f t="shared" si="10"/>
        <v>0</v>
      </c>
      <c r="X57" s="1532"/>
      <c r="Y57" s="1514"/>
      <c r="Z57" s="1514"/>
      <c r="AA57" s="1514"/>
      <c r="AB57" s="1534"/>
      <c r="AC57" s="1535">
        <f t="shared" si="16"/>
        <v>0</v>
      </c>
      <c r="AD57" s="1525">
        <f t="shared" si="27"/>
        <v>0</v>
      </c>
      <c r="AE57" s="1526">
        <f t="shared" si="28"/>
        <v>0</v>
      </c>
      <c r="AF57" s="1514">
        <f t="shared" si="9"/>
        <v>0</v>
      </c>
      <c r="AG57" s="1514">
        <f t="shared" ref="AG57:AG90" si="29">PV($G$13/12,$B57,0,$AE57*-1,0)</f>
        <v>0</v>
      </c>
      <c r="AH57" s="1514">
        <f t="shared" ref="AH57:AH90" si="30">PV($G$14/12,$B57,0,$AF57*-1,0)</f>
        <v>0</v>
      </c>
      <c r="AI57" s="1515">
        <f t="shared" si="19"/>
        <v>0</v>
      </c>
      <c r="AJ57" s="1531">
        <f t="shared" si="21"/>
        <v>0</v>
      </c>
      <c r="AK57" s="1532"/>
      <c r="AL57" s="1536">
        <f t="shared" si="22"/>
        <v>0</v>
      </c>
      <c r="AM57" s="1532"/>
      <c r="AN57" s="1532"/>
      <c r="AO57" s="1529"/>
      <c r="AP57" s="1529"/>
      <c r="AQ57" s="1529"/>
      <c r="AR57" s="1529"/>
      <c r="AS57" s="1529"/>
      <c r="AT57" s="1528">
        <f t="shared" si="23"/>
        <v>32</v>
      </c>
      <c r="AU57" s="575"/>
      <c r="AV57" s="575"/>
      <c r="AW57" s="575"/>
      <c r="AX57" s="575"/>
      <c r="AY57" s="575"/>
      <c r="AZ57" s="575"/>
      <c r="BA57" s="575"/>
      <c r="BH57" s="575"/>
      <c r="BI57" s="575"/>
    </row>
    <row r="58" spans="2:61" ht="15.75" customHeight="1">
      <c r="B58" s="1511">
        <f t="shared" si="20"/>
        <v>33</v>
      </c>
      <c r="C58" s="1512">
        <f t="shared" si="11"/>
        <v>10</v>
      </c>
      <c r="D58" s="1513" t="str">
        <f t="shared" si="25"/>
        <v xml:space="preserve">             </v>
      </c>
      <c r="E58" s="1531"/>
      <c r="F58" s="1532"/>
      <c r="G58" s="1514"/>
      <c r="H58" s="1532"/>
      <c r="I58" s="1514"/>
      <c r="J58" s="1532"/>
      <c r="K58" s="1514"/>
      <c r="L58" s="1532"/>
      <c r="M58" s="1514"/>
      <c r="N58" s="1533"/>
      <c r="O58" s="1514"/>
      <c r="P58" s="1514">
        <f t="shared" ref="P58:P90" si="31">IF($AT58&lt;=$J$7,($T$11)*-1,0)</f>
        <v>0</v>
      </c>
      <c r="Q58" s="1532"/>
      <c r="R58" s="1514"/>
      <c r="S58" s="1514"/>
      <c r="T58" s="1514">
        <f t="shared" ref="T58:T90" si="32">IF($AT58&lt;=$J$7,($AA$10/$J$7)*-1,0)</f>
        <v>0</v>
      </c>
      <c r="U58" s="1526">
        <f t="shared" si="26"/>
        <v>0</v>
      </c>
      <c r="V58" s="1520">
        <f t="shared" si="15"/>
        <v>0</v>
      </c>
      <c r="W58" s="1531">
        <f t="shared" si="10"/>
        <v>0</v>
      </c>
      <c r="X58" s="1532"/>
      <c r="Y58" s="1514"/>
      <c r="Z58" s="1514"/>
      <c r="AA58" s="1514"/>
      <c r="AB58" s="1534"/>
      <c r="AC58" s="1535">
        <f t="shared" si="16"/>
        <v>0</v>
      </c>
      <c r="AD58" s="1525">
        <f t="shared" si="27"/>
        <v>0</v>
      </c>
      <c r="AE58" s="1526">
        <f t="shared" si="28"/>
        <v>0</v>
      </c>
      <c r="AF58" s="1514">
        <f t="shared" si="9"/>
        <v>0</v>
      </c>
      <c r="AG58" s="1514">
        <f t="shared" si="29"/>
        <v>0</v>
      </c>
      <c r="AH58" s="1514">
        <f t="shared" si="30"/>
        <v>0</v>
      </c>
      <c r="AI58" s="1515">
        <f t="shared" si="19"/>
        <v>0</v>
      </c>
      <c r="AJ58" s="1531">
        <f t="shared" si="21"/>
        <v>0</v>
      </c>
      <c r="AK58" s="1532"/>
      <c r="AL58" s="1536">
        <f t="shared" si="22"/>
        <v>0</v>
      </c>
      <c r="AM58" s="1532"/>
      <c r="AN58" s="1532"/>
      <c r="AO58" s="1529"/>
      <c r="AP58" s="1529"/>
      <c r="AQ58" s="1529"/>
      <c r="AR58" s="1529"/>
      <c r="AS58" s="1529"/>
      <c r="AT58" s="1528">
        <f t="shared" si="23"/>
        <v>33</v>
      </c>
      <c r="AU58" s="575"/>
      <c r="AV58" s="575"/>
      <c r="AW58" s="575"/>
      <c r="AX58" s="575"/>
      <c r="AY58" s="575"/>
      <c r="AZ58" s="575"/>
      <c r="BA58" s="575"/>
      <c r="BH58" s="575"/>
      <c r="BI58" s="575"/>
    </row>
    <row r="59" spans="2:61" ht="15.75" customHeight="1">
      <c r="B59" s="1511">
        <f t="shared" si="20"/>
        <v>34</v>
      </c>
      <c r="C59" s="1512">
        <f t="shared" si="11"/>
        <v>11</v>
      </c>
      <c r="D59" s="1513" t="str">
        <f t="shared" si="25"/>
        <v xml:space="preserve">             </v>
      </c>
      <c r="E59" s="1531"/>
      <c r="F59" s="1532"/>
      <c r="G59" s="1514"/>
      <c r="H59" s="1532"/>
      <c r="I59" s="1514"/>
      <c r="J59" s="1532"/>
      <c r="K59" s="1514"/>
      <c r="L59" s="1532"/>
      <c r="M59" s="1514"/>
      <c r="N59" s="1533"/>
      <c r="O59" s="1514"/>
      <c r="P59" s="1514">
        <f t="shared" si="31"/>
        <v>0</v>
      </c>
      <c r="Q59" s="1532"/>
      <c r="R59" s="1514"/>
      <c r="S59" s="1514"/>
      <c r="T59" s="1514">
        <f t="shared" si="32"/>
        <v>0</v>
      </c>
      <c r="U59" s="1526">
        <f t="shared" si="26"/>
        <v>0</v>
      </c>
      <c r="V59" s="1520">
        <f t="shared" si="15"/>
        <v>0</v>
      </c>
      <c r="W59" s="1531">
        <f t="shared" si="10"/>
        <v>0</v>
      </c>
      <c r="X59" s="1532"/>
      <c r="Y59" s="1514"/>
      <c r="Z59" s="1514"/>
      <c r="AA59" s="1514"/>
      <c r="AB59" s="1534"/>
      <c r="AC59" s="1535">
        <f t="shared" si="16"/>
        <v>0</v>
      </c>
      <c r="AD59" s="1525">
        <f t="shared" si="27"/>
        <v>0</v>
      </c>
      <c r="AE59" s="1526">
        <f t="shared" si="28"/>
        <v>0</v>
      </c>
      <c r="AF59" s="1514">
        <f t="shared" si="9"/>
        <v>0</v>
      </c>
      <c r="AG59" s="1514">
        <f t="shared" si="29"/>
        <v>0</v>
      </c>
      <c r="AH59" s="1514">
        <f t="shared" si="30"/>
        <v>0</v>
      </c>
      <c r="AI59" s="1515">
        <f t="shared" si="19"/>
        <v>0</v>
      </c>
      <c r="AJ59" s="1531">
        <f t="shared" ref="AJ59:AJ90" si="33">IF(AT59&lt;=$J$7,AJ58,0)</f>
        <v>0</v>
      </c>
      <c r="AK59" s="1532"/>
      <c r="AL59" s="1536">
        <f t="shared" si="22"/>
        <v>0</v>
      </c>
      <c r="AM59" s="1532"/>
      <c r="AN59" s="1532"/>
      <c r="AO59" s="1529"/>
      <c r="AP59" s="1529"/>
      <c r="AQ59" s="1529"/>
      <c r="AR59" s="1529"/>
      <c r="AS59" s="1529"/>
      <c r="AT59" s="1528">
        <f t="shared" si="23"/>
        <v>34</v>
      </c>
      <c r="AU59" s="575"/>
      <c r="AV59" s="575"/>
      <c r="AW59" s="575"/>
      <c r="AX59" s="575"/>
      <c r="AY59" s="575"/>
      <c r="AZ59" s="575"/>
      <c r="BA59" s="575"/>
      <c r="BH59" s="575"/>
      <c r="BI59" s="575"/>
    </row>
    <row r="60" spans="2:61" ht="15.75" customHeight="1">
      <c r="B60" s="1511">
        <f t="shared" si="20"/>
        <v>35</v>
      </c>
      <c r="C60" s="1512">
        <f t="shared" si="11"/>
        <v>12</v>
      </c>
      <c r="D60" s="1513" t="str">
        <f t="shared" si="25"/>
        <v xml:space="preserve">             </v>
      </c>
      <c r="E60" s="1531"/>
      <c r="F60" s="1532"/>
      <c r="G60" s="1514"/>
      <c r="H60" s="1532"/>
      <c r="I60" s="1514"/>
      <c r="J60" s="1532"/>
      <c r="K60" s="1514"/>
      <c r="L60" s="1532"/>
      <c r="M60" s="1514">
        <f>IF(B60&lt;=$J$7,($AA$9/($J$7/12))*-1,)</f>
        <v>0</v>
      </c>
      <c r="N60" s="1533"/>
      <c r="O60" s="1514"/>
      <c r="P60" s="1514">
        <f t="shared" si="31"/>
        <v>0</v>
      </c>
      <c r="Q60" s="1532"/>
      <c r="R60" s="1514"/>
      <c r="S60" s="1514"/>
      <c r="T60" s="1514">
        <f t="shared" si="32"/>
        <v>0</v>
      </c>
      <c r="U60" s="1526">
        <f t="shared" si="26"/>
        <v>0</v>
      </c>
      <c r="V60" s="1520">
        <f t="shared" si="15"/>
        <v>0</v>
      </c>
      <c r="W60" s="1531">
        <f t="shared" si="10"/>
        <v>0</v>
      </c>
      <c r="X60" s="1532"/>
      <c r="Y60" s="1514"/>
      <c r="Z60" s="1514"/>
      <c r="AA60" s="1514"/>
      <c r="AB60" s="1534"/>
      <c r="AC60" s="1535">
        <f t="shared" si="16"/>
        <v>0</v>
      </c>
      <c r="AD60" s="1525">
        <f t="shared" si="27"/>
        <v>0</v>
      </c>
      <c r="AE60" s="1526">
        <f t="shared" si="28"/>
        <v>0</v>
      </c>
      <c r="AF60" s="1514">
        <f t="shared" si="9"/>
        <v>0</v>
      </c>
      <c r="AG60" s="1514">
        <f t="shared" si="29"/>
        <v>0</v>
      </c>
      <c r="AH60" s="1514">
        <f t="shared" si="30"/>
        <v>0</v>
      </c>
      <c r="AI60" s="1515">
        <f t="shared" si="19"/>
        <v>0</v>
      </c>
      <c r="AJ60" s="1531">
        <f t="shared" si="33"/>
        <v>0</v>
      </c>
      <c r="AK60" s="1532"/>
      <c r="AL60" s="1536">
        <f t="shared" si="22"/>
        <v>0</v>
      </c>
      <c r="AM60" s="1532"/>
      <c r="AN60" s="1532"/>
      <c r="AO60" s="1529"/>
      <c r="AP60" s="1529"/>
      <c r="AQ60" s="1529"/>
      <c r="AR60" s="1529"/>
      <c r="AS60" s="1529"/>
      <c r="AT60" s="1528">
        <f t="shared" si="23"/>
        <v>35</v>
      </c>
      <c r="AU60" s="575"/>
      <c r="AV60" s="575"/>
      <c r="AW60" s="575"/>
      <c r="AX60" s="575"/>
      <c r="AY60" s="575"/>
      <c r="AZ60" s="575"/>
      <c r="BA60" s="575"/>
      <c r="BH60" s="575"/>
      <c r="BI60" s="575"/>
    </row>
    <row r="61" spans="2:61" ht="15.75" customHeight="1">
      <c r="B61" s="1511">
        <f t="shared" si="20"/>
        <v>36</v>
      </c>
      <c r="C61" s="1512">
        <f t="shared" si="11"/>
        <v>1</v>
      </c>
      <c r="D61" s="1513">
        <f t="shared" si="25"/>
        <v>2021</v>
      </c>
      <c r="E61" s="1531"/>
      <c r="F61" s="1532"/>
      <c r="G61" s="1514"/>
      <c r="H61" s="1532"/>
      <c r="I61" s="1514"/>
      <c r="J61" s="1532"/>
      <c r="K61" s="1514"/>
      <c r="L61" s="1532"/>
      <c r="M61" s="1538"/>
      <c r="N61" s="1533">
        <f>IF(B61&lt;=($J$7-1),($AA$8/($J$7/12))*-1,)</f>
        <v>0</v>
      </c>
      <c r="O61" s="1514"/>
      <c r="P61" s="1514">
        <f t="shared" si="31"/>
        <v>0</v>
      </c>
      <c r="Q61" s="1532"/>
      <c r="R61" s="1514"/>
      <c r="S61" s="1514"/>
      <c r="T61" s="1514">
        <f t="shared" si="32"/>
        <v>0</v>
      </c>
      <c r="U61" s="1526">
        <f t="shared" si="26"/>
        <v>0</v>
      </c>
      <c r="V61" s="1520">
        <f t="shared" si="15"/>
        <v>0</v>
      </c>
      <c r="W61" s="1531">
        <f t="shared" si="10"/>
        <v>0</v>
      </c>
      <c r="X61" s="1532"/>
      <c r="Y61" s="1514"/>
      <c r="Z61" s="1514"/>
      <c r="AA61" s="1514"/>
      <c r="AB61" s="1534"/>
      <c r="AC61" s="1535">
        <f t="shared" si="16"/>
        <v>0</v>
      </c>
      <c r="AD61" s="1525">
        <f t="shared" si="27"/>
        <v>0</v>
      </c>
      <c r="AE61" s="1526">
        <f t="shared" si="28"/>
        <v>0</v>
      </c>
      <c r="AF61" s="1514">
        <f t="shared" si="9"/>
        <v>0</v>
      </c>
      <c r="AG61" s="1514">
        <f t="shared" si="29"/>
        <v>0</v>
      </c>
      <c r="AH61" s="1514">
        <f t="shared" si="30"/>
        <v>0</v>
      </c>
      <c r="AI61" s="1515">
        <f t="shared" si="19"/>
        <v>0</v>
      </c>
      <c r="AJ61" s="1531">
        <f t="shared" si="33"/>
        <v>0</v>
      </c>
      <c r="AK61" s="1532"/>
      <c r="AL61" s="1536">
        <f t="shared" si="22"/>
        <v>0</v>
      </c>
      <c r="AM61" s="1532"/>
      <c r="AN61" s="1532"/>
      <c r="AO61" s="1529"/>
      <c r="AP61" s="1529"/>
      <c r="AQ61" s="1529"/>
      <c r="AR61" s="1529"/>
      <c r="AS61" s="1529"/>
      <c r="AT61" s="1528">
        <f t="shared" si="23"/>
        <v>36</v>
      </c>
      <c r="AU61" s="575"/>
      <c r="AV61" s="575"/>
      <c r="AW61" s="575"/>
      <c r="AX61" s="575"/>
      <c r="AY61" s="575"/>
      <c r="AZ61" s="575"/>
      <c r="BA61" s="575"/>
      <c r="BH61" s="575"/>
      <c r="BI61" s="575"/>
    </row>
    <row r="62" spans="2:61" ht="15.75" customHeight="1">
      <c r="B62" s="1511">
        <v>37</v>
      </c>
      <c r="C62" s="1512">
        <f t="shared" si="11"/>
        <v>2</v>
      </c>
      <c r="D62" s="1513" t="str">
        <f>IF($C61=12,$D$61+1,"             ")</f>
        <v xml:space="preserve">             </v>
      </c>
      <c r="E62" s="1531"/>
      <c r="F62" s="1532"/>
      <c r="G62" s="1514"/>
      <c r="H62" s="1532"/>
      <c r="I62" s="1514"/>
      <c r="J62" s="1532"/>
      <c r="K62" s="1514"/>
      <c r="L62" s="1532"/>
      <c r="M62" s="1514"/>
      <c r="N62" s="1533"/>
      <c r="O62" s="1514"/>
      <c r="P62" s="1514">
        <f t="shared" si="31"/>
        <v>0</v>
      </c>
      <c r="Q62" s="1532"/>
      <c r="R62" s="1514"/>
      <c r="S62" s="1514"/>
      <c r="T62" s="1514">
        <f t="shared" si="32"/>
        <v>0</v>
      </c>
      <c r="U62" s="1526">
        <f t="shared" si="26"/>
        <v>0</v>
      </c>
      <c r="V62" s="1520">
        <f t="shared" si="15"/>
        <v>0</v>
      </c>
      <c r="W62" s="1531">
        <f t="shared" si="10"/>
        <v>0</v>
      </c>
      <c r="X62" s="1532"/>
      <c r="Y62" s="1514"/>
      <c r="Z62" s="1514"/>
      <c r="AA62" s="1514"/>
      <c r="AB62" s="1534">
        <f>IF(B62&lt;=($J$7-1),($AA$11/($J$7/12)),)</f>
        <v>0</v>
      </c>
      <c r="AC62" s="1535">
        <f t="shared" si="16"/>
        <v>0</v>
      </c>
      <c r="AD62" s="1525">
        <f t="shared" si="27"/>
        <v>0</v>
      </c>
      <c r="AE62" s="1526">
        <f t="shared" si="28"/>
        <v>0</v>
      </c>
      <c r="AF62" s="1514">
        <f t="shared" si="9"/>
        <v>0</v>
      </c>
      <c r="AG62" s="1514">
        <f t="shared" si="29"/>
        <v>0</v>
      </c>
      <c r="AH62" s="1514">
        <f t="shared" si="30"/>
        <v>0</v>
      </c>
      <c r="AI62" s="1515">
        <f t="shared" si="19"/>
        <v>0</v>
      </c>
      <c r="AJ62" s="1531">
        <f t="shared" si="33"/>
        <v>0</v>
      </c>
      <c r="AK62" s="1532"/>
      <c r="AL62" s="1536">
        <f t="shared" si="22"/>
        <v>0</v>
      </c>
      <c r="AM62" s="1532"/>
      <c r="AN62" s="1532"/>
      <c r="AO62" s="1529"/>
      <c r="AP62" s="1529"/>
      <c r="AQ62" s="1529"/>
      <c r="AR62" s="1529"/>
      <c r="AS62" s="1529"/>
      <c r="AT62" s="1528">
        <f t="shared" si="23"/>
        <v>37</v>
      </c>
      <c r="AU62" s="575"/>
      <c r="AV62" s="575"/>
      <c r="AW62" s="575"/>
      <c r="AX62" s="575"/>
      <c r="AY62" s="575"/>
      <c r="AZ62" s="575"/>
      <c r="BA62" s="575"/>
      <c r="BH62" s="575"/>
      <c r="BI62" s="575"/>
    </row>
    <row r="63" spans="2:61" ht="15.75" customHeight="1">
      <c r="B63" s="1511">
        <f t="shared" si="20"/>
        <v>38</v>
      </c>
      <c r="C63" s="1512">
        <f t="shared" si="11"/>
        <v>3</v>
      </c>
      <c r="D63" s="1513" t="str">
        <f t="shared" ref="D63:D73" si="34">IF($C62=12,$D$61+1,"             ")</f>
        <v xml:space="preserve">             </v>
      </c>
      <c r="E63" s="1531"/>
      <c r="F63" s="1532"/>
      <c r="G63" s="1514"/>
      <c r="H63" s="1532"/>
      <c r="I63" s="1514"/>
      <c r="J63" s="1532"/>
      <c r="K63" s="1514"/>
      <c r="L63" s="1532"/>
      <c r="M63" s="1514"/>
      <c r="N63" s="1533"/>
      <c r="O63" s="1514"/>
      <c r="P63" s="1514">
        <f t="shared" si="31"/>
        <v>0</v>
      </c>
      <c r="Q63" s="1532"/>
      <c r="R63" s="1514"/>
      <c r="S63" s="1514"/>
      <c r="T63" s="1514">
        <f t="shared" si="32"/>
        <v>0</v>
      </c>
      <c r="U63" s="1526">
        <f t="shared" si="26"/>
        <v>0</v>
      </c>
      <c r="V63" s="1520">
        <f t="shared" si="15"/>
        <v>0</v>
      </c>
      <c r="W63" s="1531">
        <f t="shared" si="10"/>
        <v>0</v>
      </c>
      <c r="X63" s="1532"/>
      <c r="Y63" s="1514"/>
      <c r="Z63" s="1514"/>
      <c r="AA63" s="1514"/>
      <c r="AB63" s="1534"/>
      <c r="AC63" s="1535">
        <f t="shared" si="16"/>
        <v>0</v>
      </c>
      <c r="AD63" s="1525">
        <f t="shared" si="27"/>
        <v>0</v>
      </c>
      <c r="AE63" s="1526">
        <f t="shared" si="28"/>
        <v>0</v>
      </c>
      <c r="AF63" s="1514">
        <f t="shared" si="9"/>
        <v>0</v>
      </c>
      <c r="AG63" s="1514">
        <f t="shared" si="29"/>
        <v>0</v>
      </c>
      <c r="AH63" s="1514">
        <f t="shared" si="30"/>
        <v>0</v>
      </c>
      <c r="AI63" s="1515">
        <f t="shared" si="19"/>
        <v>0</v>
      </c>
      <c r="AJ63" s="1531">
        <f t="shared" si="33"/>
        <v>0</v>
      </c>
      <c r="AK63" s="1532"/>
      <c r="AL63" s="1536">
        <f t="shared" si="22"/>
        <v>0</v>
      </c>
      <c r="AM63" s="1532"/>
      <c r="AN63" s="1532"/>
      <c r="AO63" s="1529"/>
      <c r="AP63" s="1529"/>
      <c r="AQ63" s="1529"/>
      <c r="AR63" s="1529"/>
      <c r="AS63" s="1529"/>
      <c r="AT63" s="1528">
        <f t="shared" si="23"/>
        <v>38</v>
      </c>
      <c r="AU63" s="575"/>
      <c r="AV63" s="575"/>
      <c r="AW63" s="575"/>
      <c r="AX63" s="575"/>
      <c r="AY63" s="575"/>
      <c r="AZ63" s="575"/>
      <c r="BA63" s="575"/>
      <c r="BH63" s="575"/>
      <c r="BI63" s="575"/>
    </row>
    <row r="64" spans="2:61" ht="15.75" customHeight="1">
      <c r="B64" s="1511">
        <f t="shared" si="20"/>
        <v>39</v>
      </c>
      <c r="C64" s="1512">
        <f t="shared" si="11"/>
        <v>4</v>
      </c>
      <c r="D64" s="1513" t="str">
        <f t="shared" si="34"/>
        <v xml:space="preserve">             </v>
      </c>
      <c r="E64" s="1531"/>
      <c r="F64" s="1532"/>
      <c r="G64" s="1514"/>
      <c r="H64" s="1532"/>
      <c r="I64" s="1514"/>
      <c r="J64" s="1532"/>
      <c r="K64" s="1514"/>
      <c r="L64" s="1532"/>
      <c r="M64" s="1514"/>
      <c r="N64" s="1533"/>
      <c r="O64" s="1514"/>
      <c r="P64" s="1514">
        <f t="shared" si="31"/>
        <v>0</v>
      </c>
      <c r="Q64" s="1532"/>
      <c r="R64" s="1514"/>
      <c r="S64" s="1514"/>
      <c r="T64" s="1514">
        <f t="shared" si="32"/>
        <v>0</v>
      </c>
      <c r="U64" s="1526">
        <f t="shared" si="26"/>
        <v>0</v>
      </c>
      <c r="V64" s="1520">
        <f t="shared" si="15"/>
        <v>0</v>
      </c>
      <c r="W64" s="1531">
        <f t="shared" si="10"/>
        <v>0</v>
      </c>
      <c r="X64" s="1532"/>
      <c r="Y64" s="1514"/>
      <c r="Z64" s="1514"/>
      <c r="AA64" s="1514"/>
      <c r="AB64" s="1534"/>
      <c r="AC64" s="1535">
        <f t="shared" si="16"/>
        <v>0</v>
      </c>
      <c r="AD64" s="1525">
        <f t="shared" si="27"/>
        <v>0</v>
      </c>
      <c r="AE64" s="1526">
        <f t="shared" si="28"/>
        <v>0</v>
      </c>
      <c r="AF64" s="1514">
        <f t="shared" si="9"/>
        <v>0</v>
      </c>
      <c r="AG64" s="1514">
        <f t="shared" si="29"/>
        <v>0</v>
      </c>
      <c r="AH64" s="1514">
        <f t="shared" si="30"/>
        <v>0</v>
      </c>
      <c r="AI64" s="1515">
        <f t="shared" si="19"/>
        <v>0</v>
      </c>
      <c r="AJ64" s="1531">
        <f t="shared" si="33"/>
        <v>0</v>
      </c>
      <c r="AK64" s="1532"/>
      <c r="AL64" s="1536">
        <f t="shared" si="22"/>
        <v>0</v>
      </c>
      <c r="AM64" s="1532"/>
      <c r="AN64" s="1532"/>
      <c r="AO64" s="1529"/>
      <c r="AP64" s="1529"/>
      <c r="AQ64" s="1529"/>
      <c r="AR64" s="1529"/>
      <c r="AS64" s="1529"/>
      <c r="AT64" s="1528">
        <f t="shared" si="23"/>
        <v>39</v>
      </c>
      <c r="AU64" s="575"/>
      <c r="AV64" s="575"/>
      <c r="AW64" s="575"/>
      <c r="AX64" s="575"/>
      <c r="AY64" s="575"/>
      <c r="AZ64" s="575"/>
      <c r="BA64" s="575"/>
      <c r="BH64" s="575"/>
      <c r="BI64" s="575"/>
    </row>
    <row r="65" spans="2:61" ht="15.75" customHeight="1">
      <c r="B65" s="1511">
        <f t="shared" si="20"/>
        <v>40</v>
      </c>
      <c r="C65" s="1512">
        <f t="shared" si="11"/>
        <v>5</v>
      </c>
      <c r="D65" s="1513" t="str">
        <f t="shared" si="34"/>
        <v xml:space="preserve">             </v>
      </c>
      <c r="E65" s="1531"/>
      <c r="F65" s="1532"/>
      <c r="G65" s="1514"/>
      <c r="H65" s="1532"/>
      <c r="I65" s="1514"/>
      <c r="J65" s="1532"/>
      <c r="K65" s="1514"/>
      <c r="L65" s="1532"/>
      <c r="M65" s="1514"/>
      <c r="N65" s="1533"/>
      <c r="O65" s="1514"/>
      <c r="P65" s="1514">
        <f t="shared" si="31"/>
        <v>0</v>
      </c>
      <c r="Q65" s="1532"/>
      <c r="R65" s="1514"/>
      <c r="S65" s="1514"/>
      <c r="T65" s="1514">
        <f t="shared" si="32"/>
        <v>0</v>
      </c>
      <c r="U65" s="1526">
        <f t="shared" si="26"/>
        <v>0</v>
      </c>
      <c r="V65" s="1520">
        <f t="shared" si="15"/>
        <v>0</v>
      </c>
      <c r="W65" s="1531">
        <f t="shared" si="10"/>
        <v>0</v>
      </c>
      <c r="X65" s="1532"/>
      <c r="Y65" s="1514"/>
      <c r="Z65" s="1514"/>
      <c r="AA65" s="1514"/>
      <c r="AB65" s="1534"/>
      <c r="AC65" s="1535">
        <f t="shared" si="16"/>
        <v>0</v>
      </c>
      <c r="AD65" s="1525">
        <f t="shared" si="27"/>
        <v>0</v>
      </c>
      <c r="AE65" s="1526">
        <f t="shared" si="28"/>
        <v>0</v>
      </c>
      <c r="AF65" s="1514">
        <f t="shared" si="9"/>
        <v>0</v>
      </c>
      <c r="AG65" s="1514">
        <f t="shared" si="29"/>
        <v>0</v>
      </c>
      <c r="AH65" s="1514">
        <f t="shared" si="30"/>
        <v>0</v>
      </c>
      <c r="AI65" s="1515">
        <f t="shared" si="19"/>
        <v>0</v>
      </c>
      <c r="AJ65" s="1531">
        <f t="shared" si="33"/>
        <v>0</v>
      </c>
      <c r="AK65" s="1532"/>
      <c r="AL65" s="1536">
        <f t="shared" si="22"/>
        <v>0</v>
      </c>
      <c r="AM65" s="1532"/>
      <c r="AN65" s="1532"/>
      <c r="AO65" s="1529"/>
      <c r="AP65" s="1529"/>
      <c r="AQ65" s="1529"/>
      <c r="AR65" s="1529"/>
      <c r="AS65" s="1529"/>
      <c r="AT65" s="1528">
        <f t="shared" si="23"/>
        <v>40</v>
      </c>
      <c r="AU65" s="575"/>
      <c r="AV65" s="575"/>
      <c r="AW65" s="575"/>
      <c r="AX65" s="575"/>
      <c r="AY65" s="575"/>
      <c r="AZ65" s="575"/>
      <c r="BA65" s="575"/>
      <c r="BH65" s="575"/>
      <c r="BI65" s="575"/>
    </row>
    <row r="66" spans="2:61" ht="15.75" customHeight="1">
      <c r="B66" s="1511">
        <f t="shared" si="20"/>
        <v>41</v>
      </c>
      <c r="C66" s="1512">
        <f t="shared" si="11"/>
        <v>6</v>
      </c>
      <c r="D66" s="1513" t="str">
        <f t="shared" si="34"/>
        <v xml:space="preserve">             </v>
      </c>
      <c r="E66" s="1531"/>
      <c r="F66" s="1532"/>
      <c r="G66" s="1514"/>
      <c r="H66" s="1532"/>
      <c r="I66" s="1514"/>
      <c r="J66" s="1532"/>
      <c r="K66" s="1514"/>
      <c r="L66" s="1532"/>
      <c r="M66" s="1514"/>
      <c r="N66" s="1533"/>
      <c r="O66" s="1514"/>
      <c r="P66" s="1514">
        <f t="shared" si="31"/>
        <v>0</v>
      </c>
      <c r="Q66" s="1532"/>
      <c r="R66" s="1514"/>
      <c r="S66" s="1514"/>
      <c r="T66" s="1514">
        <f t="shared" si="32"/>
        <v>0</v>
      </c>
      <c r="U66" s="1526">
        <f t="shared" si="26"/>
        <v>0</v>
      </c>
      <c r="V66" s="1520">
        <f t="shared" si="15"/>
        <v>0</v>
      </c>
      <c r="W66" s="1531">
        <f t="shared" si="10"/>
        <v>0</v>
      </c>
      <c r="X66" s="1532"/>
      <c r="Y66" s="1514"/>
      <c r="Z66" s="1514"/>
      <c r="AA66" s="1514"/>
      <c r="AB66" s="1534"/>
      <c r="AC66" s="1535">
        <f t="shared" si="16"/>
        <v>0</v>
      </c>
      <c r="AD66" s="1525">
        <f t="shared" si="27"/>
        <v>0</v>
      </c>
      <c r="AE66" s="1526">
        <f t="shared" si="28"/>
        <v>0</v>
      </c>
      <c r="AF66" s="1514">
        <f t="shared" si="9"/>
        <v>0</v>
      </c>
      <c r="AG66" s="1514">
        <f t="shared" si="29"/>
        <v>0</v>
      </c>
      <c r="AH66" s="1514">
        <f t="shared" si="30"/>
        <v>0</v>
      </c>
      <c r="AI66" s="1515">
        <f t="shared" si="19"/>
        <v>0</v>
      </c>
      <c r="AJ66" s="1531">
        <f t="shared" si="33"/>
        <v>0</v>
      </c>
      <c r="AK66" s="1532"/>
      <c r="AL66" s="1536">
        <f t="shared" si="22"/>
        <v>0</v>
      </c>
      <c r="AM66" s="1532"/>
      <c r="AN66" s="1532"/>
      <c r="AO66" s="1529"/>
      <c r="AP66" s="1529"/>
      <c r="AQ66" s="1529"/>
      <c r="AR66" s="1529"/>
      <c r="AS66" s="1529"/>
      <c r="AT66" s="1528">
        <f t="shared" si="23"/>
        <v>41</v>
      </c>
      <c r="AU66" s="575"/>
      <c r="AV66" s="575"/>
      <c r="AW66" s="575"/>
      <c r="AX66" s="575"/>
      <c r="AY66" s="575"/>
      <c r="AZ66" s="575"/>
      <c r="BA66" s="575"/>
      <c r="BH66" s="575"/>
      <c r="BI66" s="575"/>
    </row>
    <row r="67" spans="2:61" ht="15.75" customHeight="1">
      <c r="B67" s="1511">
        <f t="shared" si="20"/>
        <v>42</v>
      </c>
      <c r="C67" s="1512">
        <f t="shared" si="11"/>
        <v>7</v>
      </c>
      <c r="D67" s="1513" t="str">
        <f t="shared" si="34"/>
        <v xml:space="preserve">             </v>
      </c>
      <c r="E67" s="1531"/>
      <c r="F67" s="1532"/>
      <c r="G67" s="1514"/>
      <c r="H67" s="1532"/>
      <c r="I67" s="1514"/>
      <c r="J67" s="1532"/>
      <c r="K67" s="1514"/>
      <c r="L67" s="1532"/>
      <c r="M67" s="1514"/>
      <c r="N67" s="1533"/>
      <c r="O67" s="1514"/>
      <c r="P67" s="1514">
        <f t="shared" si="31"/>
        <v>0</v>
      </c>
      <c r="Q67" s="1532"/>
      <c r="R67" s="1514"/>
      <c r="S67" s="1514"/>
      <c r="T67" s="1514">
        <f t="shared" si="32"/>
        <v>0</v>
      </c>
      <c r="U67" s="1526">
        <f t="shared" si="26"/>
        <v>0</v>
      </c>
      <c r="V67" s="1520">
        <f t="shared" si="15"/>
        <v>0</v>
      </c>
      <c r="W67" s="1531">
        <f t="shared" si="10"/>
        <v>0</v>
      </c>
      <c r="X67" s="1532"/>
      <c r="Y67" s="1514"/>
      <c r="Z67" s="1514"/>
      <c r="AA67" s="1514"/>
      <c r="AB67" s="1534"/>
      <c r="AC67" s="1535">
        <f t="shared" si="16"/>
        <v>0</v>
      </c>
      <c r="AD67" s="1525">
        <f t="shared" si="27"/>
        <v>0</v>
      </c>
      <c r="AE67" s="1526">
        <f t="shared" si="28"/>
        <v>0</v>
      </c>
      <c r="AF67" s="1514">
        <f t="shared" si="9"/>
        <v>0</v>
      </c>
      <c r="AG67" s="1514">
        <f t="shared" si="29"/>
        <v>0</v>
      </c>
      <c r="AH67" s="1514">
        <f t="shared" si="30"/>
        <v>0</v>
      </c>
      <c r="AI67" s="1515">
        <f t="shared" si="19"/>
        <v>0</v>
      </c>
      <c r="AJ67" s="1531">
        <f t="shared" si="33"/>
        <v>0</v>
      </c>
      <c r="AK67" s="1532"/>
      <c r="AL67" s="1536">
        <f t="shared" si="22"/>
        <v>0</v>
      </c>
      <c r="AM67" s="1532"/>
      <c r="AN67" s="1532"/>
      <c r="AO67" s="1529"/>
      <c r="AP67" s="1529"/>
      <c r="AQ67" s="1529"/>
      <c r="AR67" s="1529"/>
      <c r="AS67" s="1529"/>
      <c r="AT67" s="1528">
        <f t="shared" si="23"/>
        <v>42</v>
      </c>
      <c r="AU67" s="575"/>
      <c r="AV67" s="575"/>
      <c r="AW67" s="575"/>
      <c r="AX67" s="575"/>
      <c r="AY67" s="575"/>
      <c r="AZ67" s="575"/>
      <c r="BA67" s="575"/>
      <c r="BH67" s="575"/>
      <c r="BI67" s="575"/>
    </row>
    <row r="68" spans="2:61" ht="15.75" customHeight="1">
      <c r="B68" s="1511">
        <f t="shared" si="20"/>
        <v>43</v>
      </c>
      <c r="C68" s="1512">
        <f t="shared" si="11"/>
        <v>8</v>
      </c>
      <c r="D68" s="1513" t="str">
        <f t="shared" si="34"/>
        <v xml:space="preserve">             </v>
      </c>
      <c r="E68" s="1531"/>
      <c r="F68" s="1532"/>
      <c r="G68" s="1514"/>
      <c r="H68" s="1532"/>
      <c r="I68" s="1514"/>
      <c r="J68" s="1532"/>
      <c r="K68" s="1514"/>
      <c r="L68" s="1532"/>
      <c r="M68" s="1514"/>
      <c r="N68" s="1533"/>
      <c r="O68" s="1514"/>
      <c r="P68" s="1514">
        <f t="shared" si="31"/>
        <v>0</v>
      </c>
      <c r="Q68" s="1532"/>
      <c r="R68" s="1514"/>
      <c r="S68" s="1514"/>
      <c r="T68" s="1514">
        <f t="shared" si="32"/>
        <v>0</v>
      </c>
      <c r="U68" s="1526">
        <f t="shared" si="26"/>
        <v>0</v>
      </c>
      <c r="V68" s="1520">
        <f t="shared" si="15"/>
        <v>0</v>
      </c>
      <c r="W68" s="1531">
        <f t="shared" si="10"/>
        <v>0</v>
      </c>
      <c r="X68" s="1532"/>
      <c r="Y68" s="1514"/>
      <c r="Z68" s="1514"/>
      <c r="AA68" s="1514"/>
      <c r="AB68" s="1534"/>
      <c r="AC68" s="1535">
        <f t="shared" si="16"/>
        <v>0</v>
      </c>
      <c r="AD68" s="1525">
        <f t="shared" si="27"/>
        <v>0</v>
      </c>
      <c r="AE68" s="1526">
        <f t="shared" si="28"/>
        <v>0</v>
      </c>
      <c r="AF68" s="1514">
        <f t="shared" si="9"/>
        <v>0</v>
      </c>
      <c r="AG68" s="1514">
        <f t="shared" si="29"/>
        <v>0</v>
      </c>
      <c r="AH68" s="1514">
        <f t="shared" si="30"/>
        <v>0</v>
      </c>
      <c r="AI68" s="1515">
        <f t="shared" si="19"/>
        <v>0</v>
      </c>
      <c r="AJ68" s="1531">
        <f t="shared" si="33"/>
        <v>0</v>
      </c>
      <c r="AK68" s="1532"/>
      <c r="AL68" s="1536">
        <f t="shared" si="22"/>
        <v>0</v>
      </c>
      <c r="AM68" s="1532"/>
      <c r="AN68" s="1532"/>
      <c r="AO68" s="1529"/>
      <c r="AP68" s="1529"/>
      <c r="AQ68" s="1529"/>
      <c r="AR68" s="1529"/>
      <c r="AS68" s="1529"/>
      <c r="AT68" s="1528">
        <f t="shared" si="23"/>
        <v>43</v>
      </c>
      <c r="AU68" s="575"/>
      <c r="AV68" s="575"/>
      <c r="AW68" s="575"/>
      <c r="AX68" s="575"/>
      <c r="AY68" s="575"/>
      <c r="AZ68" s="575"/>
      <c r="BA68" s="575"/>
      <c r="BH68" s="575"/>
      <c r="BI68" s="575"/>
    </row>
    <row r="69" spans="2:61" ht="15.75" customHeight="1">
      <c r="B69" s="1511">
        <f t="shared" si="20"/>
        <v>44</v>
      </c>
      <c r="C69" s="1512">
        <f t="shared" si="11"/>
        <v>9</v>
      </c>
      <c r="D69" s="1513" t="str">
        <f>IF($C68=12,$D$57+1,"             ")</f>
        <v xml:space="preserve">             </v>
      </c>
      <c r="E69" s="1531"/>
      <c r="F69" s="1532"/>
      <c r="G69" s="1514"/>
      <c r="H69" s="1532"/>
      <c r="I69" s="1514"/>
      <c r="J69" s="1532"/>
      <c r="K69" s="1514"/>
      <c r="L69" s="1532"/>
      <c r="M69" s="1514"/>
      <c r="N69" s="1533"/>
      <c r="O69" s="1514"/>
      <c r="P69" s="1514">
        <f t="shared" si="31"/>
        <v>0</v>
      </c>
      <c r="Q69" s="1532"/>
      <c r="R69" s="1514"/>
      <c r="S69" s="1514"/>
      <c r="T69" s="1514">
        <f t="shared" si="32"/>
        <v>0</v>
      </c>
      <c r="U69" s="1526">
        <f t="shared" si="26"/>
        <v>0</v>
      </c>
      <c r="V69" s="1520">
        <f t="shared" si="15"/>
        <v>0</v>
      </c>
      <c r="W69" s="1531">
        <f t="shared" si="10"/>
        <v>0</v>
      </c>
      <c r="X69" s="1532"/>
      <c r="Y69" s="1514"/>
      <c r="Z69" s="1514"/>
      <c r="AA69" s="1514"/>
      <c r="AB69" s="1534"/>
      <c r="AC69" s="1535">
        <f t="shared" si="16"/>
        <v>0</v>
      </c>
      <c r="AD69" s="1525">
        <f t="shared" si="27"/>
        <v>0</v>
      </c>
      <c r="AE69" s="1526">
        <f t="shared" si="28"/>
        <v>0</v>
      </c>
      <c r="AF69" s="1514">
        <f t="shared" si="9"/>
        <v>0</v>
      </c>
      <c r="AG69" s="1514">
        <f t="shared" si="29"/>
        <v>0</v>
      </c>
      <c r="AH69" s="1514">
        <f t="shared" si="30"/>
        <v>0</v>
      </c>
      <c r="AI69" s="1515">
        <f t="shared" si="19"/>
        <v>0</v>
      </c>
      <c r="AJ69" s="1531">
        <f t="shared" si="33"/>
        <v>0</v>
      </c>
      <c r="AK69" s="1532"/>
      <c r="AL69" s="1536">
        <f t="shared" si="22"/>
        <v>0</v>
      </c>
      <c r="AM69" s="1532"/>
      <c r="AN69" s="1532"/>
      <c r="AO69" s="1529"/>
      <c r="AP69" s="1529"/>
      <c r="AQ69" s="1529"/>
      <c r="AR69" s="1529"/>
      <c r="AS69" s="1529"/>
      <c r="AT69" s="1528">
        <f t="shared" si="23"/>
        <v>44</v>
      </c>
      <c r="AU69" s="575"/>
      <c r="AV69" s="575"/>
      <c r="AW69" s="575"/>
      <c r="AX69" s="575"/>
      <c r="AY69" s="575"/>
      <c r="AZ69" s="575"/>
      <c r="BA69" s="575"/>
      <c r="BH69" s="575"/>
      <c r="BI69" s="575"/>
    </row>
    <row r="70" spans="2:61" ht="15.75" customHeight="1">
      <c r="B70" s="1511">
        <f t="shared" si="20"/>
        <v>45</v>
      </c>
      <c r="C70" s="1512">
        <f t="shared" si="11"/>
        <v>10</v>
      </c>
      <c r="D70" s="1513" t="str">
        <f t="shared" si="34"/>
        <v xml:space="preserve">             </v>
      </c>
      <c r="E70" s="1531"/>
      <c r="F70" s="1532"/>
      <c r="G70" s="1514"/>
      <c r="H70" s="1532"/>
      <c r="I70" s="1514"/>
      <c r="J70" s="1532"/>
      <c r="K70" s="1514"/>
      <c r="L70" s="1532"/>
      <c r="M70" s="1514"/>
      <c r="N70" s="1533"/>
      <c r="O70" s="1514"/>
      <c r="P70" s="1514">
        <f t="shared" si="31"/>
        <v>0</v>
      </c>
      <c r="Q70" s="1532"/>
      <c r="R70" s="1514"/>
      <c r="S70" s="1514"/>
      <c r="T70" s="1514">
        <f t="shared" si="32"/>
        <v>0</v>
      </c>
      <c r="U70" s="1526">
        <f t="shared" si="26"/>
        <v>0</v>
      </c>
      <c r="V70" s="1520">
        <f t="shared" si="15"/>
        <v>0</v>
      </c>
      <c r="W70" s="1531">
        <f t="shared" si="10"/>
        <v>0</v>
      </c>
      <c r="X70" s="1532"/>
      <c r="Y70" s="1514"/>
      <c r="Z70" s="1514"/>
      <c r="AA70" s="1514"/>
      <c r="AB70" s="1534"/>
      <c r="AC70" s="1535">
        <f t="shared" si="16"/>
        <v>0</v>
      </c>
      <c r="AD70" s="1525">
        <f t="shared" si="27"/>
        <v>0</v>
      </c>
      <c r="AE70" s="1526">
        <f t="shared" si="28"/>
        <v>0</v>
      </c>
      <c r="AF70" s="1514">
        <f t="shared" si="9"/>
        <v>0</v>
      </c>
      <c r="AG70" s="1514">
        <f t="shared" si="29"/>
        <v>0</v>
      </c>
      <c r="AH70" s="1514">
        <f t="shared" si="30"/>
        <v>0</v>
      </c>
      <c r="AI70" s="1515">
        <f t="shared" si="19"/>
        <v>0</v>
      </c>
      <c r="AJ70" s="1531">
        <f t="shared" si="33"/>
        <v>0</v>
      </c>
      <c r="AK70" s="1532"/>
      <c r="AL70" s="1536">
        <f t="shared" si="22"/>
        <v>0</v>
      </c>
      <c r="AM70" s="1532"/>
      <c r="AN70" s="1532"/>
      <c r="AO70" s="1529"/>
      <c r="AP70" s="1529"/>
      <c r="AQ70" s="1529"/>
      <c r="AR70" s="1529"/>
      <c r="AS70" s="1529"/>
      <c r="AT70" s="1528">
        <f t="shared" si="23"/>
        <v>45</v>
      </c>
      <c r="AU70" s="575"/>
      <c r="AV70" s="575"/>
      <c r="AW70" s="575"/>
      <c r="AX70" s="575"/>
      <c r="AY70" s="575"/>
      <c r="AZ70" s="575"/>
      <c r="BA70" s="575"/>
      <c r="BH70" s="575"/>
      <c r="BI70" s="575"/>
    </row>
    <row r="71" spans="2:61" ht="15.75" customHeight="1">
      <c r="B71" s="1511">
        <f t="shared" si="20"/>
        <v>46</v>
      </c>
      <c r="C71" s="1512">
        <f t="shared" si="11"/>
        <v>11</v>
      </c>
      <c r="D71" s="1513" t="str">
        <f t="shared" si="34"/>
        <v xml:space="preserve">             </v>
      </c>
      <c r="E71" s="1531"/>
      <c r="F71" s="1532"/>
      <c r="G71" s="1514"/>
      <c r="H71" s="1532"/>
      <c r="I71" s="1514"/>
      <c r="J71" s="1532"/>
      <c r="K71" s="1514"/>
      <c r="L71" s="1532"/>
      <c r="M71" s="1514"/>
      <c r="N71" s="1533"/>
      <c r="O71" s="1514"/>
      <c r="P71" s="1514">
        <f t="shared" si="31"/>
        <v>0</v>
      </c>
      <c r="Q71" s="1532"/>
      <c r="R71" s="1514"/>
      <c r="S71" s="1514"/>
      <c r="T71" s="1514">
        <f t="shared" si="32"/>
        <v>0</v>
      </c>
      <c r="U71" s="1526">
        <f t="shared" si="26"/>
        <v>0</v>
      </c>
      <c r="V71" s="1520">
        <f t="shared" si="15"/>
        <v>0</v>
      </c>
      <c r="W71" s="1531">
        <f t="shared" si="10"/>
        <v>0</v>
      </c>
      <c r="X71" s="1532"/>
      <c r="Y71" s="1514"/>
      <c r="Z71" s="1514"/>
      <c r="AA71" s="1514"/>
      <c r="AB71" s="1534"/>
      <c r="AC71" s="1535">
        <f t="shared" si="16"/>
        <v>0</v>
      </c>
      <c r="AD71" s="1525">
        <f t="shared" si="27"/>
        <v>0</v>
      </c>
      <c r="AE71" s="1526">
        <f t="shared" si="28"/>
        <v>0</v>
      </c>
      <c r="AF71" s="1514">
        <f t="shared" si="9"/>
        <v>0</v>
      </c>
      <c r="AG71" s="1514">
        <f t="shared" si="29"/>
        <v>0</v>
      </c>
      <c r="AH71" s="1514">
        <f t="shared" si="30"/>
        <v>0</v>
      </c>
      <c r="AI71" s="1515">
        <f t="shared" si="19"/>
        <v>0</v>
      </c>
      <c r="AJ71" s="1531">
        <f t="shared" si="33"/>
        <v>0</v>
      </c>
      <c r="AK71" s="1532"/>
      <c r="AL71" s="1536">
        <f t="shared" si="22"/>
        <v>0</v>
      </c>
      <c r="AM71" s="1532"/>
      <c r="AN71" s="1532"/>
      <c r="AO71" s="1529"/>
      <c r="AP71" s="1529"/>
      <c r="AQ71" s="1529"/>
      <c r="AR71" s="1529"/>
      <c r="AS71" s="1529"/>
      <c r="AT71" s="1528">
        <f t="shared" si="23"/>
        <v>46</v>
      </c>
      <c r="AU71" s="575"/>
      <c r="AV71" s="575"/>
      <c r="AW71" s="575"/>
      <c r="AX71" s="575"/>
      <c r="AY71" s="575"/>
      <c r="AZ71" s="575"/>
      <c r="BA71" s="575"/>
      <c r="BH71" s="575"/>
      <c r="BI71" s="575"/>
    </row>
    <row r="72" spans="2:61" ht="15.75" customHeight="1">
      <c r="B72" s="1511">
        <f t="shared" si="20"/>
        <v>47</v>
      </c>
      <c r="C72" s="1512">
        <f t="shared" si="11"/>
        <v>12</v>
      </c>
      <c r="D72" s="1513" t="str">
        <f t="shared" si="34"/>
        <v xml:space="preserve">             </v>
      </c>
      <c r="E72" s="1531"/>
      <c r="F72" s="1532"/>
      <c r="G72" s="1514"/>
      <c r="H72" s="1532"/>
      <c r="I72" s="1514"/>
      <c r="J72" s="1532"/>
      <c r="K72" s="1514"/>
      <c r="L72" s="1532"/>
      <c r="M72" s="1514">
        <f>IF(B72&lt;=$J$7,($AA$9/($J$7/12))*-1,)</f>
        <v>0</v>
      </c>
      <c r="N72" s="1533"/>
      <c r="O72" s="1514"/>
      <c r="P72" s="1514">
        <f t="shared" si="31"/>
        <v>0</v>
      </c>
      <c r="Q72" s="1532"/>
      <c r="R72" s="1514"/>
      <c r="S72" s="1514"/>
      <c r="T72" s="1514">
        <f t="shared" si="32"/>
        <v>0</v>
      </c>
      <c r="U72" s="1526">
        <f t="shared" si="26"/>
        <v>0</v>
      </c>
      <c r="V72" s="1520">
        <f t="shared" si="15"/>
        <v>0</v>
      </c>
      <c r="W72" s="1531">
        <f t="shared" si="10"/>
        <v>0</v>
      </c>
      <c r="X72" s="1532"/>
      <c r="Y72" s="1514"/>
      <c r="Z72" s="1514"/>
      <c r="AA72" s="1514"/>
      <c r="AB72" s="1534"/>
      <c r="AC72" s="1535">
        <f t="shared" si="16"/>
        <v>0</v>
      </c>
      <c r="AD72" s="1525">
        <f t="shared" si="27"/>
        <v>0</v>
      </c>
      <c r="AE72" s="1526">
        <f t="shared" si="28"/>
        <v>0</v>
      </c>
      <c r="AF72" s="1514">
        <f t="shared" si="9"/>
        <v>0</v>
      </c>
      <c r="AG72" s="1514">
        <f t="shared" si="29"/>
        <v>0</v>
      </c>
      <c r="AH72" s="1514">
        <f t="shared" si="30"/>
        <v>0</v>
      </c>
      <c r="AI72" s="1515">
        <f t="shared" si="19"/>
        <v>0</v>
      </c>
      <c r="AJ72" s="1531">
        <f t="shared" si="33"/>
        <v>0</v>
      </c>
      <c r="AK72" s="1532"/>
      <c r="AL72" s="1536">
        <f t="shared" si="22"/>
        <v>0</v>
      </c>
      <c r="AM72" s="1532"/>
      <c r="AN72" s="1532"/>
      <c r="AO72" s="1529"/>
      <c r="AP72" s="1529"/>
      <c r="AQ72" s="1529"/>
      <c r="AR72" s="1529"/>
      <c r="AS72" s="1529"/>
      <c r="AT72" s="1528">
        <f t="shared" si="23"/>
        <v>47</v>
      </c>
      <c r="AU72" s="575"/>
      <c r="AV72" s="575"/>
      <c r="AW72" s="575"/>
      <c r="AX72" s="575"/>
      <c r="AY72" s="575"/>
      <c r="AZ72" s="575"/>
      <c r="BA72" s="575"/>
      <c r="BH72" s="575"/>
      <c r="BI72" s="575"/>
    </row>
    <row r="73" spans="2:61" ht="15.75" customHeight="1">
      <c r="B73" s="1511">
        <f t="shared" si="20"/>
        <v>48</v>
      </c>
      <c r="C73" s="1512">
        <f t="shared" si="11"/>
        <v>1</v>
      </c>
      <c r="D73" s="1513">
        <f t="shared" si="34"/>
        <v>2022</v>
      </c>
      <c r="E73" s="1531"/>
      <c r="F73" s="1532"/>
      <c r="G73" s="1514"/>
      <c r="H73" s="1532"/>
      <c r="I73" s="1514"/>
      <c r="J73" s="1532"/>
      <c r="K73" s="1514"/>
      <c r="L73" s="1532"/>
      <c r="M73" s="1514"/>
      <c r="N73" s="1533">
        <f>IF(B73&lt;=($J$7-1),($AA$8/($J$7/12))*-1,)</f>
        <v>0</v>
      </c>
      <c r="O73" s="1514"/>
      <c r="P73" s="1514">
        <f t="shared" si="31"/>
        <v>0</v>
      </c>
      <c r="Q73" s="1532"/>
      <c r="R73" s="1514"/>
      <c r="S73" s="1514"/>
      <c r="T73" s="1514">
        <f t="shared" si="32"/>
        <v>0</v>
      </c>
      <c r="U73" s="1526">
        <f t="shared" si="26"/>
        <v>0</v>
      </c>
      <c r="V73" s="1520">
        <f t="shared" si="15"/>
        <v>0</v>
      </c>
      <c r="W73" s="1531">
        <f t="shared" si="10"/>
        <v>0</v>
      </c>
      <c r="X73" s="1532"/>
      <c r="Y73" s="1514"/>
      <c r="Z73" s="1514"/>
      <c r="AA73" s="1514"/>
      <c r="AB73" s="1534"/>
      <c r="AC73" s="1535">
        <f t="shared" si="16"/>
        <v>0</v>
      </c>
      <c r="AD73" s="1525">
        <f t="shared" si="27"/>
        <v>0</v>
      </c>
      <c r="AE73" s="1526">
        <f t="shared" si="28"/>
        <v>0</v>
      </c>
      <c r="AF73" s="1514">
        <f t="shared" si="9"/>
        <v>0</v>
      </c>
      <c r="AG73" s="1514">
        <f t="shared" si="29"/>
        <v>0</v>
      </c>
      <c r="AH73" s="1514">
        <f t="shared" si="30"/>
        <v>0</v>
      </c>
      <c r="AI73" s="1515">
        <f t="shared" si="19"/>
        <v>0</v>
      </c>
      <c r="AJ73" s="1531">
        <f t="shared" si="33"/>
        <v>0</v>
      </c>
      <c r="AK73" s="1532"/>
      <c r="AL73" s="1536">
        <f t="shared" si="22"/>
        <v>0</v>
      </c>
      <c r="AM73" s="1532"/>
      <c r="AN73" s="1532"/>
      <c r="AO73" s="1529"/>
      <c r="AP73" s="1529"/>
      <c r="AQ73" s="1529"/>
      <c r="AR73" s="1529"/>
      <c r="AS73" s="1529"/>
      <c r="AT73" s="1528">
        <f t="shared" si="23"/>
        <v>48</v>
      </c>
      <c r="AU73" s="575"/>
      <c r="AV73" s="575"/>
      <c r="AW73" s="575"/>
      <c r="AX73" s="575"/>
      <c r="AY73" s="575"/>
      <c r="AZ73" s="575"/>
      <c r="BA73" s="575"/>
      <c r="BH73" s="575"/>
      <c r="BI73" s="575"/>
    </row>
    <row r="74" spans="2:61" ht="15.75" customHeight="1">
      <c r="B74" s="1511">
        <f t="shared" si="20"/>
        <v>49</v>
      </c>
      <c r="C74" s="1512">
        <f t="shared" si="11"/>
        <v>2</v>
      </c>
      <c r="D74" s="1513" t="str">
        <f>IF($C73=12,$D$73+1,"             ")</f>
        <v xml:space="preserve">             </v>
      </c>
      <c r="E74" s="1531"/>
      <c r="F74" s="1532"/>
      <c r="G74" s="1514"/>
      <c r="H74" s="1532"/>
      <c r="I74" s="1514"/>
      <c r="J74" s="1532"/>
      <c r="K74" s="1514"/>
      <c r="L74" s="1532"/>
      <c r="M74" s="1514"/>
      <c r="N74" s="1533"/>
      <c r="O74" s="1514"/>
      <c r="P74" s="1514">
        <f t="shared" si="31"/>
        <v>0</v>
      </c>
      <c r="Q74" s="1532"/>
      <c r="R74" s="1514"/>
      <c r="S74" s="1514"/>
      <c r="T74" s="1514">
        <f t="shared" si="32"/>
        <v>0</v>
      </c>
      <c r="U74" s="1526">
        <f t="shared" si="26"/>
        <v>0</v>
      </c>
      <c r="V74" s="1520">
        <f t="shared" si="15"/>
        <v>0</v>
      </c>
      <c r="W74" s="1531">
        <f t="shared" si="10"/>
        <v>0</v>
      </c>
      <c r="X74" s="1532"/>
      <c r="Y74" s="1514"/>
      <c r="Z74" s="1514"/>
      <c r="AA74" s="1514"/>
      <c r="AB74" s="1534">
        <f>IF(B74&lt;=($J$7-1),($AA$11/($J$7/12)),)</f>
        <v>0</v>
      </c>
      <c r="AC74" s="1535">
        <f t="shared" si="16"/>
        <v>0</v>
      </c>
      <c r="AD74" s="1525">
        <f t="shared" si="27"/>
        <v>0</v>
      </c>
      <c r="AE74" s="1526">
        <f t="shared" si="28"/>
        <v>0</v>
      </c>
      <c r="AF74" s="1514">
        <f t="shared" si="9"/>
        <v>0</v>
      </c>
      <c r="AG74" s="1514">
        <f t="shared" si="29"/>
        <v>0</v>
      </c>
      <c r="AH74" s="1514">
        <f t="shared" si="30"/>
        <v>0</v>
      </c>
      <c r="AI74" s="1515">
        <f t="shared" si="19"/>
        <v>0</v>
      </c>
      <c r="AJ74" s="1531">
        <f t="shared" si="33"/>
        <v>0</v>
      </c>
      <c r="AK74" s="1532"/>
      <c r="AL74" s="1536">
        <f t="shared" si="22"/>
        <v>0</v>
      </c>
      <c r="AM74" s="1532"/>
      <c r="AN74" s="1532"/>
      <c r="AO74" s="1529"/>
      <c r="AP74" s="1529"/>
      <c r="AQ74" s="1529"/>
      <c r="AR74" s="1529"/>
      <c r="AS74" s="1529"/>
      <c r="AT74" s="1528">
        <f t="shared" si="23"/>
        <v>49</v>
      </c>
      <c r="AU74" s="575"/>
      <c r="AV74" s="575"/>
      <c r="AW74" s="575"/>
      <c r="AX74" s="575"/>
      <c r="AY74" s="575"/>
      <c r="AZ74" s="575"/>
      <c r="BA74" s="575"/>
      <c r="BH74" s="575"/>
      <c r="BI74" s="575"/>
    </row>
    <row r="75" spans="2:61" ht="15.75" customHeight="1">
      <c r="B75" s="1511">
        <f>B74+1</f>
        <v>50</v>
      </c>
      <c r="C75" s="1512">
        <f>IF($C74=12,1,$C74+1)</f>
        <v>3</v>
      </c>
      <c r="D75" s="1513" t="str">
        <f>IF($C74=12,$D$73+1,"             ")</f>
        <v xml:space="preserve">             </v>
      </c>
      <c r="E75" s="1531"/>
      <c r="F75" s="1532"/>
      <c r="G75" s="1514"/>
      <c r="H75" s="1532"/>
      <c r="I75" s="1514"/>
      <c r="J75" s="1532"/>
      <c r="K75" s="1514"/>
      <c r="L75" s="1532"/>
      <c r="M75" s="1514"/>
      <c r="N75" s="1533"/>
      <c r="O75" s="1514"/>
      <c r="P75" s="1514">
        <f t="shared" si="31"/>
        <v>0</v>
      </c>
      <c r="Q75" s="1532"/>
      <c r="R75" s="1514"/>
      <c r="S75" s="1514"/>
      <c r="T75" s="1514">
        <f t="shared" si="32"/>
        <v>0</v>
      </c>
      <c r="U75" s="1526">
        <f t="shared" si="26"/>
        <v>0</v>
      </c>
      <c r="V75" s="1520">
        <f t="shared" si="15"/>
        <v>0</v>
      </c>
      <c r="W75" s="1531">
        <f t="shared" si="10"/>
        <v>0</v>
      </c>
      <c r="X75" s="1532"/>
      <c r="Y75" s="1514"/>
      <c r="Z75" s="1514"/>
      <c r="AA75" s="1514"/>
      <c r="AB75" s="1534"/>
      <c r="AC75" s="1535">
        <f t="shared" si="16"/>
        <v>0</v>
      </c>
      <c r="AD75" s="1525">
        <f t="shared" si="27"/>
        <v>0</v>
      </c>
      <c r="AE75" s="1526">
        <f t="shared" si="28"/>
        <v>0</v>
      </c>
      <c r="AF75" s="1514">
        <f t="shared" si="9"/>
        <v>0</v>
      </c>
      <c r="AG75" s="1514">
        <f t="shared" si="29"/>
        <v>0</v>
      </c>
      <c r="AH75" s="1514">
        <f t="shared" si="30"/>
        <v>0</v>
      </c>
      <c r="AI75" s="1515">
        <f t="shared" si="19"/>
        <v>0</v>
      </c>
      <c r="AJ75" s="1531">
        <f t="shared" si="33"/>
        <v>0</v>
      </c>
      <c r="AK75" s="1532"/>
      <c r="AL75" s="1536">
        <f t="shared" si="22"/>
        <v>0</v>
      </c>
      <c r="AM75" s="1532"/>
      <c r="AN75" s="1532"/>
      <c r="AO75" s="1529"/>
      <c r="AP75" s="1529"/>
      <c r="AQ75" s="1529"/>
      <c r="AR75" s="1529"/>
      <c r="AS75" s="1529"/>
      <c r="AT75" s="1528">
        <f>AT74+1</f>
        <v>50</v>
      </c>
      <c r="AU75" s="575"/>
      <c r="AV75" s="575"/>
      <c r="AW75" s="575"/>
      <c r="AX75" s="575"/>
      <c r="AY75" s="575"/>
      <c r="AZ75" s="575"/>
      <c r="BA75" s="575"/>
      <c r="BH75" s="575"/>
      <c r="BI75" s="575"/>
    </row>
    <row r="76" spans="2:61" ht="15.75" customHeight="1">
      <c r="B76" s="1511">
        <f t="shared" si="20"/>
        <v>51</v>
      </c>
      <c r="C76" s="1512">
        <f t="shared" si="11"/>
        <v>4</v>
      </c>
      <c r="D76" s="1513" t="str">
        <f t="shared" ref="D76:D84" si="35">IF($C75=12,$D$73+1,"             ")</f>
        <v xml:space="preserve">             </v>
      </c>
      <c r="E76" s="1531"/>
      <c r="F76" s="1532"/>
      <c r="G76" s="1514"/>
      <c r="H76" s="1532"/>
      <c r="I76" s="1514"/>
      <c r="J76" s="1532"/>
      <c r="K76" s="1514"/>
      <c r="L76" s="1532"/>
      <c r="M76" s="1514"/>
      <c r="N76" s="1533"/>
      <c r="O76" s="1514"/>
      <c r="P76" s="1514">
        <f t="shared" si="31"/>
        <v>0</v>
      </c>
      <c r="Q76" s="1532"/>
      <c r="R76" s="1514"/>
      <c r="S76" s="1514"/>
      <c r="T76" s="1514">
        <f t="shared" si="32"/>
        <v>0</v>
      </c>
      <c r="U76" s="1526">
        <f t="shared" si="26"/>
        <v>0</v>
      </c>
      <c r="V76" s="1520">
        <f t="shared" si="15"/>
        <v>0</v>
      </c>
      <c r="W76" s="1531">
        <f t="shared" si="10"/>
        <v>0</v>
      </c>
      <c r="X76" s="1532"/>
      <c r="Y76" s="1514"/>
      <c r="Z76" s="1514"/>
      <c r="AA76" s="1514"/>
      <c r="AB76" s="1534"/>
      <c r="AC76" s="1535">
        <f t="shared" si="16"/>
        <v>0</v>
      </c>
      <c r="AD76" s="1525">
        <f t="shared" si="27"/>
        <v>0</v>
      </c>
      <c r="AE76" s="1526">
        <f t="shared" si="28"/>
        <v>0</v>
      </c>
      <c r="AF76" s="1514">
        <f t="shared" si="9"/>
        <v>0</v>
      </c>
      <c r="AG76" s="1514">
        <f t="shared" si="29"/>
        <v>0</v>
      </c>
      <c r="AH76" s="1514">
        <f t="shared" si="30"/>
        <v>0</v>
      </c>
      <c r="AI76" s="1515">
        <f t="shared" si="19"/>
        <v>0</v>
      </c>
      <c r="AJ76" s="1531">
        <f t="shared" si="33"/>
        <v>0</v>
      </c>
      <c r="AK76" s="1532"/>
      <c r="AL76" s="1536">
        <f t="shared" si="22"/>
        <v>0</v>
      </c>
      <c r="AM76" s="1532"/>
      <c r="AN76" s="1532"/>
      <c r="AO76" s="1529"/>
      <c r="AP76" s="1529"/>
      <c r="AQ76" s="1529"/>
      <c r="AR76" s="1529"/>
      <c r="AS76" s="1529"/>
      <c r="AT76" s="1528">
        <f t="shared" si="23"/>
        <v>51</v>
      </c>
      <c r="AU76" s="575"/>
      <c r="AV76" s="575"/>
      <c r="AW76" s="575"/>
      <c r="AX76" s="575"/>
      <c r="AY76" s="575"/>
      <c r="AZ76" s="575"/>
      <c r="BA76" s="575"/>
      <c r="BH76" s="575"/>
      <c r="BI76" s="575"/>
    </row>
    <row r="77" spans="2:61" ht="15.75" customHeight="1">
      <c r="B77" s="1511">
        <f t="shared" si="20"/>
        <v>52</v>
      </c>
      <c r="C77" s="1512">
        <f t="shared" si="11"/>
        <v>5</v>
      </c>
      <c r="D77" s="1513" t="str">
        <f t="shared" si="35"/>
        <v xml:space="preserve">             </v>
      </c>
      <c r="E77" s="1531"/>
      <c r="F77" s="1532"/>
      <c r="G77" s="1514"/>
      <c r="H77" s="1532"/>
      <c r="I77" s="1514"/>
      <c r="J77" s="1532"/>
      <c r="K77" s="1514"/>
      <c r="L77" s="1532"/>
      <c r="M77" s="1514"/>
      <c r="N77" s="1533"/>
      <c r="O77" s="1514"/>
      <c r="P77" s="1514">
        <f t="shared" si="31"/>
        <v>0</v>
      </c>
      <c r="Q77" s="1532"/>
      <c r="R77" s="1514"/>
      <c r="S77" s="1514"/>
      <c r="T77" s="1514">
        <f t="shared" si="32"/>
        <v>0</v>
      </c>
      <c r="U77" s="1526">
        <f t="shared" si="26"/>
        <v>0</v>
      </c>
      <c r="V77" s="1520">
        <f t="shared" si="15"/>
        <v>0</v>
      </c>
      <c r="W77" s="1531">
        <f t="shared" si="10"/>
        <v>0</v>
      </c>
      <c r="X77" s="1532"/>
      <c r="Y77" s="1514"/>
      <c r="Z77" s="1514"/>
      <c r="AA77" s="1514"/>
      <c r="AB77" s="1534"/>
      <c r="AC77" s="1535">
        <f t="shared" si="16"/>
        <v>0</v>
      </c>
      <c r="AD77" s="1525">
        <f t="shared" si="27"/>
        <v>0</v>
      </c>
      <c r="AE77" s="1526">
        <f t="shared" si="28"/>
        <v>0</v>
      </c>
      <c r="AF77" s="1514">
        <f t="shared" si="9"/>
        <v>0</v>
      </c>
      <c r="AG77" s="1514">
        <f t="shared" si="29"/>
        <v>0</v>
      </c>
      <c r="AH77" s="1514">
        <f t="shared" si="30"/>
        <v>0</v>
      </c>
      <c r="AI77" s="1515">
        <f t="shared" si="19"/>
        <v>0</v>
      </c>
      <c r="AJ77" s="1531">
        <f t="shared" si="33"/>
        <v>0</v>
      </c>
      <c r="AK77" s="1532"/>
      <c r="AL77" s="1536">
        <f t="shared" si="22"/>
        <v>0</v>
      </c>
      <c r="AM77" s="1532"/>
      <c r="AN77" s="1532"/>
      <c r="AO77" s="1529"/>
      <c r="AP77" s="1529"/>
      <c r="AQ77" s="1529"/>
      <c r="AR77" s="1529"/>
      <c r="AS77" s="1529"/>
      <c r="AT77" s="1528">
        <f t="shared" si="23"/>
        <v>52</v>
      </c>
      <c r="AU77" s="575"/>
      <c r="AV77" s="575"/>
      <c r="AW77" s="575"/>
      <c r="AX77" s="575"/>
      <c r="AY77" s="575"/>
      <c r="AZ77" s="575"/>
      <c r="BA77" s="575"/>
      <c r="BH77" s="575"/>
      <c r="BI77" s="575"/>
    </row>
    <row r="78" spans="2:61" ht="15.75" customHeight="1">
      <c r="B78" s="1511">
        <f t="shared" si="20"/>
        <v>53</v>
      </c>
      <c r="C78" s="1512">
        <f t="shared" si="11"/>
        <v>6</v>
      </c>
      <c r="D78" s="1513" t="str">
        <f t="shared" si="35"/>
        <v xml:space="preserve">             </v>
      </c>
      <c r="E78" s="1531"/>
      <c r="F78" s="1532"/>
      <c r="G78" s="1514"/>
      <c r="H78" s="1532"/>
      <c r="I78" s="1514"/>
      <c r="J78" s="1532"/>
      <c r="K78" s="1514"/>
      <c r="L78" s="1532"/>
      <c r="M78" s="1514"/>
      <c r="N78" s="1533"/>
      <c r="O78" s="1514"/>
      <c r="P78" s="1514">
        <f t="shared" si="31"/>
        <v>0</v>
      </c>
      <c r="Q78" s="1532"/>
      <c r="R78" s="1514"/>
      <c r="S78" s="1514"/>
      <c r="T78" s="1514">
        <f t="shared" si="32"/>
        <v>0</v>
      </c>
      <c r="U78" s="1526">
        <f t="shared" si="26"/>
        <v>0</v>
      </c>
      <c r="V78" s="1520">
        <f t="shared" si="15"/>
        <v>0</v>
      </c>
      <c r="W78" s="1531">
        <f t="shared" si="10"/>
        <v>0</v>
      </c>
      <c r="X78" s="1532"/>
      <c r="Y78" s="1514"/>
      <c r="Z78" s="1514"/>
      <c r="AA78" s="1514"/>
      <c r="AB78" s="1534"/>
      <c r="AC78" s="1535">
        <f t="shared" si="16"/>
        <v>0</v>
      </c>
      <c r="AD78" s="1525">
        <f t="shared" si="27"/>
        <v>0</v>
      </c>
      <c r="AE78" s="1526">
        <f t="shared" si="28"/>
        <v>0</v>
      </c>
      <c r="AF78" s="1514">
        <f t="shared" si="9"/>
        <v>0</v>
      </c>
      <c r="AG78" s="1514">
        <f t="shared" si="29"/>
        <v>0</v>
      </c>
      <c r="AH78" s="1514">
        <f t="shared" si="30"/>
        <v>0</v>
      </c>
      <c r="AI78" s="1515">
        <f t="shared" si="19"/>
        <v>0</v>
      </c>
      <c r="AJ78" s="1531">
        <f t="shared" si="33"/>
        <v>0</v>
      </c>
      <c r="AK78" s="1532"/>
      <c r="AL78" s="1536">
        <f t="shared" si="22"/>
        <v>0</v>
      </c>
      <c r="AM78" s="1532"/>
      <c r="AN78" s="1532"/>
      <c r="AO78" s="1529"/>
      <c r="AP78" s="1529"/>
      <c r="AQ78" s="1529"/>
      <c r="AR78" s="1529"/>
      <c r="AS78" s="1529"/>
      <c r="AT78" s="1528">
        <f t="shared" si="23"/>
        <v>53</v>
      </c>
      <c r="AU78" s="575"/>
      <c r="AV78" s="575"/>
      <c r="AW78" s="575"/>
      <c r="AX78" s="575"/>
      <c r="AY78" s="575"/>
      <c r="AZ78" s="575"/>
      <c r="BA78" s="575"/>
      <c r="BH78" s="575"/>
      <c r="BI78" s="575"/>
    </row>
    <row r="79" spans="2:61" ht="15.75" customHeight="1">
      <c r="B79" s="1511">
        <f t="shared" si="20"/>
        <v>54</v>
      </c>
      <c r="C79" s="1512">
        <f t="shared" si="11"/>
        <v>7</v>
      </c>
      <c r="D79" s="1513" t="str">
        <f t="shared" si="35"/>
        <v xml:space="preserve">             </v>
      </c>
      <c r="E79" s="1531"/>
      <c r="F79" s="1532"/>
      <c r="G79" s="1514"/>
      <c r="H79" s="1532"/>
      <c r="I79" s="1514"/>
      <c r="J79" s="1532"/>
      <c r="K79" s="1514"/>
      <c r="L79" s="1532"/>
      <c r="M79" s="1514"/>
      <c r="N79" s="1533"/>
      <c r="O79" s="1514"/>
      <c r="P79" s="1514">
        <f t="shared" si="31"/>
        <v>0</v>
      </c>
      <c r="Q79" s="1532"/>
      <c r="R79" s="1514"/>
      <c r="S79" s="1514"/>
      <c r="T79" s="1514">
        <f t="shared" si="32"/>
        <v>0</v>
      </c>
      <c r="U79" s="1526">
        <f t="shared" si="26"/>
        <v>0</v>
      </c>
      <c r="V79" s="1520">
        <f t="shared" si="15"/>
        <v>0</v>
      </c>
      <c r="W79" s="1531">
        <f t="shared" si="10"/>
        <v>0</v>
      </c>
      <c r="X79" s="1532"/>
      <c r="Y79" s="1514"/>
      <c r="Z79" s="1514"/>
      <c r="AA79" s="1514"/>
      <c r="AB79" s="1534"/>
      <c r="AC79" s="1535">
        <f t="shared" si="16"/>
        <v>0</v>
      </c>
      <c r="AD79" s="1525">
        <f t="shared" si="27"/>
        <v>0</v>
      </c>
      <c r="AE79" s="1526">
        <f t="shared" si="28"/>
        <v>0</v>
      </c>
      <c r="AF79" s="1514">
        <f t="shared" si="9"/>
        <v>0</v>
      </c>
      <c r="AG79" s="1514">
        <f t="shared" si="29"/>
        <v>0</v>
      </c>
      <c r="AH79" s="1514">
        <f t="shared" si="30"/>
        <v>0</v>
      </c>
      <c r="AI79" s="1515">
        <f t="shared" si="19"/>
        <v>0</v>
      </c>
      <c r="AJ79" s="1531">
        <f t="shared" si="33"/>
        <v>0</v>
      </c>
      <c r="AK79" s="1532"/>
      <c r="AL79" s="1536">
        <f t="shared" si="22"/>
        <v>0</v>
      </c>
      <c r="AM79" s="1532"/>
      <c r="AN79" s="1532"/>
      <c r="AO79" s="1529"/>
      <c r="AP79" s="1529"/>
      <c r="AQ79" s="1529"/>
      <c r="AR79" s="1529"/>
      <c r="AS79" s="1529"/>
      <c r="AT79" s="1528">
        <f t="shared" si="23"/>
        <v>54</v>
      </c>
      <c r="AU79" s="575"/>
      <c r="AV79" s="575"/>
      <c r="AW79" s="575"/>
      <c r="AX79" s="575"/>
      <c r="AY79" s="575"/>
      <c r="AZ79" s="575"/>
      <c r="BA79" s="575"/>
      <c r="BH79" s="575"/>
      <c r="BI79" s="575"/>
    </row>
    <row r="80" spans="2:61" ht="15.75" customHeight="1">
      <c r="B80" s="1511">
        <f t="shared" si="20"/>
        <v>55</v>
      </c>
      <c r="C80" s="1512">
        <f t="shared" si="11"/>
        <v>8</v>
      </c>
      <c r="D80" s="1513" t="str">
        <f t="shared" si="35"/>
        <v xml:space="preserve">             </v>
      </c>
      <c r="E80" s="1531"/>
      <c r="F80" s="1532"/>
      <c r="G80" s="1514"/>
      <c r="H80" s="1532"/>
      <c r="I80" s="1514"/>
      <c r="J80" s="1532"/>
      <c r="K80" s="1514"/>
      <c r="L80" s="1532"/>
      <c r="M80" s="1514"/>
      <c r="N80" s="1533"/>
      <c r="O80" s="1514"/>
      <c r="P80" s="1514">
        <f t="shared" si="31"/>
        <v>0</v>
      </c>
      <c r="Q80" s="1532"/>
      <c r="R80" s="1514"/>
      <c r="S80" s="1514"/>
      <c r="T80" s="1514">
        <f t="shared" si="32"/>
        <v>0</v>
      </c>
      <c r="U80" s="1526">
        <f t="shared" si="26"/>
        <v>0</v>
      </c>
      <c r="V80" s="1520">
        <f t="shared" si="15"/>
        <v>0</v>
      </c>
      <c r="W80" s="1531">
        <f t="shared" si="10"/>
        <v>0</v>
      </c>
      <c r="X80" s="1532"/>
      <c r="Y80" s="1514"/>
      <c r="Z80" s="1514"/>
      <c r="AA80" s="1514"/>
      <c r="AB80" s="1534"/>
      <c r="AC80" s="1535">
        <f t="shared" si="16"/>
        <v>0</v>
      </c>
      <c r="AD80" s="1525">
        <f t="shared" si="27"/>
        <v>0</v>
      </c>
      <c r="AE80" s="1526">
        <f t="shared" si="28"/>
        <v>0</v>
      </c>
      <c r="AF80" s="1514">
        <f t="shared" si="9"/>
        <v>0</v>
      </c>
      <c r="AG80" s="1514">
        <f t="shared" si="29"/>
        <v>0</v>
      </c>
      <c r="AH80" s="1514">
        <f t="shared" si="30"/>
        <v>0</v>
      </c>
      <c r="AI80" s="1515">
        <f t="shared" si="19"/>
        <v>0</v>
      </c>
      <c r="AJ80" s="1531">
        <f t="shared" si="33"/>
        <v>0</v>
      </c>
      <c r="AK80" s="1532"/>
      <c r="AL80" s="1536">
        <f t="shared" si="22"/>
        <v>0</v>
      </c>
      <c r="AM80" s="1532"/>
      <c r="AN80" s="1532"/>
      <c r="AO80" s="1529"/>
      <c r="AP80" s="1529"/>
      <c r="AQ80" s="1529"/>
      <c r="AR80" s="1529"/>
      <c r="AS80" s="1529"/>
      <c r="AT80" s="1528">
        <f t="shared" si="23"/>
        <v>55</v>
      </c>
      <c r="AU80" s="575"/>
      <c r="AV80" s="575"/>
      <c r="AW80" s="575"/>
      <c r="AX80" s="575"/>
      <c r="AY80" s="575"/>
      <c r="AZ80" s="575"/>
      <c r="BA80" s="575"/>
      <c r="BH80" s="575"/>
      <c r="BI80" s="575"/>
    </row>
    <row r="81" spans="2:62" ht="15.75" customHeight="1">
      <c r="B81" s="1511">
        <f t="shared" si="20"/>
        <v>56</v>
      </c>
      <c r="C81" s="1512">
        <f t="shared" si="11"/>
        <v>9</v>
      </c>
      <c r="D81" s="1513"/>
      <c r="E81" s="1531"/>
      <c r="F81" s="1532"/>
      <c r="G81" s="1514"/>
      <c r="H81" s="1532"/>
      <c r="I81" s="1514"/>
      <c r="J81" s="1532"/>
      <c r="K81" s="1514"/>
      <c r="L81" s="1532"/>
      <c r="M81" s="1514"/>
      <c r="N81" s="1533"/>
      <c r="O81" s="1514"/>
      <c r="P81" s="1514">
        <f t="shared" si="31"/>
        <v>0</v>
      </c>
      <c r="Q81" s="1532"/>
      <c r="R81" s="1514"/>
      <c r="S81" s="1514"/>
      <c r="T81" s="1514">
        <f t="shared" si="32"/>
        <v>0</v>
      </c>
      <c r="U81" s="1526">
        <f t="shared" si="26"/>
        <v>0</v>
      </c>
      <c r="V81" s="1520">
        <f t="shared" si="15"/>
        <v>0</v>
      </c>
      <c r="W81" s="1531">
        <f t="shared" si="10"/>
        <v>0</v>
      </c>
      <c r="X81" s="1532"/>
      <c r="Y81" s="1514"/>
      <c r="Z81" s="1514"/>
      <c r="AA81" s="1514"/>
      <c r="AB81" s="1534"/>
      <c r="AC81" s="1535">
        <f t="shared" si="16"/>
        <v>0</v>
      </c>
      <c r="AD81" s="1525">
        <f t="shared" si="27"/>
        <v>0</v>
      </c>
      <c r="AE81" s="1526">
        <f t="shared" si="28"/>
        <v>0</v>
      </c>
      <c r="AF81" s="1514">
        <f t="shared" si="9"/>
        <v>0</v>
      </c>
      <c r="AG81" s="1514">
        <f t="shared" si="29"/>
        <v>0</v>
      </c>
      <c r="AH81" s="1514">
        <f t="shared" si="30"/>
        <v>0</v>
      </c>
      <c r="AI81" s="1515">
        <f t="shared" si="19"/>
        <v>0</v>
      </c>
      <c r="AJ81" s="1531">
        <f t="shared" si="33"/>
        <v>0</v>
      </c>
      <c r="AK81" s="1532"/>
      <c r="AL81" s="1536">
        <f t="shared" si="22"/>
        <v>0</v>
      </c>
      <c r="AM81" s="1532"/>
      <c r="AN81" s="1532"/>
      <c r="AO81" s="1529"/>
      <c r="AP81" s="1529"/>
      <c r="AQ81" s="1529"/>
      <c r="AR81" s="1529"/>
      <c r="AS81" s="1529"/>
      <c r="AT81" s="1528">
        <f t="shared" si="23"/>
        <v>56</v>
      </c>
      <c r="AU81" s="575"/>
      <c r="AV81" s="575"/>
      <c r="AW81" s="575"/>
      <c r="AX81" s="575"/>
      <c r="AY81" s="575"/>
      <c r="AZ81" s="575"/>
      <c r="BA81" s="575"/>
      <c r="BH81" s="575"/>
      <c r="BI81" s="575"/>
    </row>
    <row r="82" spans="2:62" ht="15.75" customHeight="1">
      <c r="B82" s="1511">
        <f t="shared" si="20"/>
        <v>57</v>
      </c>
      <c r="C82" s="1512">
        <f t="shared" si="11"/>
        <v>10</v>
      </c>
      <c r="D82" s="1513" t="str">
        <f t="shared" si="35"/>
        <v xml:space="preserve">             </v>
      </c>
      <c r="E82" s="1531"/>
      <c r="F82" s="1532"/>
      <c r="G82" s="1514"/>
      <c r="H82" s="1532"/>
      <c r="I82" s="1514"/>
      <c r="J82" s="1532"/>
      <c r="K82" s="1514"/>
      <c r="L82" s="1532"/>
      <c r="M82" s="1514"/>
      <c r="N82" s="1533"/>
      <c r="O82" s="1514"/>
      <c r="P82" s="1514">
        <f t="shared" si="31"/>
        <v>0</v>
      </c>
      <c r="Q82" s="1532"/>
      <c r="R82" s="1514"/>
      <c r="S82" s="1514"/>
      <c r="T82" s="1514">
        <f t="shared" si="32"/>
        <v>0</v>
      </c>
      <c r="U82" s="1526">
        <f t="shared" si="26"/>
        <v>0</v>
      </c>
      <c r="V82" s="1520">
        <f t="shared" si="15"/>
        <v>0</v>
      </c>
      <c r="W82" s="1531">
        <f t="shared" si="10"/>
        <v>0</v>
      </c>
      <c r="X82" s="1532"/>
      <c r="Y82" s="1514"/>
      <c r="Z82" s="1514"/>
      <c r="AA82" s="1514"/>
      <c r="AB82" s="1534"/>
      <c r="AC82" s="1535">
        <f t="shared" si="16"/>
        <v>0</v>
      </c>
      <c r="AD82" s="1525">
        <f t="shared" si="27"/>
        <v>0</v>
      </c>
      <c r="AE82" s="1526">
        <f t="shared" si="28"/>
        <v>0</v>
      </c>
      <c r="AF82" s="1514">
        <f t="shared" si="9"/>
        <v>0</v>
      </c>
      <c r="AG82" s="1514">
        <f t="shared" si="29"/>
        <v>0</v>
      </c>
      <c r="AH82" s="1514">
        <f t="shared" si="30"/>
        <v>0</v>
      </c>
      <c r="AI82" s="1515">
        <f t="shared" si="19"/>
        <v>0</v>
      </c>
      <c r="AJ82" s="1531">
        <f t="shared" si="33"/>
        <v>0</v>
      </c>
      <c r="AK82" s="1532"/>
      <c r="AL82" s="1536">
        <f t="shared" si="22"/>
        <v>0</v>
      </c>
      <c r="AM82" s="1532"/>
      <c r="AN82" s="1532"/>
      <c r="AO82" s="1529"/>
      <c r="AP82" s="1529"/>
      <c r="AQ82" s="1529"/>
      <c r="AR82" s="1529"/>
      <c r="AS82" s="1529"/>
      <c r="AT82" s="1528">
        <f t="shared" si="23"/>
        <v>57</v>
      </c>
      <c r="AU82" s="575"/>
      <c r="AV82" s="575"/>
      <c r="AW82" s="575"/>
      <c r="AX82" s="575"/>
      <c r="AY82" s="575"/>
      <c r="AZ82" s="575"/>
      <c r="BA82" s="575"/>
      <c r="BH82" s="575"/>
      <c r="BI82" s="575"/>
    </row>
    <row r="83" spans="2:62" ht="15.75" customHeight="1">
      <c r="B83" s="1511">
        <f t="shared" si="20"/>
        <v>58</v>
      </c>
      <c r="C83" s="1512">
        <f t="shared" si="11"/>
        <v>11</v>
      </c>
      <c r="D83" s="1513" t="str">
        <f t="shared" si="35"/>
        <v xml:space="preserve">             </v>
      </c>
      <c r="E83" s="1531"/>
      <c r="F83" s="1532"/>
      <c r="G83" s="1514"/>
      <c r="H83" s="1532"/>
      <c r="I83" s="1514"/>
      <c r="J83" s="1532"/>
      <c r="K83" s="1514"/>
      <c r="L83" s="1532"/>
      <c r="M83" s="1514"/>
      <c r="N83" s="1533"/>
      <c r="O83" s="1514"/>
      <c r="P83" s="1514">
        <f t="shared" si="31"/>
        <v>0</v>
      </c>
      <c r="Q83" s="1532"/>
      <c r="R83" s="1514"/>
      <c r="S83" s="1514"/>
      <c r="T83" s="1514">
        <f t="shared" si="32"/>
        <v>0</v>
      </c>
      <c r="U83" s="1526">
        <f t="shared" si="26"/>
        <v>0</v>
      </c>
      <c r="V83" s="1520">
        <f t="shared" si="15"/>
        <v>0</v>
      </c>
      <c r="W83" s="1531">
        <f t="shared" si="10"/>
        <v>0</v>
      </c>
      <c r="X83" s="1532"/>
      <c r="Y83" s="1514"/>
      <c r="Z83" s="1514"/>
      <c r="AA83" s="1514"/>
      <c r="AB83" s="1534"/>
      <c r="AC83" s="1535">
        <f t="shared" si="16"/>
        <v>0</v>
      </c>
      <c r="AD83" s="1525">
        <f t="shared" si="27"/>
        <v>0</v>
      </c>
      <c r="AE83" s="1526">
        <f t="shared" si="28"/>
        <v>0</v>
      </c>
      <c r="AF83" s="1514">
        <f t="shared" si="9"/>
        <v>0</v>
      </c>
      <c r="AG83" s="1514">
        <f t="shared" si="29"/>
        <v>0</v>
      </c>
      <c r="AH83" s="1514">
        <f t="shared" si="30"/>
        <v>0</v>
      </c>
      <c r="AI83" s="1515">
        <f t="shared" si="19"/>
        <v>0</v>
      </c>
      <c r="AJ83" s="1531">
        <f t="shared" si="33"/>
        <v>0</v>
      </c>
      <c r="AK83" s="1532"/>
      <c r="AL83" s="1536">
        <f t="shared" si="22"/>
        <v>0</v>
      </c>
      <c r="AM83" s="1532"/>
      <c r="AN83" s="1532"/>
      <c r="AO83" s="1529"/>
      <c r="AP83" s="1529"/>
      <c r="AQ83" s="1529"/>
      <c r="AR83" s="1529"/>
      <c r="AS83" s="1529"/>
      <c r="AT83" s="1528">
        <f t="shared" si="23"/>
        <v>58</v>
      </c>
      <c r="AU83" s="575"/>
      <c r="AV83" s="575"/>
      <c r="AW83" s="575"/>
      <c r="AX83" s="575"/>
      <c r="AY83" s="575"/>
      <c r="AZ83" s="575"/>
      <c r="BA83" s="575"/>
      <c r="BH83" s="575"/>
      <c r="BI83" s="575"/>
    </row>
    <row r="84" spans="2:62" ht="15.75" customHeight="1">
      <c r="B84" s="1511">
        <f t="shared" si="20"/>
        <v>59</v>
      </c>
      <c r="C84" s="1512">
        <f t="shared" si="11"/>
        <v>12</v>
      </c>
      <c r="D84" s="1513" t="str">
        <f t="shared" si="35"/>
        <v xml:space="preserve">             </v>
      </c>
      <c r="E84" s="1531"/>
      <c r="F84" s="1532"/>
      <c r="G84" s="1514"/>
      <c r="H84" s="1532"/>
      <c r="I84" s="1514"/>
      <c r="J84" s="1532"/>
      <c r="K84" s="1514"/>
      <c r="L84" s="1532"/>
      <c r="M84" s="1514">
        <f>IF(B84&lt;=$J$7,($AA$9/($J$7/12))*-1,)</f>
        <v>0</v>
      </c>
      <c r="N84" s="1533"/>
      <c r="O84" s="1514"/>
      <c r="P84" s="1514">
        <f t="shared" si="31"/>
        <v>0</v>
      </c>
      <c r="Q84" s="1532"/>
      <c r="R84" s="1514"/>
      <c r="S84" s="1514"/>
      <c r="T84" s="1514">
        <f t="shared" si="32"/>
        <v>0</v>
      </c>
      <c r="U84" s="1526">
        <f t="shared" si="26"/>
        <v>0</v>
      </c>
      <c r="V84" s="1520">
        <f t="shared" si="15"/>
        <v>0</v>
      </c>
      <c r="W84" s="1531">
        <f t="shared" si="10"/>
        <v>0</v>
      </c>
      <c r="X84" s="1532"/>
      <c r="Y84" s="1514"/>
      <c r="Z84" s="1514"/>
      <c r="AA84" s="1514"/>
      <c r="AB84" s="1534"/>
      <c r="AC84" s="1535">
        <f t="shared" si="16"/>
        <v>0</v>
      </c>
      <c r="AD84" s="1525">
        <f t="shared" si="27"/>
        <v>0</v>
      </c>
      <c r="AE84" s="1526">
        <f t="shared" si="28"/>
        <v>0</v>
      </c>
      <c r="AF84" s="1514">
        <f t="shared" si="9"/>
        <v>0</v>
      </c>
      <c r="AG84" s="1514">
        <f t="shared" si="29"/>
        <v>0</v>
      </c>
      <c r="AH84" s="1514">
        <f t="shared" si="30"/>
        <v>0</v>
      </c>
      <c r="AI84" s="1515">
        <f t="shared" si="19"/>
        <v>0</v>
      </c>
      <c r="AJ84" s="1531">
        <f t="shared" si="33"/>
        <v>0</v>
      </c>
      <c r="AK84" s="1532"/>
      <c r="AL84" s="1536">
        <f t="shared" si="22"/>
        <v>0</v>
      </c>
      <c r="AM84" s="1532"/>
      <c r="AN84" s="1532"/>
      <c r="AO84" s="1529"/>
      <c r="AP84" s="1529"/>
      <c r="AQ84" s="1529"/>
      <c r="AR84" s="1529"/>
      <c r="AS84" s="1529"/>
      <c r="AT84" s="1528">
        <f t="shared" si="23"/>
        <v>59</v>
      </c>
      <c r="AU84" s="575"/>
      <c r="AV84" s="575"/>
      <c r="AW84" s="575"/>
      <c r="AX84" s="575"/>
      <c r="AY84" s="575"/>
      <c r="AZ84" s="575"/>
      <c r="BA84" s="575"/>
      <c r="BH84" s="575"/>
      <c r="BI84" s="575"/>
    </row>
    <row r="85" spans="2:62" ht="15.75" customHeight="1">
      <c r="B85" s="1511">
        <f t="shared" si="20"/>
        <v>60</v>
      </c>
      <c r="C85" s="1512">
        <f t="shared" si="11"/>
        <v>1</v>
      </c>
      <c r="D85" s="1513">
        <f>IF($C84=12,$D$73+1,"             ")</f>
        <v>2023</v>
      </c>
      <c r="E85" s="1531"/>
      <c r="F85" s="1532"/>
      <c r="G85" s="1514"/>
      <c r="H85" s="1532"/>
      <c r="I85" s="1514"/>
      <c r="J85" s="1532"/>
      <c r="K85" s="1514"/>
      <c r="L85" s="1532"/>
      <c r="M85" s="1514"/>
      <c r="N85" s="1533">
        <f>IF(B85&lt;=($J$7-1),($AA$8/($J$7/12))*-1,)</f>
        <v>0</v>
      </c>
      <c r="O85" s="1514"/>
      <c r="P85" s="1514">
        <f t="shared" si="31"/>
        <v>0</v>
      </c>
      <c r="Q85" s="1532"/>
      <c r="R85" s="1514"/>
      <c r="S85" s="1514"/>
      <c r="T85" s="1514">
        <f t="shared" si="32"/>
        <v>0</v>
      </c>
      <c r="U85" s="1526">
        <f t="shared" si="26"/>
        <v>0</v>
      </c>
      <c r="V85" s="1520">
        <f t="shared" si="15"/>
        <v>0</v>
      </c>
      <c r="W85" s="1531">
        <f t="shared" si="10"/>
        <v>0</v>
      </c>
      <c r="X85" s="1532"/>
      <c r="Y85" s="1514"/>
      <c r="Z85" s="1514"/>
      <c r="AA85" s="1514"/>
      <c r="AB85" s="1534"/>
      <c r="AC85" s="1535">
        <f t="shared" si="16"/>
        <v>0</v>
      </c>
      <c r="AD85" s="1525">
        <f t="shared" si="27"/>
        <v>0</v>
      </c>
      <c r="AE85" s="1526">
        <f t="shared" si="28"/>
        <v>0</v>
      </c>
      <c r="AF85" s="1514">
        <f t="shared" si="9"/>
        <v>0</v>
      </c>
      <c r="AG85" s="1514">
        <f t="shared" si="29"/>
        <v>0</v>
      </c>
      <c r="AH85" s="1514">
        <f t="shared" si="30"/>
        <v>0</v>
      </c>
      <c r="AI85" s="1515">
        <f t="shared" si="19"/>
        <v>0</v>
      </c>
      <c r="AJ85" s="1531">
        <f t="shared" si="33"/>
        <v>0</v>
      </c>
      <c r="AK85" s="1532"/>
      <c r="AL85" s="1536">
        <f t="shared" si="22"/>
        <v>0</v>
      </c>
      <c r="AM85" s="1532"/>
      <c r="AN85" s="1532"/>
      <c r="AO85" s="1529"/>
      <c r="AP85" s="1529"/>
      <c r="AQ85" s="1529"/>
      <c r="AR85" s="1529"/>
      <c r="AS85" s="1529"/>
      <c r="AT85" s="1528">
        <f t="shared" si="23"/>
        <v>60</v>
      </c>
      <c r="AU85" s="575"/>
      <c r="AV85" s="575"/>
      <c r="AW85" s="575"/>
      <c r="AX85" s="575"/>
      <c r="AY85" s="575"/>
      <c r="AZ85" s="575"/>
      <c r="BA85" s="575"/>
      <c r="BH85" s="575"/>
      <c r="BI85" s="575"/>
    </row>
    <row r="86" spans="2:62" ht="15.75" customHeight="1">
      <c r="B86" s="1511">
        <f t="shared" si="20"/>
        <v>61</v>
      </c>
      <c r="C86" s="1512">
        <f t="shared" si="11"/>
        <v>2</v>
      </c>
      <c r="D86" s="1513" t="str">
        <f>IF($C85=12,$D$85+1,"             ")</f>
        <v xml:space="preserve">             </v>
      </c>
      <c r="E86" s="1531"/>
      <c r="F86" s="1532"/>
      <c r="G86" s="1514"/>
      <c r="H86" s="1532"/>
      <c r="I86" s="1514"/>
      <c r="J86" s="1532"/>
      <c r="K86" s="1514"/>
      <c r="L86" s="1532"/>
      <c r="M86" s="1514"/>
      <c r="N86" s="1533"/>
      <c r="O86" s="1514"/>
      <c r="P86" s="1514">
        <f t="shared" si="31"/>
        <v>0</v>
      </c>
      <c r="Q86" s="1532"/>
      <c r="R86" s="1514"/>
      <c r="S86" s="1514"/>
      <c r="T86" s="1514">
        <f t="shared" si="32"/>
        <v>0</v>
      </c>
      <c r="U86" s="1526">
        <f t="shared" ref="U86:U90" si="36">SUM(E86:T86)</f>
        <v>0</v>
      </c>
      <c r="V86" s="1520">
        <f t="shared" si="15"/>
        <v>0</v>
      </c>
      <c r="W86" s="1531">
        <f>IF($AT86=$J$7+1,$M$14/1.1,0)</f>
        <v>0</v>
      </c>
      <c r="X86" s="1532"/>
      <c r="Y86" s="1514"/>
      <c r="Z86" s="1514"/>
      <c r="AA86" s="1514"/>
      <c r="AB86" s="1534">
        <f>IF(B86&lt;=($J$7-1),($AA$11/($J$7/12)),)</f>
        <v>0</v>
      </c>
      <c r="AC86" s="1535">
        <f t="shared" si="16"/>
        <v>0</v>
      </c>
      <c r="AD86" s="1525">
        <f t="shared" ref="AD86:AD90" si="37">U86+AC86</f>
        <v>0</v>
      </c>
      <c r="AE86" s="1526">
        <f t="shared" si="28"/>
        <v>0</v>
      </c>
      <c r="AF86" s="1514">
        <f t="shared" si="9"/>
        <v>0</v>
      </c>
      <c r="AG86" s="1514">
        <f t="shared" si="29"/>
        <v>0</v>
      </c>
      <c r="AH86" s="1514">
        <f t="shared" si="30"/>
        <v>0</v>
      </c>
      <c r="AI86" s="1515">
        <f t="shared" si="19"/>
        <v>0</v>
      </c>
      <c r="AJ86" s="1531">
        <f t="shared" si="33"/>
        <v>0</v>
      </c>
      <c r="AK86" s="1532"/>
      <c r="AL86" s="1536">
        <f t="shared" si="22"/>
        <v>0</v>
      </c>
      <c r="AM86" s="1532"/>
      <c r="AN86" s="1532"/>
      <c r="AO86" s="1529"/>
      <c r="AP86" s="1529"/>
      <c r="AQ86" s="1529"/>
      <c r="AR86" s="1529"/>
      <c r="AS86" s="1529"/>
      <c r="AT86" s="1528">
        <f t="shared" si="23"/>
        <v>61</v>
      </c>
      <c r="AU86" s="575"/>
      <c r="AV86" s="575"/>
      <c r="AW86" s="575"/>
      <c r="AX86" s="575"/>
      <c r="AY86" s="575"/>
      <c r="AZ86" s="575"/>
      <c r="BA86" s="575"/>
      <c r="BH86" s="575"/>
      <c r="BI86" s="575"/>
    </row>
    <row r="87" spans="2:62" ht="15.75" customHeight="1">
      <c r="B87" s="1511">
        <f t="shared" si="20"/>
        <v>62</v>
      </c>
      <c r="C87" s="1512">
        <f t="shared" si="11"/>
        <v>3</v>
      </c>
      <c r="D87" s="1513" t="str">
        <f>IF($C86=12,$D$85+1,"             ")</f>
        <v xml:space="preserve">             </v>
      </c>
      <c r="E87" s="1531"/>
      <c r="F87" s="1532"/>
      <c r="G87" s="1514"/>
      <c r="H87" s="1532"/>
      <c r="I87" s="1514"/>
      <c r="J87" s="1532"/>
      <c r="K87" s="1514"/>
      <c r="L87" s="1532"/>
      <c r="M87" s="1514"/>
      <c r="N87" s="1533"/>
      <c r="O87" s="1514"/>
      <c r="P87" s="1514">
        <f t="shared" si="31"/>
        <v>0</v>
      </c>
      <c r="Q87" s="1532"/>
      <c r="R87" s="1514"/>
      <c r="S87" s="1514"/>
      <c r="T87" s="1514">
        <f t="shared" si="32"/>
        <v>0</v>
      </c>
      <c r="U87" s="1526">
        <f t="shared" si="36"/>
        <v>0</v>
      </c>
      <c r="V87" s="1520">
        <f t="shared" si="15"/>
        <v>0</v>
      </c>
      <c r="W87" s="1531">
        <f t="shared" ref="W87:W90" si="38">IF($AT87=$J$7+1,$M$14/1.1,0)</f>
        <v>0</v>
      </c>
      <c r="X87" s="1532"/>
      <c r="Y87" s="1514"/>
      <c r="Z87" s="1514"/>
      <c r="AA87" s="1514"/>
      <c r="AB87" s="1534"/>
      <c r="AC87" s="1535">
        <f t="shared" si="16"/>
        <v>0</v>
      </c>
      <c r="AD87" s="1525">
        <f t="shared" si="37"/>
        <v>0</v>
      </c>
      <c r="AE87" s="1526">
        <f t="shared" si="28"/>
        <v>0</v>
      </c>
      <c r="AF87" s="1514">
        <f t="shared" ref="AF87:AF90" si="39">V87</f>
        <v>0</v>
      </c>
      <c r="AG87" s="1514">
        <f t="shared" si="29"/>
        <v>0</v>
      </c>
      <c r="AH87" s="1514">
        <f t="shared" si="30"/>
        <v>0</v>
      </c>
      <c r="AI87" s="1515">
        <f t="shared" si="19"/>
        <v>0</v>
      </c>
      <c r="AJ87" s="1531">
        <f t="shared" si="33"/>
        <v>0</v>
      </c>
      <c r="AK87" s="1532"/>
      <c r="AL87" s="1536">
        <f t="shared" si="22"/>
        <v>0</v>
      </c>
      <c r="AM87" s="1532"/>
      <c r="AN87" s="1532"/>
      <c r="AO87" s="1529"/>
      <c r="AP87" s="1529"/>
      <c r="AQ87" s="1529"/>
      <c r="AR87" s="1529"/>
      <c r="AS87" s="1529"/>
      <c r="AT87" s="1528">
        <f t="shared" si="23"/>
        <v>62</v>
      </c>
      <c r="AU87" s="575"/>
      <c r="AV87" s="575"/>
      <c r="AW87" s="575"/>
      <c r="AX87" s="575"/>
      <c r="AY87" s="575"/>
      <c r="AZ87" s="575"/>
      <c r="BA87" s="575"/>
      <c r="BH87" s="575"/>
      <c r="BI87" s="575"/>
    </row>
    <row r="88" spans="2:62" ht="15.75" customHeight="1">
      <c r="B88" s="1511">
        <f t="shared" si="20"/>
        <v>63</v>
      </c>
      <c r="C88" s="1512">
        <f t="shared" si="11"/>
        <v>4</v>
      </c>
      <c r="D88" s="1513" t="str">
        <f>IF($C87=12,$D$85+1,"             ")</f>
        <v xml:space="preserve">             </v>
      </c>
      <c r="E88" s="1531"/>
      <c r="F88" s="1532"/>
      <c r="G88" s="1514"/>
      <c r="H88" s="1532"/>
      <c r="I88" s="1514"/>
      <c r="J88" s="1532"/>
      <c r="K88" s="1514"/>
      <c r="L88" s="1532"/>
      <c r="M88" s="1514"/>
      <c r="N88" s="1533"/>
      <c r="O88" s="1514"/>
      <c r="P88" s="1514">
        <f t="shared" si="31"/>
        <v>0</v>
      </c>
      <c r="Q88" s="1532"/>
      <c r="R88" s="1514"/>
      <c r="S88" s="1514"/>
      <c r="T88" s="1514">
        <f t="shared" si="32"/>
        <v>0</v>
      </c>
      <c r="U88" s="1526">
        <f t="shared" si="36"/>
        <v>0</v>
      </c>
      <c r="V88" s="1520">
        <f t="shared" si="15"/>
        <v>0</v>
      </c>
      <c r="W88" s="1531">
        <f t="shared" si="38"/>
        <v>0</v>
      </c>
      <c r="X88" s="1532"/>
      <c r="Y88" s="1514"/>
      <c r="Z88" s="1514"/>
      <c r="AA88" s="1514"/>
      <c r="AB88" s="1534"/>
      <c r="AC88" s="1535">
        <f t="shared" si="16"/>
        <v>0</v>
      </c>
      <c r="AD88" s="1525">
        <f t="shared" si="37"/>
        <v>0</v>
      </c>
      <c r="AE88" s="1526">
        <f t="shared" si="28"/>
        <v>0</v>
      </c>
      <c r="AF88" s="1514">
        <f t="shared" si="39"/>
        <v>0</v>
      </c>
      <c r="AG88" s="1514">
        <f t="shared" si="29"/>
        <v>0</v>
      </c>
      <c r="AH88" s="1514">
        <f t="shared" si="30"/>
        <v>0</v>
      </c>
      <c r="AI88" s="1515">
        <f t="shared" si="19"/>
        <v>0</v>
      </c>
      <c r="AJ88" s="1531">
        <f t="shared" si="33"/>
        <v>0</v>
      </c>
      <c r="AK88" s="1532"/>
      <c r="AL88" s="1536">
        <f t="shared" si="22"/>
        <v>0</v>
      </c>
      <c r="AM88" s="1532"/>
      <c r="AN88" s="1532"/>
      <c r="AO88" s="1529"/>
      <c r="AP88" s="1529"/>
      <c r="AQ88" s="1529"/>
      <c r="AR88" s="1529"/>
      <c r="AS88" s="1529"/>
      <c r="AT88" s="1528">
        <f t="shared" si="23"/>
        <v>63</v>
      </c>
      <c r="AU88" s="575"/>
      <c r="AV88" s="575"/>
      <c r="AW88" s="575"/>
      <c r="AX88" s="575"/>
      <c r="AY88" s="575"/>
      <c r="AZ88" s="575"/>
      <c r="BA88" s="575"/>
      <c r="BH88" s="575"/>
      <c r="BI88" s="575"/>
    </row>
    <row r="89" spans="2:62" ht="15.75" customHeight="1">
      <c r="B89" s="1511">
        <f t="shared" si="20"/>
        <v>64</v>
      </c>
      <c r="C89" s="1512">
        <f t="shared" si="11"/>
        <v>5</v>
      </c>
      <c r="D89" s="1513" t="str">
        <f>IF($C88=12,$D$85+1,"             ")</f>
        <v xml:space="preserve">             </v>
      </c>
      <c r="E89" s="1531"/>
      <c r="F89" s="1532"/>
      <c r="G89" s="1514"/>
      <c r="H89" s="1532"/>
      <c r="I89" s="1514"/>
      <c r="J89" s="1532"/>
      <c r="K89" s="1514"/>
      <c r="L89" s="1532"/>
      <c r="M89" s="1514"/>
      <c r="N89" s="1533"/>
      <c r="O89" s="1514"/>
      <c r="P89" s="1514">
        <f t="shared" si="31"/>
        <v>0</v>
      </c>
      <c r="Q89" s="1532"/>
      <c r="R89" s="1514"/>
      <c r="S89" s="1514"/>
      <c r="T89" s="1514">
        <f t="shared" si="32"/>
        <v>0</v>
      </c>
      <c r="U89" s="1526">
        <f t="shared" si="36"/>
        <v>0</v>
      </c>
      <c r="V89" s="1520">
        <f t="shared" si="15"/>
        <v>0</v>
      </c>
      <c r="W89" s="1531">
        <f t="shared" si="38"/>
        <v>0</v>
      </c>
      <c r="X89" s="1532"/>
      <c r="Y89" s="1514"/>
      <c r="Z89" s="1514"/>
      <c r="AA89" s="1514"/>
      <c r="AB89" s="1534"/>
      <c r="AC89" s="1535">
        <f t="shared" si="16"/>
        <v>0</v>
      </c>
      <c r="AD89" s="1525">
        <f t="shared" si="37"/>
        <v>0</v>
      </c>
      <c r="AE89" s="1526">
        <f t="shared" si="28"/>
        <v>0</v>
      </c>
      <c r="AF89" s="1514">
        <f t="shared" si="39"/>
        <v>0</v>
      </c>
      <c r="AG89" s="1514">
        <f t="shared" si="29"/>
        <v>0</v>
      </c>
      <c r="AH89" s="1514">
        <f t="shared" si="30"/>
        <v>0</v>
      </c>
      <c r="AI89" s="1515">
        <f t="shared" si="19"/>
        <v>0</v>
      </c>
      <c r="AJ89" s="1531">
        <f t="shared" si="33"/>
        <v>0</v>
      </c>
      <c r="AK89" s="1532"/>
      <c r="AL89" s="1536">
        <f t="shared" si="22"/>
        <v>0</v>
      </c>
      <c r="AM89" s="1532"/>
      <c r="AN89" s="1532"/>
      <c r="AO89" s="1529"/>
      <c r="AP89" s="1529"/>
      <c r="AQ89" s="1529"/>
      <c r="AR89" s="1529"/>
      <c r="AS89" s="1529"/>
      <c r="AT89" s="1528">
        <f t="shared" si="23"/>
        <v>64</v>
      </c>
      <c r="AU89" s="575"/>
      <c r="AV89" s="575"/>
      <c r="AW89" s="575"/>
      <c r="AX89" s="575"/>
      <c r="AY89" s="575"/>
      <c r="AZ89" s="575"/>
      <c r="BA89" s="575"/>
      <c r="BH89" s="575"/>
      <c r="BI89" s="575"/>
    </row>
    <row r="90" spans="2:62" ht="15.75" customHeight="1" thickBot="1">
      <c r="B90" s="1511">
        <f t="shared" si="20"/>
        <v>65</v>
      </c>
      <c r="C90" s="1512">
        <f>IF($C89=12,1,$C89+1)</f>
        <v>6</v>
      </c>
      <c r="D90" s="1513" t="str">
        <f>IF($C89=12,$D$85+1,"             ")</f>
        <v xml:space="preserve">             </v>
      </c>
      <c r="E90" s="1539"/>
      <c r="F90" s="1540"/>
      <c r="G90" s="1541"/>
      <c r="H90" s="1540"/>
      <c r="I90" s="1541"/>
      <c r="J90" s="1540"/>
      <c r="K90" s="1541"/>
      <c r="L90" s="1540"/>
      <c r="M90" s="1541"/>
      <c r="N90" s="1542"/>
      <c r="O90" s="1541"/>
      <c r="P90" s="1541">
        <f t="shared" si="31"/>
        <v>0</v>
      </c>
      <c r="Q90" s="1540"/>
      <c r="R90" s="1541"/>
      <c r="S90" s="1541"/>
      <c r="T90" s="1541">
        <f t="shared" si="32"/>
        <v>0</v>
      </c>
      <c r="U90" s="1543">
        <f t="shared" si="36"/>
        <v>0</v>
      </c>
      <c r="V90" s="1544">
        <f t="shared" ref="V90" si="40">M90+P90+T90+N90</f>
        <v>0</v>
      </c>
      <c r="W90" s="1531">
        <f t="shared" si="38"/>
        <v>0</v>
      </c>
      <c r="X90" s="1540"/>
      <c r="Y90" s="1541"/>
      <c r="Z90" s="1541"/>
      <c r="AA90" s="1541"/>
      <c r="AB90" s="1545"/>
      <c r="AC90" s="1535">
        <f t="shared" ref="AC90" si="41">SUM(W90:AB90)-X90-Z90</f>
        <v>0</v>
      </c>
      <c r="AD90" s="1546">
        <f t="shared" si="37"/>
        <v>0</v>
      </c>
      <c r="AE90" s="1543">
        <f t="shared" si="28"/>
        <v>0</v>
      </c>
      <c r="AF90" s="1541">
        <f t="shared" si="39"/>
        <v>0</v>
      </c>
      <c r="AG90" s="1541">
        <f t="shared" si="29"/>
        <v>0</v>
      </c>
      <c r="AH90" s="1541">
        <f t="shared" si="30"/>
        <v>0</v>
      </c>
      <c r="AI90" s="1547">
        <f t="shared" ref="AI90" si="42">AG90+AH90</f>
        <v>0</v>
      </c>
      <c r="AJ90" s="1539">
        <f t="shared" si="33"/>
        <v>0</v>
      </c>
      <c r="AK90" s="1540"/>
      <c r="AL90" s="1548">
        <f t="shared" si="22"/>
        <v>0</v>
      </c>
      <c r="AM90" s="1540"/>
      <c r="AN90" s="1540"/>
      <c r="AO90" s="1549"/>
      <c r="AP90" s="1549"/>
      <c r="AQ90" s="1549"/>
      <c r="AR90" s="1549"/>
      <c r="AS90" s="1549"/>
      <c r="AT90" s="1550">
        <f t="shared" si="23"/>
        <v>65</v>
      </c>
      <c r="AU90" s="575"/>
      <c r="AV90" s="575"/>
      <c r="AW90" s="575"/>
      <c r="AX90" s="575"/>
      <c r="AY90" s="575"/>
      <c r="AZ90" s="575"/>
      <c r="BA90" s="575"/>
      <c r="BH90" s="575"/>
      <c r="BI90" s="575"/>
    </row>
    <row r="91" spans="2:62" s="881" customFormat="1" ht="20.100000000000001" customHeight="1" thickTop="1" thickBot="1">
      <c r="B91" s="1551"/>
      <c r="C91" s="1552"/>
      <c r="D91" s="1553"/>
      <c r="E91" s="891">
        <f t="shared" ref="E91:J91" si="43">SUM(E22:E90)</f>
        <v>-281090909.09090912</v>
      </c>
      <c r="F91" s="893">
        <f t="shared" si="43"/>
        <v>0</v>
      </c>
      <c r="G91" s="706">
        <f t="shared" si="43"/>
        <v>0</v>
      </c>
      <c r="H91" s="893">
        <f t="shared" si="43"/>
        <v>0</v>
      </c>
      <c r="I91" s="706">
        <f t="shared" si="43"/>
        <v>0</v>
      </c>
      <c r="J91" s="893">
        <f t="shared" si="43"/>
        <v>0</v>
      </c>
      <c r="K91" s="706">
        <f t="shared" ref="K91:AA91" si="44">SUM(K22:K90)</f>
        <v>0</v>
      </c>
      <c r="L91" s="893">
        <f t="shared" si="44"/>
        <v>0</v>
      </c>
      <c r="M91" s="706">
        <f t="shared" si="44"/>
        <v>-20000000</v>
      </c>
      <c r="N91" s="962">
        <f t="shared" si="44"/>
        <v>-33920330.042465754</v>
      </c>
      <c r="O91" s="706">
        <f t="shared" si="44"/>
        <v>-5000000</v>
      </c>
      <c r="P91" s="706">
        <f>SUM(P22:P90)</f>
        <v>-12000000</v>
      </c>
      <c r="Q91" s="893">
        <f t="shared" si="44"/>
        <v>0</v>
      </c>
      <c r="R91" s="706">
        <f t="shared" si="44"/>
        <v>-2348645.8243691004</v>
      </c>
      <c r="S91" s="706">
        <f t="shared" si="44"/>
        <v>0</v>
      </c>
      <c r="T91" s="706">
        <f t="shared" si="44"/>
        <v>0</v>
      </c>
      <c r="U91" s="970">
        <f t="shared" si="44"/>
        <v>-354359884.957744</v>
      </c>
      <c r="V91" s="969">
        <f>SUM(V22:V90)</f>
        <v>-65920330.042465754</v>
      </c>
      <c r="W91" s="897">
        <f t="shared" si="44"/>
        <v>134923636.36363634</v>
      </c>
      <c r="X91" s="928">
        <f t="shared" si="44"/>
        <v>0</v>
      </c>
      <c r="Y91" s="898">
        <f t="shared" si="44"/>
        <v>20000000</v>
      </c>
      <c r="Z91" s="898">
        <f t="shared" si="44"/>
        <v>0</v>
      </c>
      <c r="AA91" s="898">
        <f t="shared" si="44"/>
        <v>0</v>
      </c>
      <c r="AB91" s="954">
        <f>SUM(AB22:AB75)</f>
        <v>8480082.5106164385</v>
      </c>
      <c r="AC91" s="956">
        <f t="shared" ref="AC91:AJ91" si="45">SUM(AC22:AC90)</f>
        <v>163403718.8742528</v>
      </c>
      <c r="AD91" s="946">
        <f>SUM(AD22:AD90)</f>
        <v>-190956166.08349124</v>
      </c>
      <c r="AE91" s="947">
        <f>SUM(AE22:AE90)</f>
        <v>-125035836.04102543</v>
      </c>
      <c r="AF91" s="947">
        <f>SUM(AF22:AF90)</f>
        <v>-65920330.042465754</v>
      </c>
      <c r="AG91" s="971">
        <f>SUM(AG22:AG90)</f>
        <v>-167085723.93568838</v>
      </c>
      <c r="AH91" s="971">
        <f>SUM(AH22:AH90)</f>
        <v>-60890295.395933487</v>
      </c>
      <c r="AI91" s="972">
        <f t="shared" si="45"/>
        <v>-227976019.33162186</v>
      </c>
      <c r="AJ91" s="948">
        <f t="shared" si="45"/>
        <v>271835949.54328889</v>
      </c>
      <c r="AK91" s="949"/>
      <c r="AL91" s="950">
        <f>SUM(AL25:AL90)</f>
        <v>271835949.54328889</v>
      </c>
      <c r="AM91" s="949">
        <f>SUM(AM22:AM90)</f>
        <v>0</v>
      </c>
      <c r="AN91" s="949">
        <f>SUM(AN22:AN90)</f>
        <v>0</v>
      </c>
      <c r="AO91" s="949">
        <f>SUM(AO22:AO90)</f>
        <v>0</v>
      </c>
      <c r="AP91" s="949">
        <f>SUM(AP22:AP90)</f>
        <v>0</v>
      </c>
      <c r="AQ91" s="949">
        <f>SUM(AQ22:AQ90)</f>
        <v>0</v>
      </c>
      <c r="AR91" s="949"/>
      <c r="AS91" s="949">
        <f>SUM(AS22:AS90)</f>
        <v>0</v>
      </c>
      <c r="AT91" s="951"/>
    </row>
    <row r="92" spans="2:62" s="859" customFormat="1" ht="22.5" customHeight="1" thickTop="1">
      <c r="B92" s="882"/>
      <c r="C92" s="883"/>
      <c r="D92" s="882"/>
      <c r="E92" s="884"/>
      <c r="F92" s="884"/>
      <c r="G92" s="884"/>
      <c r="H92" s="884"/>
      <c r="I92" s="884"/>
      <c r="J92" s="884"/>
      <c r="K92" s="884"/>
      <c r="L92" s="884"/>
      <c r="M92" s="884"/>
      <c r="N92" s="884"/>
      <c r="O92" s="884"/>
      <c r="P92" s="884"/>
      <c r="Q92" s="884"/>
      <c r="R92" s="884"/>
      <c r="S92" s="884"/>
      <c r="T92" s="884"/>
      <c r="U92" s="884"/>
      <c r="V92" s="884"/>
      <c r="W92" s="884"/>
      <c r="X92" s="884"/>
      <c r="Y92" s="884"/>
      <c r="Z92" s="884"/>
      <c r="AA92" s="884"/>
      <c r="AB92" s="884"/>
      <c r="AC92" s="858"/>
      <c r="AD92" s="858">
        <f>AD91-(AE91+AF91)</f>
        <v>0</v>
      </c>
      <c r="AE92" s="858"/>
      <c r="AF92" s="858"/>
      <c r="AG92" s="858"/>
      <c r="AH92" s="858"/>
      <c r="AI92" s="858"/>
      <c r="AJ92" s="858"/>
      <c r="AK92" s="885"/>
      <c r="AL92" s="885"/>
      <c r="AM92" s="884"/>
      <c r="AP92" s="886"/>
      <c r="AR92" s="886"/>
      <c r="AS92" s="886"/>
      <c r="AT92" s="886"/>
      <c r="AU92" s="886"/>
      <c r="AV92" s="886"/>
      <c r="AW92" s="886"/>
      <c r="AX92" s="886"/>
      <c r="AY92" s="886"/>
      <c r="AZ92" s="886"/>
      <c r="BA92" s="886" t="e">
        <f>I167+J167+#REF!+K167</f>
        <v>#REF!</v>
      </c>
      <c r="BB92" s="887"/>
      <c r="BI92" s="888"/>
      <c r="BJ92" s="888"/>
    </row>
    <row r="93" spans="2:62" ht="17.25" thickBot="1">
      <c r="B93" s="857"/>
      <c r="C93" s="558"/>
      <c r="D93" s="558"/>
      <c r="E93" s="558"/>
      <c r="F93" s="558"/>
      <c r="G93" s="558"/>
      <c r="H93" s="558"/>
      <c r="I93" s="558"/>
      <c r="J93" s="558"/>
      <c r="K93" s="558"/>
      <c r="L93" s="558"/>
      <c r="M93" s="558"/>
      <c r="N93" s="558"/>
      <c r="O93" s="558"/>
      <c r="P93" s="558"/>
      <c r="Q93" s="558"/>
      <c r="R93" s="684"/>
      <c r="S93" s="684"/>
      <c r="AQ93" s="576"/>
    </row>
    <row r="94" spans="2:62" ht="24" customHeight="1" thickTop="1">
      <c r="B94" s="1554" t="s">
        <v>198</v>
      </c>
      <c r="C94" s="1265" t="s">
        <v>199</v>
      </c>
      <c r="D94" s="1266"/>
      <c r="E94" s="1266"/>
      <c r="F94" s="1266"/>
      <c r="G94" s="1266"/>
      <c r="H94" s="1266"/>
      <c r="I94" s="1267"/>
      <c r="J94" s="1268" t="s">
        <v>200</v>
      </c>
      <c r="K94" s="1269"/>
      <c r="L94" s="1270"/>
      <c r="M94" s="1281" t="s">
        <v>201</v>
      </c>
      <c r="N94" s="1282"/>
      <c r="O94" s="1283"/>
      <c r="P94" s="1275" t="s">
        <v>202</v>
      </c>
      <c r="Q94" s="1272" t="s">
        <v>203</v>
      </c>
      <c r="AP94" s="576"/>
      <c r="AQ94" s="576"/>
      <c r="AY94" s="877"/>
      <c r="AZ94" s="575"/>
      <c r="BA94" s="575"/>
      <c r="BF94" s="878"/>
      <c r="BG94" s="878"/>
      <c r="BH94" s="575"/>
      <c r="BI94" s="575"/>
    </row>
    <row r="95" spans="2:62" ht="24" customHeight="1">
      <c r="B95" s="1263"/>
      <c r="C95" s="1555" t="s">
        <v>357</v>
      </c>
      <c r="D95" s="1556"/>
      <c r="E95" s="1556" t="s">
        <v>359</v>
      </c>
      <c r="F95" s="1556"/>
      <c r="G95" s="1556" t="s">
        <v>188</v>
      </c>
      <c r="H95" s="1556"/>
      <c r="I95" s="1557" t="s">
        <v>74</v>
      </c>
      <c r="J95" s="1558" t="s">
        <v>212</v>
      </c>
      <c r="K95" s="1559" t="s">
        <v>214</v>
      </c>
      <c r="L95" s="1554" t="s">
        <v>74</v>
      </c>
      <c r="M95" s="1560" t="s">
        <v>215</v>
      </c>
      <c r="N95" s="1559" t="s">
        <v>216</v>
      </c>
      <c r="O95" s="1561" t="s">
        <v>217</v>
      </c>
      <c r="P95" s="1276"/>
      <c r="Q95" s="1273"/>
      <c r="AP95" s="576"/>
      <c r="AQ95" s="576"/>
      <c r="AY95" s="877"/>
      <c r="AZ95" s="575"/>
      <c r="BA95" s="575"/>
      <c r="BF95" s="878"/>
      <c r="BG95" s="878"/>
      <c r="BH95" s="575"/>
      <c r="BI95" s="575"/>
    </row>
    <row r="96" spans="2:62" ht="39" customHeight="1" thickBot="1">
      <c r="B96" s="1264"/>
      <c r="C96" s="907" t="s">
        <v>218</v>
      </c>
      <c r="D96" s="908" t="s">
        <v>360</v>
      </c>
      <c r="E96" s="957" t="s">
        <v>361</v>
      </c>
      <c r="F96" s="908" t="s">
        <v>192</v>
      </c>
      <c r="G96" s="740" t="s">
        <v>219</v>
      </c>
      <c r="H96" s="908" t="s">
        <v>192</v>
      </c>
      <c r="I96" s="1262"/>
      <c r="J96" s="1284"/>
      <c r="K96" s="1279"/>
      <c r="L96" s="1271"/>
      <c r="M96" s="1280"/>
      <c r="N96" s="1279"/>
      <c r="O96" s="1278"/>
      <c r="P96" s="1277"/>
      <c r="Q96" s="1274"/>
      <c r="AP96" s="576"/>
      <c r="AQ96" s="576"/>
      <c r="AY96" s="877"/>
      <c r="AZ96" s="575"/>
      <c r="BA96" s="575"/>
      <c r="BF96" s="878"/>
      <c r="BG96" s="878"/>
      <c r="BH96" s="575"/>
      <c r="BI96" s="575"/>
    </row>
    <row r="97" spans="2:61" ht="13.5" thickTop="1" thickBot="1">
      <c r="B97" s="577"/>
      <c r="C97" s="577"/>
      <c r="D97" s="577"/>
      <c r="E97" s="958"/>
      <c r="F97" s="577"/>
      <c r="G97" s="577"/>
      <c r="H97" s="577"/>
      <c r="I97" s="577"/>
      <c r="J97" s="577"/>
      <c r="K97" s="577"/>
      <c r="L97" s="577"/>
      <c r="M97" s="879"/>
      <c r="N97" s="879"/>
      <c r="O97" s="879"/>
      <c r="P97" s="880"/>
      <c r="Q97" s="880"/>
      <c r="AP97" s="576"/>
      <c r="AQ97" s="576"/>
      <c r="AY97" s="877"/>
      <c r="AZ97" s="575"/>
      <c r="BA97" s="575"/>
      <c r="BF97" s="878"/>
      <c r="BG97" s="878"/>
      <c r="BH97" s="575"/>
      <c r="BI97" s="575"/>
    </row>
    <row r="98" spans="2:61" ht="15.75" customHeight="1" thickTop="1">
      <c r="B98" s="1562">
        <f t="shared" ref="B98:B129" si="46">B22</f>
        <v>-3</v>
      </c>
      <c r="C98" s="909">
        <f>AL22-AN22</f>
        <v>0</v>
      </c>
      <c r="D98" s="910"/>
      <c r="E98" s="959">
        <f>W22</f>
        <v>0</v>
      </c>
      <c r="F98" s="910"/>
      <c r="G98" s="900">
        <f t="shared" ref="G98:G129" si="47">Y22</f>
        <v>0</v>
      </c>
      <c r="H98" s="910"/>
      <c r="I98" s="917">
        <f t="shared" ref="I98:I129" si="48">C98+E98+G98</f>
        <v>0</v>
      </c>
      <c r="J98" s="909">
        <f t="shared" ref="J98:J129" si="49">U22</f>
        <v>0</v>
      </c>
      <c r="K98" s="900">
        <v>0</v>
      </c>
      <c r="L98" s="917">
        <f t="shared" ref="L98:L129" si="50">J98+K98</f>
        <v>0</v>
      </c>
      <c r="M98" s="918">
        <f>I98+L98</f>
        <v>0</v>
      </c>
      <c r="N98" s="919">
        <v>0</v>
      </c>
      <c r="O98" s="920">
        <f>M98+N98</f>
        <v>0</v>
      </c>
      <c r="P98" s="924">
        <f>IF($O98&lt;0,$O98*-1,0)</f>
        <v>0</v>
      </c>
      <c r="Q98" s="925">
        <f t="shared" ref="Q98:Q129" si="51">$P98*$G$14*1/12</f>
        <v>0</v>
      </c>
      <c r="AP98" s="576"/>
      <c r="AQ98" s="576"/>
      <c r="AY98" s="877"/>
      <c r="AZ98" s="575"/>
      <c r="BA98" s="575"/>
      <c r="BF98" s="878"/>
      <c r="BG98" s="878"/>
      <c r="BH98" s="575"/>
      <c r="BI98" s="575"/>
    </row>
    <row r="99" spans="2:61" ht="15.75" customHeight="1">
      <c r="B99" s="1562">
        <f t="shared" si="46"/>
        <v>-2</v>
      </c>
      <c r="C99" s="1563">
        <f>AL23-AN23</f>
        <v>0</v>
      </c>
      <c r="D99" s="1564"/>
      <c r="E99" s="1565">
        <f>W23</f>
        <v>0</v>
      </c>
      <c r="F99" s="1564"/>
      <c r="G99" s="1526">
        <f t="shared" si="47"/>
        <v>0</v>
      </c>
      <c r="H99" s="1564"/>
      <c r="I99" s="1566">
        <f t="shared" si="48"/>
        <v>0</v>
      </c>
      <c r="J99" s="1563">
        <f t="shared" si="49"/>
        <v>0</v>
      </c>
      <c r="K99" s="1526">
        <f>Q98*-1</f>
        <v>0</v>
      </c>
      <c r="L99" s="1566">
        <f t="shared" si="50"/>
        <v>0</v>
      </c>
      <c r="M99" s="1567">
        <f>I99+L99</f>
        <v>0</v>
      </c>
      <c r="N99" s="1568">
        <f>O98</f>
        <v>0</v>
      </c>
      <c r="O99" s="1569">
        <f>M99+N99</f>
        <v>0</v>
      </c>
      <c r="P99" s="1570">
        <f t="shared" ref="P99:P129" si="52">IF($O99&lt;0,$O99*-1,0)</f>
        <v>0</v>
      </c>
      <c r="Q99" s="1571">
        <f t="shared" si="51"/>
        <v>0</v>
      </c>
      <c r="AP99" s="576"/>
      <c r="AQ99" s="576"/>
      <c r="AY99" s="877"/>
      <c r="AZ99" s="575"/>
      <c r="BA99" s="575"/>
      <c r="BF99" s="878"/>
      <c r="BG99" s="878"/>
      <c r="BH99" s="575"/>
      <c r="BI99" s="575"/>
    </row>
    <row r="100" spans="2:61" ht="15.75" customHeight="1">
      <c r="B100" s="1562">
        <f t="shared" si="46"/>
        <v>-1</v>
      </c>
      <c r="C100" s="1563">
        <f>AL24-AN24</f>
        <v>0</v>
      </c>
      <c r="D100" s="1564"/>
      <c r="E100" s="1565">
        <f>W24</f>
        <v>0</v>
      </c>
      <c r="F100" s="1564"/>
      <c r="G100" s="1526">
        <f t="shared" si="47"/>
        <v>0</v>
      </c>
      <c r="H100" s="1564"/>
      <c r="I100" s="1566">
        <f t="shared" si="48"/>
        <v>0</v>
      </c>
      <c r="J100" s="1563">
        <f t="shared" si="49"/>
        <v>0</v>
      </c>
      <c r="K100" s="1526">
        <f>Q99*-1</f>
        <v>0</v>
      </c>
      <c r="L100" s="1566">
        <f t="shared" si="50"/>
        <v>0</v>
      </c>
      <c r="M100" s="1567">
        <f t="shared" ref="M100:M129" si="53">I100+L100</f>
        <v>0</v>
      </c>
      <c r="N100" s="1568">
        <f>O99</f>
        <v>0</v>
      </c>
      <c r="O100" s="1569">
        <f>M100+N100</f>
        <v>0</v>
      </c>
      <c r="P100" s="1570">
        <f t="shared" si="52"/>
        <v>0</v>
      </c>
      <c r="Q100" s="1571">
        <f t="shared" si="51"/>
        <v>0</v>
      </c>
      <c r="AP100" s="576"/>
      <c r="AQ100" s="576"/>
      <c r="AY100" s="877"/>
      <c r="AZ100" s="575"/>
      <c r="BA100" s="575"/>
      <c r="BF100" s="878"/>
      <c r="BG100" s="878"/>
      <c r="BH100" s="575"/>
      <c r="BI100" s="575"/>
    </row>
    <row r="101" spans="2:61" ht="15.75" customHeight="1">
      <c r="B101" s="1572">
        <f t="shared" si="46"/>
        <v>0</v>
      </c>
      <c r="C101" s="1563">
        <f>AL25-AN25</f>
        <v>0</v>
      </c>
      <c r="D101" s="1564"/>
      <c r="E101" s="1565">
        <f>AB25+W25</f>
        <v>0</v>
      </c>
      <c r="F101" s="1564"/>
      <c r="G101" s="1526">
        <f t="shared" si="47"/>
        <v>0</v>
      </c>
      <c r="H101" s="1564"/>
      <c r="I101" s="1566">
        <f t="shared" si="48"/>
        <v>0</v>
      </c>
      <c r="J101" s="1563">
        <f t="shared" si="49"/>
        <v>-305399719.9365111</v>
      </c>
      <c r="K101" s="1526">
        <f t="shared" ref="K101:K164" si="54">Q100*-1</f>
        <v>0</v>
      </c>
      <c r="L101" s="1566">
        <f t="shared" si="50"/>
        <v>-305399719.9365111</v>
      </c>
      <c r="M101" s="1567">
        <f t="shared" si="53"/>
        <v>-305399719.9365111</v>
      </c>
      <c r="N101" s="1568">
        <f>O100</f>
        <v>0</v>
      </c>
      <c r="O101" s="1569">
        <f>M101+N101</f>
        <v>-305399719.9365111</v>
      </c>
      <c r="P101" s="1570">
        <f t="shared" si="52"/>
        <v>305399719.9365111</v>
      </c>
      <c r="Q101" s="1571">
        <f t="shared" si="51"/>
        <v>2366847.8295079609</v>
      </c>
      <c r="AP101" s="576"/>
      <c r="AQ101" s="576"/>
      <c r="AY101" s="877"/>
      <c r="AZ101" s="575"/>
      <c r="BA101" s="575"/>
      <c r="BF101" s="878"/>
      <c r="BG101" s="878"/>
      <c r="BH101" s="575"/>
      <c r="BI101" s="575"/>
    </row>
    <row r="102" spans="2:61" ht="15.75" customHeight="1">
      <c r="B102" s="1572">
        <f t="shared" si="46"/>
        <v>1</v>
      </c>
      <c r="C102" s="1563">
        <f t="shared" ref="C102:C133" si="55">AL26+AN26</f>
        <v>11326497.897637034</v>
      </c>
      <c r="D102" s="1564"/>
      <c r="E102" s="1565">
        <f t="shared" ref="E102:E165" si="56">AB26+W26</f>
        <v>4240041.2553082192</v>
      </c>
      <c r="F102" s="1564"/>
      <c r="G102" s="1526">
        <f t="shared" si="47"/>
        <v>20000000</v>
      </c>
      <c r="H102" s="1564"/>
      <c r="I102" s="1566">
        <f t="shared" si="48"/>
        <v>35566539.15294525</v>
      </c>
      <c r="J102" s="1563">
        <f t="shared" si="49"/>
        <v>-500000</v>
      </c>
      <c r="K102" s="1526">
        <f>Q101*-1</f>
        <v>-2366847.8295079609</v>
      </c>
      <c r="L102" s="1566">
        <f t="shared" si="50"/>
        <v>-2866847.8295079609</v>
      </c>
      <c r="M102" s="1567">
        <f t="shared" si="53"/>
        <v>32699691.323437288</v>
      </c>
      <c r="N102" s="1568">
        <f>O101</f>
        <v>-305399719.9365111</v>
      </c>
      <c r="O102" s="1569">
        <f t="shared" ref="O102:O163" si="57">M102+N102</f>
        <v>-272700028.61307383</v>
      </c>
      <c r="P102" s="1570">
        <f t="shared" si="52"/>
        <v>272700028.61307383</v>
      </c>
      <c r="Q102" s="1571">
        <f t="shared" si="51"/>
        <v>2113425.221751322</v>
      </c>
      <c r="AP102" s="576"/>
      <c r="AQ102" s="576"/>
      <c r="AY102" s="877"/>
      <c r="AZ102" s="575"/>
      <c r="BA102" s="575"/>
      <c r="BF102" s="878"/>
      <c r="BG102" s="878"/>
      <c r="BH102" s="575"/>
      <c r="BI102" s="575"/>
    </row>
    <row r="103" spans="2:61" ht="15.75" customHeight="1">
      <c r="B103" s="1572">
        <f t="shared" si="46"/>
        <v>2</v>
      </c>
      <c r="C103" s="1563">
        <f t="shared" si="55"/>
        <v>11326497.897637034</v>
      </c>
      <c r="D103" s="1564"/>
      <c r="E103" s="1565">
        <f t="shared" si="56"/>
        <v>0</v>
      </c>
      <c r="F103" s="1564"/>
      <c r="G103" s="1526">
        <f t="shared" si="47"/>
        <v>0</v>
      </c>
      <c r="H103" s="1564"/>
      <c r="I103" s="1566">
        <f t="shared" si="48"/>
        <v>11326497.897637034</v>
      </c>
      <c r="J103" s="1563">
        <f t="shared" si="49"/>
        <v>-500000</v>
      </c>
      <c r="K103" s="1526">
        <f>Q102*-1</f>
        <v>-2113425.221751322</v>
      </c>
      <c r="L103" s="1566">
        <f t="shared" si="50"/>
        <v>-2613425.221751322</v>
      </c>
      <c r="M103" s="1567">
        <f t="shared" si="53"/>
        <v>8713072.6758857109</v>
      </c>
      <c r="N103" s="1568">
        <f>O102</f>
        <v>-272700028.61307383</v>
      </c>
      <c r="O103" s="1569">
        <f>M103+N103</f>
        <v>-263986955.93718812</v>
      </c>
      <c r="P103" s="1570">
        <f t="shared" si="52"/>
        <v>263986955.93718812</v>
      </c>
      <c r="Q103" s="1571">
        <f t="shared" si="51"/>
        <v>2045898.9085132079</v>
      </c>
      <c r="AP103" s="576"/>
      <c r="AQ103" s="576"/>
      <c r="AY103" s="877"/>
      <c r="AZ103" s="575"/>
      <c r="BA103" s="575"/>
      <c r="BF103" s="878"/>
      <c r="BG103" s="878"/>
      <c r="BH103" s="575"/>
      <c r="BI103" s="575"/>
    </row>
    <row r="104" spans="2:61" ht="15.75" customHeight="1">
      <c r="B104" s="1572">
        <f t="shared" si="46"/>
        <v>3</v>
      </c>
      <c r="C104" s="1563">
        <f t="shared" si="55"/>
        <v>11326497.897637034</v>
      </c>
      <c r="D104" s="1564"/>
      <c r="E104" s="1565">
        <f t="shared" si="56"/>
        <v>0</v>
      </c>
      <c r="F104" s="1564"/>
      <c r="G104" s="1526">
        <f t="shared" si="47"/>
        <v>0</v>
      </c>
      <c r="H104" s="1564"/>
      <c r="I104" s="1566">
        <f t="shared" si="48"/>
        <v>11326497.897637034</v>
      </c>
      <c r="J104" s="1563">
        <f t="shared" si="49"/>
        <v>-500000</v>
      </c>
      <c r="K104" s="1526">
        <f t="shared" si="54"/>
        <v>-2045898.9085132079</v>
      </c>
      <c r="L104" s="1566">
        <f t="shared" si="50"/>
        <v>-2545898.9085132079</v>
      </c>
      <c r="M104" s="1567">
        <f t="shared" si="53"/>
        <v>8780598.989123825</v>
      </c>
      <c r="N104" s="1568">
        <f t="shared" ref="N104:N163" si="58">O103</f>
        <v>-263986955.93718812</v>
      </c>
      <c r="O104" s="1569">
        <f t="shared" si="57"/>
        <v>-255206356.9480643</v>
      </c>
      <c r="P104" s="1570">
        <f t="shared" si="52"/>
        <v>255206356.9480643</v>
      </c>
      <c r="Q104" s="1571">
        <f t="shared" si="51"/>
        <v>1977849.2663474984</v>
      </c>
      <c r="AP104" s="576"/>
      <c r="AQ104" s="576"/>
      <c r="AY104" s="877"/>
      <c r="AZ104" s="575"/>
      <c r="BA104" s="575"/>
      <c r="BF104" s="878"/>
      <c r="BG104" s="878"/>
      <c r="BH104" s="575"/>
      <c r="BI104" s="575"/>
    </row>
    <row r="105" spans="2:61" ht="15.75" customHeight="1">
      <c r="B105" s="1572">
        <f t="shared" si="46"/>
        <v>4</v>
      </c>
      <c r="C105" s="1563">
        <f t="shared" si="55"/>
        <v>11326497.897637034</v>
      </c>
      <c r="D105" s="1564"/>
      <c r="E105" s="1565">
        <f t="shared" si="56"/>
        <v>0</v>
      </c>
      <c r="F105" s="1564"/>
      <c r="G105" s="1526">
        <f t="shared" si="47"/>
        <v>0</v>
      </c>
      <c r="H105" s="1564"/>
      <c r="I105" s="1566">
        <f t="shared" si="48"/>
        <v>11326497.897637034</v>
      </c>
      <c r="J105" s="1563">
        <f t="shared" si="49"/>
        <v>-500000</v>
      </c>
      <c r="K105" s="1526">
        <f t="shared" si="54"/>
        <v>-1977849.2663474984</v>
      </c>
      <c r="L105" s="1566">
        <f t="shared" si="50"/>
        <v>-2477849.2663474986</v>
      </c>
      <c r="M105" s="1567">
        <f t="shared" si="53"/>
        <v>8848648.6312895343</v>
      </c>
      <c r="N105" s="1568">
        <f>O104</f>
        <v>-255206356.9480643</v>
      </c>
      <c r="O105" s="1569">
        <f t="shared" si="57"/>
        <v>-246357708.31677476</v>
      </c>
      <c r="P105" s="1570">
        <f t="shared" si="52"/>
        <v>246357708.31677476</v>
      </c>
      <c r="Q105" s="1571">
        <f t="shared" si="51"/>
        <v>1909272.2394550042</v>
      </c>
      <c r="AP105" s="576"/>
      <c r="AQ105" s="576"/>
      <c r="AY105" s="877"/>
      <c r="AZ105" s="575"/>
      <c r="BA105" s="575"/>
      <c r="BF105" s="878"/>
      <c r="BG105" s="878"/>
      <c r="BH105" s="575"/>
      <c r="BI105" s="575"/>
    </row>
    <row r="106" spans="2:61" ht="15.75" customHeight="1">
      <c r="B106" s="1572">
        <f t="shared" si="46"/>
        <v>5</v>
      </c>
      <c r="C106" s="1563">
        <f t="shared" si="55"/>
        <v>11326497.897637034</v>
      </c>
      <c r="D106" s="1564"/>
      <c r="E106" s="1565">
        <f t="shared" si="56"/>
        <v>0</v>
      </c>
      <c r="F106" s="1564"/>
      <c r="G106" s="1526">
        <f t="shared" si="47"/>
        <v>0</v>
      </c>
      <c r="H106" s="1564"/>
      <c r="I106" s="1566">
        <f t="shared" si="48"/>
        <v>11326497.897637034</v>
      </c>
      <c r="J106" s="1563">
        <f t="shared" si="49"/>
        <v>-500000</v>
      </c>
      <c r="K106" s="1526">
        <f t="shared" si="54"/>
        <v>-1909272.2394550042</v>
      </c>
      <c r="L106" s="1566">
        <f t="shared" si="50"/>
        <v>-2409272.2394550042</v>
      </c>
      <c r="M106" s="1567">
        <f t="shared" si="53"/>
        <v>8917225.6581820287</v>
      </c>
      <c r="N106" s="1568">
        <f t="shared" si="58"/>
        <v>-246357708.31677476</v>
      </c>
      <c r="O106" s="1569">
        <f>M106+N106</f>
        <v>-237440482.65859273</v>
      </c>
      <c r="P106" s="1570">
        <f t="shared" si="52"/>
        <v>237440482.65859273</v>
      </c>
      <c r="Q106" s="1571">
        <f t="shared" si="51"/>
        <v>1840163.7406040935</v>
      </c>
      <c r="AP106" s="576"/>
      <c r="AQ106" s="576"/>
      <c r="AY106" s="877"/>
      <c r="AZ106" s="575"/>
      <c r="BA106" s="575"/>
      <c r="BF106" s="878"/>
      <c r="BG106" s="878"/>
      <c r="BH106" s="575"/>
      <c r="BI106" s="575"/>
    </row>
    <row r="107" spans="2:61" ht="15.75" customHeight="1">
      <c r="B107" s="1572">
        <f t="shared" si="46"/>
        <v>6</v>
      </c>
      <c r="C107" s="1563">
        <f t="shared" si="55"/>
        <v>11326497.897637034</v>
      </c>
      <c r="D107" s="1564"/>
      <c r="E107" s="1565">
        <f t="shared" si="56"/>
        <v>0</v>
      </c>
      <c r="F107" s="1564"/>
      <c r="G107" s="1526">
        <f t="shared" si="47"/>
        <v>0</v>
      </c>
      <c r="H107" s="1564"/>
      <c r="I107" s="1566">
        <f t="shared" si="48"/>
        <v>11326497.897637034</v>
      </c>
      <c r="J107" s="1563">
        <f t="shared" si="49"/>
        <v>-500000</v>
      </c>
      <c r="K107" s="1526">
        <f t="shared" si="54"/>
        <v>-1840163.7406040935</v>
      </c>
      <c r="L107" s="1566">
        <f t="shared" si="50"/>
        <v>-2340163.7406040933</v>
      </c>
      <c r="M107" s="1567">
        <f t="shared" si="53"/>
        <v>8986334.1570329405</v>
      </c>
      <c r="N107" s="1568">
        <f t="shared" si="58"/>
        <v>-237440482.65859273</v>
      </c>
      <c r="O107" s="1569">
        <f t="shared" si="57"/>
        <v>-228454148.50155979</v>
      </c>
      <c r="P107" s="1570">
        <f t="shared" si="52"/>
        <v>228454148.50155979</v>
      </c>
      <c r="Q107" s="1571">
        <f t="shared" si="51"/>
        <v>1770519.6508870886</v>
      </c>
      <c r="AP107" s="576"/>
      <c r="AQ107" s="576"/>
      <c r="AY107" s="877"/>
      <c r="AZ107" s="575"/>
      <c r="BA107" s="575"/>
      <c r="BF107" s="878"/>
      <c r="BG107" s="878"/>
      <c r="BH107" s="575"/>
      <c r="BI107" s="575"/>
    </row>
    <row r="108" spans="2:61" ht="15.75" customHeight="1">
      <c r="B108" s="1572">
        <f t="shared" si="46"/>
        <v>7</v>
      </c>
      <c r="C108" s="1563">
        <f t="shared" si="55"/>
        <v>11326497.897637034</v>
      </c>
      <c r="D108" s="1564"/>
      <c r="E108" s="1565">
        <f t="shared" si="56"/>
        <v>0</v>
      </c>
      <c r="F108" s="1564"/>
      <c r="G108" s="1526">
        <f t="shared" si="47"/>
        <v>0</v>
      </c>
      <c r="H108" s="1564"/>
      <c r="I108" s="1566">
        <f t="shared" si="48"/>
        <v>11326497.897637034</v>
      </c>
      <c r="J108" s="1563">
        <f t="shared" si="49"/>
        <v>-500000</v>
      </c>
      <c r="K108" s="1526">
        <f t="shared" si="54"/>
        <v>-1770519.6508870886</v>
      </c>
      <c r="L108" s="1566">
        <f t="shared" si="50"/>
        <v>-2270519.6508870889</v>
      </c>
      <c r="M108" s="1567">
        <f t="shared" si="53"/>
        <v>9055978.246749945</v>
      </c>
      <c r="N108" s="1568">
        <f t="shared" si="58"/>
        <v>-228454148.50155979</v>
      </c>
      <c r="O108" s="1569">
        <f t="shared" si="57"/>
        <v>-219398170.25480986</v>
      </c>
      <c r="P108" s="1570">
        <f t="shared" si="52"/>
        <v>219398170.25480986</v>
      </c>
      <c r="Q108" s="1571">
        <f t="shared" si="51"/>
        <v>1700335.8194747763</v>
      </c>
      <c r="AP108" s="576"/>
      <c r="AQ108" s="576"/>
      <c r="AY108" s="877"/>
      <c r="AZ108" s="575"/>
      <c r="BA108" s="575"/>
      <c r="BF108" s="878"/>
      <c r="BG108" s="878"/>
      <c r="BH108" s="575"/>
      <c r="BI108" s="575"/>
    </row>
    <row r="109" spans="2:61" ht="15.75" customHeight="1">
      <c r="B109" s="1572">
        <f t="shared" si="46"/>
        <v>8</v>
      </c>
      <c r="C109" s="1563">
        <f t="shared" si="55"/>
        <v>11326497.897637034</v>
      </c>
      <c r="D109" s="1564"/>
      <c r="E109" s="1565">
        <f t="shared" si="56"/>
        <v>0</v>
      </c>
      <c r="F109" s="1564"/>
      <c r="G109" s="1526">
        <f t="shared" si="47"/>
        <v>0</v>
      </c>
      <c r="H109" s="1564"/>
      <c r="I109" s="1566">
        <f t="shared" si="48"/>
        <v>11326497.897637034</v>
      </c>
      <c r="J109" s="1563">
        <f t="shared" si="49"/>
        <v>-500000</v>
      </c>
      <c r="K109" s="1526">
        <f t="shared" si="54"/>
        <v>-1700335.8194747763</v>
      </c>
      <c r="L109" s="1566">
        <f t="shared" si="50"/>
        <v>-2200335.8194747763</v>
      </c>
      <c r="M109" s="1567">
        <f t="shared" si="53"/>
        <v>9126162.0781622566</v>
      </c>
      <c r="N109" s="1568">
        <f t="shared" si="58"/>
        <v>-219398170.25480986</v>
      </c>
      <c r="O109" s="1569">
        <f t="shared" si="57"/>
        <v>-210272008.1766476</v>
      </c>
      <c r="P109" s="1570">
        <f t="shared" si="52"/>
        <v>210272008.1766476</v>
      </c>
      <c r="Q109" s="1571">
        <f t="shared" si="51"/>
        <v>1629608.063369019</v>
      </c>
      <c r="AP109" s="576"/>
      <c r="AQ109" s="576"/>
      <c r="AY109" s="877"/>
      <c r="AZ109" s="575"/>
      <c r="BA109" s="575"/>
      <c r="BF109" s="878"/>
      <c r="BG109" s="878"/>
      <c r="BH109" s="575"/>
      <c r="BI109" s="575"/>
    </row>
    <row r="110" spans="2:61" ht="15.75" customHeight="1">
      <c r="B110" s="1572">
        <f t="shared" si="46"/>
        <v>9</v>
      </c>
      <c r="C110" s="1563">
        <f t="shared" si="55"/>
        <v>11326497.897637034</v>
      </c>
      <c r="D110" s="1564"/>
      <c r="E110" s="1565">
        <f t="shared" si="56"/>
        <v>0</v>
      </c>
      <c r="F110" s="1564"/>
      <c r="G110" s="1526">
        <f t="shared" si="47"/>
        <v>0</v>
      </c>
      <c r="H110" s="1564"/>
      <c r="I110" s="1566">
        <f t="shared" si="48"/>
        <v>11326497.897637034</v>
      </c>
      <c r="J110" s="1563">
        <f t="shared" si="49"/>
        <v>-500000</v>
      </c>
      <c r="K110" s="1526">
        <f t="shared" si="54"/>
        <v>-1629608.063369019</v>
      </c>
      <c r="L110" s="1566">
        <f t="shared" si="50"/>
        <v>-2129608.063369019</v>
      </c>
      <c r="M110" s="1567">
        <f t="shared" si="53"/>
        <v>9196889.8342680149</v>
      </c>
      <c r="N110" s="1568">
        <f t="shared" si="58"/>
        <v>-210272008.1766476</v>
      </c>
      <c r="O110" s="1569">
        <f t="shared" si="57"/>
        <v>-201075118.3423796</v>
      </c>
      <c r="P110" s="1570">
        <f t="shared" si="52"/>
        <v>201075118.3423796</v>
      </c>
      <c r="Q110" s="1571">
        <f t="shared" si="51"/>
        <v>1558332.167153442</v>
      </c>
      <c r="AP110" s="576"/>
      <c r="AQ110" s="576"/>
      <c r="AY110" s="877"/>
      <c r="AZ110" s="575"/>
      <c r="BA110" s="575"/>
      <c r="BF110" s="878"/>
      <c r="BG110" s="878"/>
      <c r="BH110" s="575"/>
      <c r="BI110" s="575"/>
    </row>
    <row r="111" spans="2:61" ht="15.75" customHeight="1">
      <c r="B111" s="1572">
        <f t="shared" si="46"/>
        <v>10</v>
      </c>
      <c r="C111" s="1563">
        <f t="shared" si="55"/>
        <v>11326497.897637034</v>
      </c>
      <c r="D111" s="1564"/>
      <c r="E111" s="1565">
        <f t="shared" si="56"/>
        <v>0</v>
      </c>
      <c r="F111" s="1564"/>
      <c r="G111" s="1526">
        <f t="shared" si="47"/>
        <v>0</v>
      </c>
      <c r="H111" s="1564"/>
      <c r="I111" s="1566">
        <f t="shared" si="48"/>
        <v>11326497.897637034</v>
      </c>
      <c r="J111" s="1563">
        <f t="shared" si="49"/>
        <v>-500000</v>
      </c>
      <c r="K111" s="1526">
        <f t="shared" si="54"/>
        <v>-1558332.167153442</v>
      </c>
      <c r="L111" s="1566">
        <f t="shared" si="50"/>
        <v>-2058332.167153442</v>
      </c>
      <c r="M111" s="1567">
        <f t="shared" si="53"/>
        <v>9268165.7304835916</v>
      </c>
      <c r="N111" s="1568">
        <f t="shared" si="58"/>
        <v>-201075118.3423796</v>
      </c>
      <c r="O111" s="1569">
        <f t="shared" si="57"/>
        <v>-191806952.61189601</v>
      </c>
      <c r="P111" s="1570">
        <f t="shared" si="52"/>
        <v>191806952.61189601</v>
      </c>
      <c r="Q111" s="1571">
        <f t="shared" si="51"/>
        <v>1486503.8827421942</v>
      </c>
      <c r="AP111" s="576"/>
      <c r="AQ111" s="576"/>
      <c r="AY111" s="877"/>
      <c r="AZ111" s="575"/>
      <c r="BA111" s="575"/>
      <c r="BF111" s="878"/>
      <c r="BG111" s="878"/>
      <c r="BH111" s="575"/>
      <c r="BI111" s="575"/>
    </row>
    <row r="112" spans="2:61" ht="15.75" customHeight="1">
      <c r="B112" s="1572">
        <f t="shared" si="46"/>
        <v>11</v>
      </c>
      <c r="C112" s="1563">
        <f t="shared" si="55"/>
        <v>11326497.897637034</v>
      </c>
      <c r="D112" s="1564"/>
      <c r="E112" s="1565">
        <f t="shared" si="56"/>
        <v>0</v>
      </c>
      <c r="F112" s="1564"/>
      <c r="G112" s="1526">
        <f t="shared" si="47"/>
        <v>0</v>
      </c>
      <c r="H112" s="1564"/>
      <c r="I112" s="1566">
        <f t="shared" si="48"/>
        <v>11326497.897637034</v>
      </c>
      <c r="J112" s="1563">
        <f t="shared" si="49"/>
        <v>-10500000</v>
      </c>
      <c r="K112" s="1526">
        <f t="shared" si="54"/>
        <v>-1486503.8827421942</v>
      </c>
      <c r="L112" s="1566">
        <f t="shared" si="50"/>
        <v>-11986503.882742194</v>
      </c>
      <c r="M112" s="1567">
        <f t="shared" si="53"/>
        <v>-660005.98510516062</v>
      </c>
      <c r="N112" s="1568">
        <f t="shared" si="58"/>
        <v>-191806952.61189601</v>
      </c>
      <c r="O112" s="1569">
        <f t="shared" si="57"/>
        <v>-192466958.59700117</v>
      </c>
      <c r="P112" s="1570">
        <f t="shared" si="52"/>
        <v>192466958.59700117</v>
      </c>
      <c r="Q112" s="1571">
        <f t="shared" si="51"/>
        <v>1491618.9291267591</v>
      </c>
      <c r="AP112" s="576"/>
      <c r="AQ112" s="576"/>
      <c r="AY112" s="877"/>
      <c r="AZ112" s="575"/>
      <c r="BA112" s="575"/>
      <c r="BF112" s="878"/>
      <c r="BG112" s="878"/>
      <c r="BH112" s="575"/>
      <c r="BI112" s="575"/>
    </row>
    <row r="113" spans="2:61" ht="15.75" customHeight="1">
      <c r="B113" s="1572">
        <f t="shared" si="46"/>
        <v>12</v>
      </c>
      <c r="C113" s="1563">
        <f t="shared" si="55"/>
        <v>11326497.897637034</v>
      </c>
      <c r="D113" s="1564"/>
      <c r="E113" s="1565">
        <f t="shared" si="56"/>
        <v>0</v>
      </c>
      <c r="F113" s="1564"/>
      <c r="G113" s="1526">
        <f t="shared" si="47"/>
        <v>0</v>
      </c>
      <c r="H113" s="1564"/>
      <c r="I113" s="1566">
        <f t="shared" si="48"/>
        <v>11326497.897637034</v>
      </c>
      <c r="J113" s="1563">
        <f t="shared" si="49"/>
        <v>-17460165.021232877</v>
      </c>
      <c r="K113" s="1526">
        <f t="shared" si="54"/>
        <v>-1491618.9291267591</v>
      </c>
      <c r="L113" s="1566">
        <f t="shared" si="50"/>
        <v>-18951783.950359635</v>
      </c>
      <c r="M113" s="1567">
        <f t="shared" si="53"/>
        <v>-7625286.0527226012</v>
      </c>
      <c r="N113" s="1568">
        <f t="shared" si="58"/>
        <v>-192466958.59700117</v>
      </c>
      <c r="O113" s="1569">
        <f t="shared" si="57"/>
        <v>-200092244.64972377</v>
      </c>
      <c r="P113" s="1570">
        <f t="shared" si="52"/>
        <v>200092244.64972377</v>
      </c>
      <c r="Q113" s="1571">
        <f t="shared" si="51"/>
        <v>1550714.8960353592</v>
      </c>
      <c r="AP113" s="576"/>
      <c r="AQ113" s="576"/>
      <c r="AY113" s="877"/>
      <c r="AZ113" s="575"/>
      <c r="BA113" s="575"/>
      <c r="BF113" s="878"/>
      <c r="BG113" s="878"/>
      <c r="BH113" s="575"/>
      <c r="BI113" s="575"/>
    </row>
    <row r="114" spans="2:61" ht="15.75" customHeight="1">
      <c r="B114" s="1572">
        <f t="shared" si="46"/>
        <v>13</v>
      </c>
      <c r="C114" s="1563">
        <f t="shared" si="55"/>
        <v>11326497.897637034</v>
      </c>
      <c r="D114" s="1564"/>
      <c r="E114" s="1565">
        <f t="shared" si="56"/>
        <v>4240041.2553082192</v>
      </c>
      <c r="F114" s="1564"/>
      <c r="G114" s="1526">
        <f t="shared" si="47"/>
        <v>0</v>
      </c>
      <c r="H114" s="1564"/>
      <c r="I114" s="1566">
        <f t="shared" si="48"/>
        <v>15566539.152945254</v>
      </c>
      <c r="J114" s="1563">
        <f t="shared" si="49"/>
        <v>-500000</v>
      </c>
      <c r="K114" s="1526">
        <f t="shared" si="54"/>
        <v>-1550714.8960353592</v>
      </c>
      <c r="L114" s="1566">
        <f t="shared" si="50"/>
        <v>-2050714.8960353592</v>
      </c>
      <c r="M114" s="1567">
        <f t="shared" si="53"/>
        <v>13515824.256909896</v>
      </c>
      <c r="N114" s="1568">
        <f t="shared" si="58"/>
        <v>-200092244.64972377</v>
      </c>
      <c r="O114" s="1569">
        <f t="shared" si="57"/>
        <v>-186576420.39281386</v>
      </c>
      <c r="P114" s="1570">
        <f t="shared" si="52"/>
        <v>186576420.39281386</v>
      </c>
      <c r="Q114" s="1571">
        <f t="shared" si="51"/>
        <v>1445967.2580443074</v>
      </c>
      <c r="AP114" s="576"/>
      <c r="AQ114" s="576"/>
      <c r="AY114" s="877"/>
      <c r="AZ114" s="575"/>
      <c r="BA114" s="575"/>
      <c r="BF114" s="878"/>
      <c r="BG114" s="878"/>
      <c r="BH114" s="575"/>
      <c r="BI114" s="575"/>
    </row>
    <row r="115" spans="2:61" ht="15.75" customHeight="1">
      <c r="B115" s="1572">
        <f t="shared" si="46"/>
        <v>14</v>
      </c>
      <c r="C115" s="1563">
        <f t="shared" si="55"/>
        <v>11326497.897637034</v>
      </c>
      <c r="D115" s="1564"/>
      <c r="E115" s="1565">
        <f t="shared" si="56"/>
        <v>0</v>
      </c>
      <c r="F115" s="1564"/>
      <c r="G115" s="1526">
        <f t="shared" si="47"/>
        <v>0</v>
      </c>
      <c r="H115" s="1564"/>
      <c r="I115" s="1566">
        <f t="shared" si="48"/>
        <v>11326497.897637034</v>
      </c>
      <c r="J115" s="1563">
        <f t="shared" si="49"/>
        <v>-500000</v>
      </c>
      <c r="K115" s="1526">
        <f t="shared" si="54"/>
        <v>-1445967.2580443074</v>
      </c>
      <c r="L115" s="1566">
        <f t="shared" si="50"/>
        <v>-1945967.2580443074</v>
      </c>
      <c r="M115" s="1567">
        <f t="shared" si="53"/>
        <v>9380530.6395927258</v>
      </c>
      <c r="N115" s="1568">
        <f t="shared" si="58"/>
        <v>-186576420.39281386</v>
      </c>
      <c r="O115" s="1569">
        <f t="shared" si="57"/>
        <v>-177195889.75322112</v>
      </c>
      <c r="P115" s="1570">
        <f t="shared" si="52"/>
        <v>177195889.75322112</v>
      </c>
      <c r="Q115" s="1571">
        <f t="shared" si="51"/>
        <v>1373268.1455874636</v>
      </c>
      <c r="AP115" s="576"/>
      <c r="AQ115" s="576"/>
      <c r="AY115" s="877"/>
      <c r="AZ115" s="575"/>
      <c r="BA115" s="575"/>
      <c r="BF115" s="878"/>
      <c r="BG115" s="878"/>
      <c r="BH115" s="575"/>
      <c r="BI115" s="575"/>
    </row>
    <row r="116" spans="2:61" ht="15.75" customHeight="1">
      <c r="B116" s="1572">
        <f t="shared" si="46"/>
        <v>15</v>
      </c>
      <c r="C116" s="1563">
        <f t="shared" si="55"/>
        <v>11326497.897637034</v>
      </c>
      <c r="D116" s="1564"/>
      <c r="E116" s="1565">
        <f t="shared" si="56"/>
        <v>0</v>
      </c>
      <c r="F116" s="1564"/>
      <c r="G116" s="1526">
        <f t="shared" si="47"/>
        <v>0</v>
      </c>
      <c r="H116" s="1564"/>
      <c r="I116" s="1566">
        <f t="shared" si="48"/>
        <v>11326497.897637034</v>
      </c>
      <c r="J116" s="1563">
        <f t="shared" si="49"/>
        <v>-500000</v>
      </c>
      <c r="K116" s="1526">
        <f t="shared" si="54"/>
        <v>-1373268.1455874636</v>
      </c>
      <c r="L116" s="1566">
        <f t="shared" si="50"/>
        <v>-1873268.1455874636</v>
      </c>
      <c r="M116" s="1567">
        <f t="shared" si="53"/>
        <v>9453229.7520495709</v>
      </c>
      <c r="N116" s="1568">
        <f t="shared" si="58"/>
        <v>-177195889.75322112</v>
      </c>
      <c r="O116" s="1569">
        <f t="shared" si="57"/>
        <v>-167742660.00117156</v>
      </c>
      <c r="P116" s="1570">
        <f t="shared" si="52"/>
        <v>167742660.00117156</v>
      </c>
      <c r="Q116" s="1571">
        <f t="shared" si="51"/>
        <v>1300005.6150090795</v>
      </c>
      <c r="AP116" s="576"/>
      <c r="AQ116" s="576"/>
      <c r="AY116" s="877"/>
      <c r="AZ116" s="575"/>
      <c r="BA116" s="575"/>
      <c r="BF116" s="878"/>
      <c r="BG116" s="878"/>
      <c r="BH116" s="575"/>
      <c r="BI116" s="575"/>
    </row>
    <row r="117" spans="2:61" ht="15.75" customHeight="1">
      <c r="B117" s="1572">
        <f t="shared" si="46"/>
        <v>16</v>
      </c>
      <c r="C117" s="1563">
        <f t="shared" si="55"/>
        <v>11326497.897637034</v>
      </c>
      <c r="D117" s="1564"/>
      <c r="E117" s="1565">
        <f t="shared" si="56"/>
        <v>0</v>
      </c>
      <c r="F117" s="1564"/>
      <c r="G117" s="1526">
        <f t="shared" si="47"/>
        <v>0</v>
      </c>
      <c r="H117" s="1564"/>
      <c r="I117" s="1566">
        <f t="shared" si="48"/>
        <v>11326497.897637034</v>
      </c>
      <c r="J117" s="1563">
        <f t="shared" si="49"/>
        <v>-500000</v>
      </c>
      <c r="K117" s="1526">
        <f t="shared" si="54"/>
        <v>-1300005.6150090795</v>
      </c>
      <c r="L117" s="1566">
        <f t="shared" si="50"/>
        <v>-1800005.6150090795</v>
      </c>
      <c r="M117" s="1567">
        <f t="shared" si="53"/>
        <v>9526492.2826279551</v>
      </c>
      <c r="N117" s="1568">
        <f t="shared" si="58"/>
        <v>-167742660.00117156</v>
      </c>
      <c r="O117" s="1569">
        <f t="shared" si="57"/>
        <v>-158216167.71854359</v>
      </c>
      <c r="P117" s="1570">
        <f t="shared" si="52"/>
        <v>158216167.71854359</v>
      </c>
      <c r="Q117" s="1571">
        <f t="shared" si="51"/>
        <v>1226175.2998187128</v>
      </c>
      <c r="AP117" s="576"/>
      <c r="AQ117" s="576"/>
      <c r="AY117" s="877"/>
      <c r="AZ117" s="575"/>
      <c r="BA117" s="575"/>
      <c r="BF117" s="878"/>
      <c r="BG117" s="878"/>
      <c r="BH117" s="575"/>
      <c r="BI117" s="575"/>
    </row>
    <row r="118" spans="2:61" ht="15.75" customHeight="1">
      <c r="B118" s="1572">
        <f t="shared" si="46"/>
        <v>17</v>
      </c>
      <c r="C118" s="1563">
        <f t="shared" si="55"/>
        <v>11326497.897637034</v>
      </c>
      <c r="D118" s="1564"/>
      <c r="E118" s="1565">
        <f t="shared" si="56"/>
        <v>0</v>
      </c>
      <c r="F118" s="1564"/>
      <c r="G118" s="1526">
        <f t="shared" si="47"/>
        <v>0</v>
      </c>
      <c r="H118" s="1564"/>
      <c r="I118" s="1566">
        <f t="shared" si="48"/>
        <v>11326497.897637034</v>
      </c>
      <c r="J118" s="1563">
        <f t="shared" si="49"/>
        <v>-500000</v>
      </c>
      <c r="K118" s="1526">
        <f t="shared" si="54"/>
        <v>-1226175.2998187128</v>
      </c>
      <c r="L118" s="1566">
        <f t="shared" si="50"/>
        <v>-1726175.2998187128</v>
      </c>
      <c r="M118" s="1567">
        <f t="shared" si="53"/>
        <v>9600322.5978183206</v>
      </c>
      <c r="N118" s="1568">
        <f t="shared" si="58"/>
        <v>-158216167.71854359</v>
      </c>
      <c r="O118" s="1569">
        <f t="shared" si="57"/>
        <v>-148615845.12072527</v>
      </c>
      <c r="P118" s="1570">
        <f t="shared" si="52"/>
        <v>148615845.12072527</v>
      </c>
      <c r="Q118" s="1571">
        <f t="shared" si="51"/>
        <v>1151772.7996856209</v>
      </c>
      <c r="AP118" s="576"/>
      <c r="AQ118" s="576"/>
      <c r="AY118" s="877"/>
      <c r="AZ118" s="575"/>
      <c r="BA118" s="575"/>
      <c r="BF118" s="878"/>
      <c r="BG118" s="878"/>
      <c r="BH118" s="575"/>
      <c r="BI118" s="575"/>
    </row>
    <row r="119" spans="2:61" ht="15.75" customHeight="1">
      <c r="B119" s="1572">
        <f t="shared" si="46"/>
        <v>18</v>
      </c>
      <c r="C119" s="1563">
        <f t="shared" si="55"/>
        <v>11326497.897637034</v>
      </c>
      <c r="D119" s="1564"/>
      <c r="E119" s="1565">
        <f t="shared" si="56"/>
        <v>0</v>
      </c>
      <c r="F119" s="1564"/>
      <c r="G119" s="1526">
        <f t="shared" si="47"/>
        <v>0</v>
      </c>
      <c r="H119" s="1564"/>
      <c r="I119" s="1566">
        <f t="shared" si="48"/>
        <v>11326497.897637034</v>
      </c>
      <c r="J119" s="1563">
        <f t="shared" si="49"/>
        <v>-500000</v>
      </c>
      <c r="K119" s="1526">
        <f t="shared" si="54"/>
        <v>-1151772.7996856209</v>
      </c>
      <c r="L119" s="1566">
        <f t="shared" si="50"/>
        <v>-1651772.7996856209</v>
      </c>
      <c r="M119" s="1567">
        <f t="shared" si="53"/>
        <v>9674725.0979514122</v>
      </c>
      <c r="N119" s="1568">
        <f t="shared" si="58"/>
        <v>-148615845.12072527</v>
      </c>
      <c r="O119" s="1569">
        <f t="shared" si="57"/>
        <v>-138941120.02277386</v>
      </c>
      <c r="P119" s="1570">
        <f t="shared" si="52"/>
        <v>138941120.02277386</v>
      </c>
      <c r="Q119" s="1571">
        <f t="shared" si="51"/>
        <v>1076793.6801764974</v>
      </c>
      <c r="AP119" s="576"/>
      <c r="AQ119" s="576"/>
      <c r="AY119" s="877"/>
      <c r="AZ119" s="575"/>
      <c r="BA119" s="575"/>
      <c r="BF119" s="878"/>
      <c r="BG119" s="878"/>
      <c r="BH119" s="575"/>
      <c r="BI119" s="575"/>
    </row>
    <row r="120" spans="2:61" ht="15.75" customHeight="1">
      <c r="B120" s="1572">
        <f t="shared" si="46"/>
        <v>19</v>
      </c>
      <c r="C120" s="1563">
        <f t="shared" si="55"/>
        <v>11326497.897637034</v>
      </c>
      <c r="D120" s="1564"/>
      <c r="E120" s="1565">
        <f t="shared" si="56"/>
        <v>0</v>
      </c>
      <c r="F120" s="1564"/>
      <c r="G120" s="1526">
        <f t="shared" si="47"/>
        <v>0</v>
      </c>
      <c r="H120" s="1564"/>
      <c r="I120" s="1566">
        <f t="shared" si="48"/>
        <v>11326497.897637034</v>
      </c>
      <c r="J120" s="1563">
        <f t="shared" si="49"/>
        <v>-500000</v>
      </c>
      <c r="K120" s="1526">
        <f t="shared" si="54"/>
        <v>-1076793.6801764974</v>
      </c>
      <c r="L120" s="1566">
        <f t="shared" si="50"/>
        <v>-1576793.6801764974</v>
      </c>
      <c r="M120" s="1567">
        <f t="shared" si="53"/>
        <v>9749704.2174605355</v>
      </c>
      <c r="N120" s="1568">
        <f t="shared" si="58"/>
        <v>-138941120.02277386</v>
      </c>
      <c r="O120" s="1569">
        <f t="shared" si="57"/>
        <v>-129191415.80531332</v>
      </c>
      <c r="P120" s="1570">
        <f t="shared" si="52"/>
        <v>129191415.80531332</v>
      </c>
      <c r="Q120" s="1571">
        <f t="shared" si="51"/>
        <v>1001233.4724911782</v>
      </c>
      <c r="AP120" s="576"/>
      <c r="AQ120" s="576"/>
      <c r="AY120" s="877"/>
      <c r="AZ120" s="575"/>
      <c r="BA120" s="575"/>
      <c r="BF120" s="878"/>
      <c r="BG120" s="878"/>
      <c r="BH120" s="575"/>
      <c r="BI120" s="575"/>
    </row>
    <row r="121" spans="2:61" ht="15.75" customHeight="1">
      <c r="B121" s="1572">
        <f t="shared" si="46"/>
        <v>20</v>
      </c>
      <c r="C121" s="1563">
        <f t="shared" si="55"/>
        <v>11326497.897637034</v>
      </c>
      <c r="D121" s="1564"/>
      <c r="E121" s="1565">
        <f t="shared" si="56"/>
        <v>0</v>
      </c>
      <c r="F121" s="1564"/>
      <c r="G121" s="1526">
        <f t="shared" si="47"/>
        <v>0</v>
      </c>
      <c r="H121" s="1564"/>
      <c r="I121" s="1566">
        <f t="shared" si="48"/>
        <v>11326497.897637034</v>
      </c>
      <c r="J121" s="1563">
        <f t="shared" si="49"/>
        <v>-500000</v>
      </c>
      <c r="K121" s="1526">
        <f t="shared" si="54"/>
        <v>-1001233.4724911782</v>
      </c>
      <c r="L121" s="1566">
        <f t="shared" si="50"/>
        <v>-1501233.4724911782</v>
      </c>
      <c r="M121" s="1567">
        <f t="shared" si="53"/>
        <v>9825264.4251458552</v>
      </c>
      <c r="N121" s="1568">
        <f t="shared" si="58"/>
        <v>-129191415.80531332</v>
      </c>
      <c r="O121" s="1569">
        <f t="shared" si="57"/>
        <v>-119366151.38016747</v>
      </c>
      <c r="P121" s="1570">
        <f t="shared" si="52"/>
        <v>119366151.38016747</v>
      </c>
      <c r="Q121" s="1571">
        <f t="shared" si="51"/>
        <v>925087.67319629795</v>
      </c>
      <c r="AP121" s="576"/>
      <c r="AQ121" s="576"/>
      <c r="AY121" s="877"/>
      <c r="AZ121" s="575"/>
      <c r="BA121" s="575"/>
      <c r="BF121" s="878"/>
      <c r="BG121" s="878"/>
      <c r="BH121" s="575"/>
      <c r="BI121" s="575"/>
    </row>
    <row r="122" spans="2:61" ht="15.75" customHeight="1">
      <c r="B122" s="1572">
        <f t="shared" si="46"/>
        <v>21</v>
      </c>
      <c r="C122" s="1563">
        <f t="shared" si="55"/>
        <v>11326497.897637034</v>
      </c>
      <c r="D122" s="1564"/>
      <c r="E122" s="1565">
        <f t="shared" si="56"/>
        <v>0</v>
      </c>
      <c r="F122" s="1564"/>
      <c r="G122" s="1526">
        <f t="shared" si="47"/>
        <v>0</v>
      </c>
      <c r="H122" s="1564"/>
      <c r="I122" s="1566">
        <f t="shared" si="48"/>
        <v>11326497.897637034</v>
      </c>
      <c r="J122" s="1563">
        <f t="shared" si="49"/>
        <v>-500000</v>
      </c>
      <c r="K122" s="1526">
        <f t="shared" si="54"/>
        <v>-925087.67319629795</v>
      </c>
      <c r="L122" s="1566">
        <f t="shared" si="50"/>
        <v>-1425087.6731962981</v>
      </c>
      <c r="M122" s="1567">
        <f t="shared" si="53"/>
        <v>9901410.2244407348</v>
      </c>
      <c r="N122" s="1568">
        <f t="shared" si="58"/>
        <v>-119366151.38016747</v>
      </c>
      <c r="O122" s="1569">
        <f t="shared" si="57"/>
        <v>-109464741.15572673</v>
      </c>
      <c r="P122" s="1570">
        <f t="shared" si="52"/>
        <v>109464741.15572673</v>
      </c>
      <c r="Q122" s="1571">
        <f t="shared" si="51"/>
        <v>848351.74395688216</v>
      </c>
      <c r="AP122" s="576"/>
      <c r="AQ122" s="576"/>
      <c r="AY122" s="877"/>
      <c r="AZ122" s="575"/>
      <c r="BA122" s="575"/>
      <c r="BF122" s="878"/>
      <c r="BG122" s="878"/>
      <c r="BH122" s="575"/>
      <c r="BI122" s="575"/>
    </row>
    <row r="123" spans="2:61" ht="15.75" customHeight="1">
      <c r="B123" s="1572">
        <f t="shared" si="46"/>
        <v>22</v>
      </c>
      <c r="C123" s="1563">
        <f t="shared" si="55"/>
        <v>11326497.897637034</v>
      </c>
      <c r="D123" s="1564"/>
      <c r="E123" s="1565">
        <f t="shared" si="56"/>
        <v>0</v>
      </c>
      <c r="F123" s="1564"/>
      <c r="G123" s="1526">
        <f t="shared" si="47"/>
        <v>0</v>
      </c>
      <c r="H123" s="1564"/>
      <c r="I123" s="1566">
        <f t="shared" si="48"/>
        <v>11326497.897637034</v>
      </c>
      <c r="J123" s="1563">
        <f t="shared" si="49"/>
        <v>-500000</v>
      </c>
      <c r="K123" s="1526">
        <f t="shared" si="54"/>
        <v>-848351.74395688216</v>
      </c>
      <c r="L123" s="1566">
        <f t="shared" si="50"/>
        <v>-1348351.743956882</v>
      </c>
      <c r="M123" s="1567">
        <f t="shared" si="53"/>
        <v>9978146.1536801513</v>
      </c>
      <c r="N123" s="1568">
        <f t="shared" si="58"/>
        <v>-109464741.15572673</v>
      </c>
      <c r="O123" s="1569">
        <f t="shared" si="57"/>
        <v>-99486595.002046585</v>
      </c>
      <c r="P123" s="1570">
        <f t="shared" si="52"/>
        <v>99486595.002046585</v>
      </c>
      <c r="Q123" s="1571">
        <f t="shared" si="51"/>
        <v>771021.11126586096</v>
      </c>
      <c r="AP123" s="576"/>
      <c r="AQ123" s="576"/>
      <c r="AY123" s="877"/>
      <c r="AZ123" s="575"/>
      <c r="BA123" s="575"/>
      <c r="BF123" s="878"/>
      <c r="BG123" s="878"/>
      <c r="BH123" s="575"/>
      <c r="BI123" s="575"/>
    </row>
    <row r="124" spans="2:61" ht="15.75" customHeight="1">
      <c r="B124" s="1572">
        <f t="shared" si="46"/>
        <v>23</v>
      </c>
      <c r="C124" s="1563">
        <f t="shared" si="55"/>
        <v>11326497.897637034</v>
      </c>
      <c r="D124" s="1564"/>
      <c r="E124" s="1565">
        <f t="shared" si="56"/>
        <v>0</v>
      </c>
      <c r="F124" s="1564"/>
      <c r="G124" s="1526">
        <f t="shared" si="47"/>
        <v>0</v>
      </c>
      <c r="H124" s="1564"/>
      <c r="I124" s="1566">
        <f t="shared" si="48"/>
        <v>11326497.897637034</v>
      </c>
      <c r="J124" s="1563">
        <f t="shared" si="49"/>
        <v>-10500000</v>
      </c>
      <c r="K124" s="1526">
        <f t="shared" si="54"/>
        <v>-771021.11126586096</v>
      </c>
      <c r="L124" s="1566">
        <f t="shared" si="50"/>
        <v>-11271021.11126586</v>
      </c>
      <c r="M124" s="1567">
        <f t="shared" si="53"/>
        <v>55476.786371173337</v>
      </c>
      <c r="N124" s="1568">
        <f t="shared" si="58"/>
        <v>-99486595.002046585</v>
      </c>
      <c r="O124" s="1569">
        <f t="shared" si="57"/>
        <v>-99431118.215675414</v>
      </c>
      <c r="P124" s="1570">
        <f t="shared" si="52"/>
        <v>99431118.215675414</v>
      </c>
      <c r="Q124" s="1571">
        <f t="shared" si="51"/>
        <v>770591.16617148451</v>
      </c>
      <c r="AP124" s="576"/>
      <c r="AQ124" s="576"/>
      <c r="AY124" s="877"/>
      <c r="AZ124" s="575"/>
      <c r="BA124" s="575"/>
      <c r="BF124" s="878"/>
      <c r="BG124" s="878"/>
      <c r="BH124" s="575"/>
      <c r="BI124" s="575"/>
    </row>
    <row r="125" spans="2:61" ht="15.75" customHeight="1">
      <c r="B125" s="1572">
        <f t="shared" si="46"/>
        <v>24</v>
      </c>
      <c r="C125" s="1563">
        <f t="shared" si="55"/>
        <v>11326497.897637034</v>
      </c>
      <c r="D125" s="1564"/>
      <c r="E125" s="1565">
        <f t="shared" si="56"/>
        <v>0</v>
      </c>
      <c r="F125" s="1564"/>
      <c r="G125" s="1526">
        <f t="shared" si="47"/>
        <v>0</v>
      </c>
      <c r="H125" s="1564"/>
      <c r="I125" s="1566">
        <f t="shared" si="48"/>
        <v>11326497.897637034</v>
      </c>
      <c r="J125" s="1563">
        <f t="shared" si="49"/>
        <v>-500000</v>
      </c>
      <c r="K125" s="1526">
        <f t="shared" si="54"/>
        <v>-770591.16617148451</v>
      </c>
      <c r="L125" s="1566">
        <f t="shared" si="50"/>
        <v>-1270591.1661714846</v>
      </c>
      <c r="M125" s="1567">
        <f t="shared" si="53"/>
        <v>10055906.731465548</v>
      </c>
      <c r="N125" s="1568">
        <f t="shared" si="58"/>
        <v>-99431118.215675414</v>
      </c>
      <c r="O125" s="1569">
        <f t="shared" si="57"/>
        <v>-89375211.484209865</v>
      </c>
      <c r="P125" s="1570">
        <f t="shared" si="52"/>
        <v>89375211.484209865</v>
      </c>
      <c r="Q125" s="1571">
        <f t="shared" si="51"/>
        <v>692657.88900262641</v>
      </c>
      <c r="AP125" s="576"/>
      <c r="AQ125" s="576"/>
      <c r="AY125" s="877"/>
      <c r="AZ125" s="575"/>
      <c r="BA125" s="575"/>
      <c r="BF125" s="878"/>
      <c r="BG125" s="878"/>
      <c r="BH125" s="575"/>
      <c r="BI125" s="575"/>
    </row>
    <row r="126" spans="2:61" ht="15.75" customHeight="1">
      <c r="B126" s="1572">
        <f t="shared" si="46"/>
        <v>25</v>
      </c>
      <c r="C126" s="1563">
        <f t="shared" si="55"/>
        <v>0</v>
      </c>
      <c r="D126" s="1564"/>
      <c r="E126" s="1565">
        <f t="shared" si="56"/>
        <v>134923636.36363634</v>
      </c>
      <c r="F126" s="1564"/>
      <c r="G126" s="1526">
        <f t="shared" si="47"/>
        <v>0</v>
      </c>
      <c r="H126" s="1564"/>
      <c r="I126" s="1566">
        <f t="shared" si="48"/>
        <v>134923636.36363634</v>
      </c>
      <c r="J126" s="1563">
        <f t="shared" si="49"/>
        <v>0</v>
      </c>
      <c r="K126" s="1526">
        <f t="shared" si="54"/>
        <v>-692657.88900262641</v>
      </c>
      <c r="L126" s="1566">
        <f t="shared" si="50"/>
        <v>-692657.88900262641</v>
      </c>
      <c r="M126" s="1567">
        <f t="shared" si="53"/>
        <v>134230978.47463372</v>
      </c>
      <c r="N126" s="1568">
        <f t="shared" si="58"/>
        <v>-89375211.484209865</v>
      </c>
      <c r="O126" s="1569">
        <f t="shared" si="57"/>
        <v>44855766.990423858</v>
      </c>
      <c r="P126" s="1570">
        <f t="shared" si="52"/>
        <v>0</v>
      </c>
      <c r="Q126" s="1571">
        <f t="shared" si="51"/>
        <v>0</v>
      </c>
      <c r="AP126" s="576"/>
      <c r="AQ126" s="576"/>
      <c r="AY126" s="877"/>
      <c r="AZ126" s="575"/>
      <c r="BA126" s="575"/>
      <c r="BF126" s="878"/>
      <c r="BG126" s="878"/>
      <c r="BH126" s="575"/>
      <c r="BI126" s="575"/>
    </row>
    <row r="127" spans="2:61" ht="15.75" customHeight="1">
      <c r="B127" s="1572">
        <f t="shared" si="46"/>
        <v>26</v>
      </c>
      <c r="C127" s="1563">
        <f t="shared" si="55"/>
        <v>0</v>
      </c>
      <c r="D127" s="1564"/>
      <c r="E127" s="1565">
        <f t="shared" si="56"/>
        <v>0</v>
      </c>
      <c r="F127" s="1564"/>
      <c r="G127" s="1526">
        <f t="shared" si="47"/>
        <v>0</v>
      </c>
      <c r="H127" s="1564"/>
      <c r="I127" s="1566">
        <f t="shared" si="48"/>
        <v>0</v>
      </c>
      <c r="J127" s="1563">
        <f t="shared" si="49"/>
        <v>0</v>
      </c>
      <c r="K127" s="1526">
        <f t="shared" si="54"/>
        <v>0</v>
      </c>
      <c r="L127" s="1566">
        <f t="shared" si="50"/>
        <v>0</v>
      </c>
      <c r="M127" s="1567">
        <f t="shared" si="53"/>
        <v>0</v>
      </c>
      <c r="N127" s="1568">
        <f t="shared" si="58"/>
        <v>44855766.990423858</v>
      </c>
      <c r="O127" s="1569">
        <f t="shared" si="57"/>
        <v>44855766.990423858</v>
      </c>
      <c r="P127" s="1570">
        <f t="shared" si="52"/>
        <v>0</v>
      </c>
      <c r="Q127" s="1571">
        <f t="shared" si="51"/>
        <v>0</v>
      </c>
      <c r="AP127" s="576"/>
      <c r="AQ127" s="576"/>
      <c r="AY127" s="877"/>
      <c r="AZ127" s="575"/>
      <c r="BA127" s="575"/>
      <c r="BF127" s="878"/>
      <c r="BG127" s="878"/>
      <c r="BH127" s="575"/>
      <c r="BI127" s="575"/>
    </row>
    <row r="128" spans="2:61" ht="15.75" customHeight="1">
      <c r="B128" s="1572">
        <f t="shared" si="46"/>
        <v>27</v>
      </c>
      <c r="C128" s="1563">
        <f t="shared" si="55"/>
        <v>0</v>
      </c>
      <c r="D128" s="1564"/>
      <c r="E128" s="1565">
        <f t="shared" si="56"/>
        <v>0</v>
      </c>
      <c r="F128" s="1564"/>
      <c r="G128" s="1526">
        <f t="shared" si="47"/>
        <v>0</v>
      </c>
      <c r="H128" s="1564"/>
      <c r="I128" s="1566">
        <f t="shared" si="48"/>
        <v>0</v>
      </c>
      <c r="J128" s="1563">
        <f t="shared" si="49"/>
        <v>0</v>
      </c>
      <c r="K128" s="1526">
        <f t="shared" si="54"/>
        <v>0</v>
      </c>
      <c r="L128" s="1566">
        <f t="shared" si="50"/>
        <v>0</v>
      </c>
      <c r="M128" s="1567">
        <f t="shared" si="53"/>
        <v>0</v>
      </c>
      <c r="N128" s="1568">
        <f t="shared" si="58"/>
        <v>44855766.990423858</v>
      </c>
      <c r="O128" s="1569">
        <f t="shared" si="57"/>
        <v>44855766.990423858</v>
      </c>
      <c r="P128" s="1570">
        <f t="shared" si="52"/>
        <v>0</v>
      </c>
      <c r="Q128" s="1571">
        <f t="shared" si="51"/>
        <v>0</v>
      </c>
      <c r="AP128" s="576"/>
      <c r="AQ128" s="576"/>
      <c r="AY128" s="877"/>
      <c r="AZ128" s="575"/>
      <c r="BA128" s="575"/>
      <c r="BF128" s="878"/>
      <c r="BG128" s="878"/>
      <c r="BH128" s="575"/>
      <c r="BI128" s="575"/>
    </row>
    <row r="129" spans="2:61" ht="15.75" customHeight="1">
      <c r="B129" s="1572">
        <f t="shared" si="46"/>
        <v>28</v>
      </c>
      <c r="C129" s="1563">
        <f t="shared" si="55"/>
        <v>0</v>
      </c>
      <c r="D129" s="1564"/>
      <c r="E129" s="1565">
        <f t="shared" si="56"/>
        <v>0</v>
      </c>
      <c r="F129" s="1564"/>
      <c r="G129" s="1526">
        <f t="shared" si="47"/>
        <v>0</v>
      </c>
      <c r="H129" s="1564"/>
      <c r="I129" s="1566">
        <f t="shared" si="48"/>
        <v>0</v>
      </c>
      <c r="J129" s="1563">
        <f t="shared" si="49"/>
        <v>0</v>
      </c>
      <c r="K129" s="1526">
        <f t="shared" si="54"/>
        <v>0</v>
      </c>
      <c r="L129" s="1566">
        <f t="shared" si="50"/>
        <v>0</v>
      </c>
      <c r="M129" s="1567">
        <f t="shared" si="53"/>
        <v>0</v>
      </c>
      <c r="N129" s="1568">
        <f t="shared" si="58"/>
        <v>44855766.990423858</v>
      </c>
      <c r="O129" s="1569">
        <f t="shared" si="57"/>
        <v>44855766.990423858</v>
      </c>
      <c r="P129" s="1570">
        <f t="shared" si="52"/>
        <v>0</v>
      </c>
      <c r="Q129" s="1571">
        <f t="shared" si="51"/>
        <v>0</v>
      </c>
      <c r="AP129" s="576"/>
      <c r="AQ129" s="576"/>
      <c r="AY129" s="877"/>
      <c r="AZ129" s="575"/>
      <c r="BA129" s="575"/>
      <c r="BF129" s="878"/>
      <c r="BG129" s="878"/>
      <c r="BH129" s="575"/>
      <c r="BI129" s="575"/>
    </row>
    <row r="130" spans="2:61" ht="15.75" customHeight="1">
      <c r="B130" s="1572">
        <f t="shared" ref="B130:B161" si="59">B54</f>
        <v>29</v>
      </c>
      <c r="C130" s="1563">
        <f t="shared" si="55"/>
        <v>0</v>
      </c>
      <c r="D130" s="1564"/>
      <c r="E130" s="1565">
        <f t="shared" si="56"/>
        <v>0</v>
      </c>
      <c r="F130" s="1564"/>
      <c r="G130" s="1526">
        <f t="shared" ref="G130:G161" si="60">Y54</f>
        <v>0</v>
      </c>
      <c r="H130" s="1564"/>
      <c r="I130" s="1566">
        <f t="shared" ref="I130:I166" si="61">C130+E130+G130</f>
        <v>0</v>
      </c>
      <c r="J130" s="1563">
        <f t="shared" ref="J130:J161" si="62">U54</f>
        <v>0</v>
      </c>
      <c r="K130" s="1526">
        <f t="shared" si="54"/>
        <v>0</v>
      </c>
      <c r="L130" s="1566">
        <f t="shared" ref="L130:L161" si="63">J130+K130</f>
        <v>0</v>
      </c>
      <c r="M130" s="1567">
        <f t="shared" ref="M130:M161" si="64">I130+L130</f>
        <v>0</v>
      </c>
      <c r="N130" s="1568">
        <f t="shared" si="58"/>
        <v>44855766.990423858</v>
      </c>
      <c r="O130" s="1569">
        <f t="shared" si="57"/>
        <v>44855766.990423858</v>
      </c>
      <c r="P130" s="1570">
        <f t="shared" ref="P130:P166" si="65">IF($O130&lt;0,$O130*-1,0)</f>
        <v>0</v>
      </c>
      <c r="Q130" s="1571">
        <f t="shared" ref="Q130:Q161" si="66">$P130*$G$14*1/12</f>
        <v>0</v>
      </c>
      <c r="AP130" s="576"/>
      <c r="AQ130" s="576"/>
      <c r="AY130" s="877"/>
      <c r="AZ130" s="575"/>
      <c r="BA130" s="575"/>
      <c r="BF130" s="878"/>
      <c r="BG130" s="878"/>
      <c r="BH130" s="575"/>
      <c r="BI130" s="575"/>
    </row>
    <row r="131" spans="2:61" ht="15.75" customHeight="1">
      <c r="B131" s="1572">
        <f t="shared" si="59"/>
        <v>30</v>
      </c>
      <c r="C131" s="1563">
        <f t="shared" si="55"/>
        <v>0</v>
      </c>
      <c r="D131" s="1564"/>
      <c r="E131" s="1565">
        <f t="shared" si="56"/>
        <v>0</v>
      </c>
      <c r="F131" s="1564"/>
      <c r="G131" s="1526">
        <f t="shared" si="60"/>
        <v>0</v>
      </c>
      <c r="H131" s="1564"/>
      <c r="I131" s="1566">
        <f t="shared" si="61"/>
        <v>0</v>
      </c>
      <c r="J131" s="1563">
        <f t="shared" si="62"/>
        <v>0</v>
      </c>
      <c r="K131" s="1526">
        <f t="shared" si="54"/>
        <v>0</v>
      </c>
      <c r="L131" s="1566">
        <f t="shared" si="63"/>
        <v>0</v>
      </c>
      <c r="M131" s="1567">
        <f t="shared" si="64"/>
        <v>0</v>
      </c>
      <c r="N131" s="1568">
        <f t="shared" si="58"/>
        <v>44855766.990423858</v>
      </c>
      <c r="O131" s="1569">
        <f t="shared" si="57"/>
        <v>44855766.990423858</v>
      </c>
      <c r="P131" s="1570">
        <f t="shared" si="65"/>
        <v>0</v>
      </c>
      <c r="Q131" s="1571">
        <f t="shared" si="66"/>
        <v>0</v>
      </c>
      <c r="AP131" s="576"/>
      <c r="AQ131" s="576"/>
      <c r="AY131" s="877"/>
      <c r="AZ131" s="575"/>
      <c r="BA131" s="575"/>
      <c r="BF131" s="878"/>
      <c r="BG131" s="878"/>
      <c r="BH131" s="575"/>
      <c r="BI131" s="575"/>
    </row>
    <row r="132" spans="2:61" ht="15.75" customHeight="1">
      <c r="B132" s="1572">
        <f t="shared" si="59"/>
        <v>31</v>
      </c>
      <c r="C132" s="1563">
        <f t="shared" si="55"/>
        <v>0</v>
      </c>
      <c r="D132" s="1564"/>
      <c r="E132" s="1565">
        <f t="shared" si="56"/>
        <v>0</v>
      </c>
      <c r="F132" s="1564"/>
      <c r="G132" s="1526">
        <f t="shared" si="60"/>
        <v>0</v>
      </c>
      <c r="H132" s="1564"/>
      <c r="I132" s="1566">
        <f t="shared" si="61"/>
        <v>0</v>
      </c>
      <c r="J132" s="1563">
        <f t="shared" si="62"/>
        <v>0</v>
      </c>
      <c r="K132" s="1526">
        <f t="shared" si="54"/>
        <v>0</v>
      </c>
      <c r="L132" s="1566">
        <f t="shared" si="63"/>
        <v>0</v>
      </c>
      <c r="M132" s="1567">
        <f t="shared" si="64"/>
        <v>0</v>
      </c>
      <c r="N132" s="1568">
        <f t="shared" si="58"/>
        <v>44855766.990423858</v>
      </c>
      <c r="O132" s="1569">
        <f t="shared" si="57"/>
        <v>44855766.990423858</v>
      </c>
      <c r="P132" s="1570">
        <f t="shared" si="65"/>
        <v>0</v>
      </c>
      <c r="Q132" s="1571">
        <f t="shared" si="66"/>
        <v>0</v>
      </c>
      <c r="AP132" s="576"/>
      <c r="AQ132" s="576"/>
      <c r="AY132" s="877"/>
      <c r="AZ132" s="575"/>
      <c r="BA132" s="575"/>
      <c r="BF132" s="878"/>
      <c r="BG132" s="878"/>
      <c r="BH132" s="575"/>
      <c r="BI132" s="575"/>
    </row>
    <row r="133" spans="2:61" ht="15.75" customHeight="1">
      <c r="B133" s="1572">
        <f t="shared" si="59"/>
        <v>32</v>
      </c>
      <c r="C133" s="1563">
        <f t="shared" si="55"/>
        <v>0</v>
      </c>
      <c r="D133" s="1564"/>
      <c r="E133" s="1565">
        <f t="shared" si="56"/>
        <v>0</v>
      </c>
      <c r="F133" s="1564"/>
      <c r="G133" s="1526">
        <f t="shared" si="60"/>
        <v>0</v>
      </c>
      <c r="H133" s="1564"/>
      <c r="I133" s="1566">
        <f t="shared" si="61"/>
        <v>0</v>
      </c>
      <c r="J133" s="1563">
        <f t="shared" si="62"/>
        <v>0</v>
      </c>
      <c r="K133" s="1526">
        <f t="shared" si="54"/>
        <v>0</v>
      </c>
      <c r="L133" s="1566">
        <f t="shared" si="63"/>
        <v>0</v>
      </c>
      <c r="M133" s="1567">
        <f t="shared" si="64"/>
        <v>0</v>
      </c>
      <c r="N133" s="1568">
        <f t="shared" si="58"/>
        <v>44855766.990423858</v>
      </c>
      <c r="O133" s="1569">
        <f t="shared" si="57"/>
        <v>44855766.990423858</v>
      </c>
      <c r="P133" s="1570">
        <f t="shared" si="65"/>
        <v>0</v>
      </c>
      <c r="Q133" s="1571">
        <f t="shared" si="66"/>
        <v>0</v>
      </c>
      <c r="AP133" s="576"/>
      <c r="AQ133" s="576"/>
      <c r="AY133" s="877"/>
      <c r="AZ133" s="575"/>
      <c r="BA133" s="575"/>
      <c r="BF133" s="878"/>
      <c r="BG133" s="878"/>
      <c r="BH133" s="575"/>
      <c r="BI133" s="575"/>
    </row>
    <row r="134" spans="2:61" ht="15.75" customHeight="1">
      <c r="B134" s="1572">
        <f t="shared" si="59"/>
        <v>33</v>
      </c>
      <c r="C134" s="1563">
        <f t="shared" ref="C134:C151" si="67">AL58+AN58</f>
        <v>0</v>
      </c>
      <c r="D134" s="1564"/>
      <c r="E134" s="1565">
        <f t="shared" si="56"/>
        <v>0</v>
      </c>
      <c r="F134" s="1564"/>
      <c r="G134" s="1526">
        <f t="shared" si="60"/>
        <v>0</v>
      </c>
      <c r="H134" s="1564"/>
      <c r="I134" s="1566">
        <f t="shared" si="61"/>
        <v>0</v>
      </c>
      <c r="J134" s="1563">
        <f t="shared" si="62"/>
        <v>0</v>
      </c>
      <c r="K134" s="1526">
        <f t="shared" si="54"/>
        <v>0</v>
      </c>
      <c r="L134" s="1566">
        <f t="shared" si="63"/>
        <v>0</v>
      </c>
      <c r="M134" s="1567">
        <f t="shared" si="64"/>
        <v>0</v>
      </c>
      <c r="N134" s="1568">
        <f t="shared" si="58"/>
        <v>44855766.990423858</v>
      </c>
      <c r="O134" s="1569">
        <f t="shared" si="57"/>
        <v>44855766.990423858</v>
      </c>
      <c r="P134" s="1570">
        <f t="shared" si="65"/>
        <v>0</v>
      </c>
      <c r="Q134" s="1571">
        <f t="shared" si="66"/>
        <v>0</v>
      </c>
      <c r="AP134" s="576"/>
      <c r="AQ134" s="576"/>
      <c r="AY134" s="877"/>
      <c r="AZ134" s="575"/>
      <c r="BA134" s="575"/>
      <c r="BF134" s="878"/>
      <c r="BG134" s="878"/>
      <c r="BH134" s="575"/>
      <c r="BI134" s="575"/>
    </row>
    <row r="135" spans="2:61" ht="15.75" customHeight="1">
      <c r="B135" s="1572">
        <f t="shared" si="59"/>
        <v>34</v>
      </c>
      <c r="C135" s="1563">
        <f t="shared" si="67"/>
        <v>0</v>
      </c>
      <c r="D135" s="1564"/>
      <c r="E135" s="1565">
        <f t="shared" si="56"/>
        <v>0</v>
      </c>
      <c r="F135" s="1564"/>
      <c r="G135" s="1526">
        <f t="shared" si="60"/>
        <v>0</v>
      </c>
      <c r="H135" s="1564"/>
      <c r="I135" s="1566">
        <f t="shared" si="61"/>
        <v>0</v>
      </c>
      <c r="J135" s="1563">
        <f t="shared" si="62"/>
        <v>0</v>
      </c>
      <c r="K135" s="1526">
        <f t="shared" si="54"/>
        <v>0</v>
      </c>
      <c r="L135" s="1566">
        <f t="shared" si="63"/>
        <v>0</v>
      </c>
      <c r="M135" s="1567">
        <f t="shared" si="64"/>
        <v>0</v>
      </c>
      <c r="N135" s="1568">
        <f t="shared" si="58"/>
        <v>44855766.990423858</v>
      </c>
      <c r="O135" s="1569">
        <f t="shared" si="57"/>
        <v>44855766.990423858</v>
      </c>
      <c r="P135" s="1570">
        <f t="shared" si="65"/>
        <v>0</v>
      </c>
      <c r="Q135" s="1571">
        <f t="shared" si="66"/>
        <v>0</v>
      </c>
      <c r="AP135" s="576"/>
      <c r="AQ135" s="576"/>
      <c r="AY135" s="877"/>
      <c r="AZ135" s="575"/>
      <c r="BA135" s="575"/>
      <c r="BF135" s="878"/>
      <c r="BG135" s="878"/>
      <c r="BH135" s="575"/>
      <c r="BI135" s="575"/>
    </row>
    <row r="136" spans="2:61" ht="15.75" customHeight="1">
      <c r="B136" s="1572">
        <f t="shared" si="59"/>
        <v>35</v>
      </c>
      <c r="C136" s="1563">
        <f t="shared" si="67"/>
        <v>0</v>
      </c>
      <c r="D136" s="1564"/>
      <c r="E136" s="1565">
        <f t="shared" si="56"/>
        <v>0</v>
      </c>
      <c r="F136" s="1564"/>
      <c r="G136" s="1526">
        <f t="shared" si="60"/>
        <v>0</v>
      </c>
      <c r="H136" s="1564"/>
      <c r="I136" s="1566">
        <f t="shared" si="61"/>
        <v>0</v>
      </c>
      <c r="J136" s="1563">
        <f t="shared" si="62"/>
        <v>0</v>
      </c>
      <c r="K136" s="1526">
        <f t="shared" si="54"/>
        <v>0</v>
      </c>
      <c r="L136" s="1566">
        <f t="shared" si="63"/>
        <v>0</v>
      </c>
      <c r="M136" s="1567">
        <f t="shared" si="64"/>
        <v>0</v>
      </c>
      <c r="N136" s="1568">
        <f t="shared" si="58"/>
        <v>44855766.990423858</v>
      </c>
      <c r="O136" s="1569">
        <f t="shared" si="57"/>
        <v>44855766.990423858</v>
      </c>
      <c r="P136" s="1570">
        <f t="shared" si="65"/>
        <v>0</v>
      </c>
      <c r="Q136" s="1571">
        <f t="shared" si="66"/>
        <v>0</v>
      </c>
      <c r="AP136" s="576"/>
      <c r="AQ136" s="576"/>
      <c r="AY136" s="877"/>
      <c r="AZ136" s="575"/>
      <c r="BA136" s="575"/>
      <c r="BF136" s="878"/>
      <c r="BG136" s="878"/>
      <c r="BH136" s="575"/>
      <c r="BI136" s="575"/>
    </row>
    <row r="137" spans="2:61" ht="15.75" customHeight="1">
      <c r="B137" s="1572">
        <f t="shared" si="59"/>
        <v>36</v>
      </c>
      <c r="C137" s="1563">
        <f t="shared" si="67"/>
        <v>0</v>
      </c>
      <c r="D137" s="1564"/>
      <c r="E137" s="1565">
        <f t="shared" si="56"/>
        <v>0</v>
      </c>
      <c r="F137" s="1564"/>
      <c r="G137" s="1526">
        <f t="shared" si="60"/>
        <v>0</v>
      </c>
      <c r="H137" s="1564"/>
      <c r="I137" s="1566">
        <f t="shared" si="61"/>
        <v>0</v>
      </c>
      <c r="J137" s="1563">
        <f t="shared" si="62"/>
        <v>0</v>
      </c>
      <c r="K137" s="1526">
        <f>Q136*-1</f>
        <v>0</v>
      </c>
      <c r="L137" s="1566">
        <f t="shared" si="63"/>
        <v>0</v>
      </c>
      <c r="M137" s="1567">
        <f t="shared" si="64"/>
        <v>0</v>
      </c>
      <c r="N137" s="1568">
        <f t="shared" si="58"/>
        <v>44855766.990423858</v>
      </c>
      <c r="O137" s="1569">
        <f t="shared" si="57"/>
        <v>44855766.990423858</v>
      </c>
      <c r="P137" s="1570">
        <f t="shared" si="65"/>
        <v>0</v>
      </c>
      <c r="Q137" s="1571">
        <f t="shared" si="66"/>
        <v>0</v>
      </c>
      <c r="AP137" s="576"/>
      <c r="AQ137" s="576"/>
      <c r="AY137" s="877"/>
      <c r="AZ137" s="575"/>
      <c r="BA137" s="575"/>
      <c r="BF137" s="878"/>
      <c r="BG137" s="878"/>
      <c r="BH137" s="575"/>
      <c r="BI137" s="575"/>
    </row>
    <row r="138" spans="2:61" ht="15.75" customHeight="1">
      <c r="B138" s="1572">
        <f t="shared" si="59"/>
        <v>37</v>
      </c>
      <c r="C138" s="1563">
        <f t="shared" si="67"/>
        <v>0</v>
      </c>
      <c r="D138" s="1564"/>
      <c r="E138" s="1565">
        <f t="shared" si="56"/>
        <v>0</v>
      </c>
      <c r="F138" s="1564"/>
      <c r="G138" s="1526">
        <f t="shared" si="60"/>
        <v>0</v>
      </c>
      <c r="H138" s="1564"/>
      <c r="I138" s="1566">
        <f t="shared" si="61"/>
        <v>0</v>
      </c>
      <c r="J138" s="1563">
        <f t="shared" si="62"/>
        <v>0</v>
      </c>
      <c r="K138" s="1526">
        <f t="shared" si="54"/>
        <v>0</v>
      </c>
      <c r="L138" s="1566">
        <f t="shared" si="63"/>
        <v>0</v>
      </c>
      <c r="M138" s="1567">
        <f t="shared" si="64"/>
        <v>0</v>
      </c>
      <c r="N138" s="1568">
        <f t="shared" si="58"/>
        <v>44855766.990423858</v>
      </c>
      <c r="O138" s="1569">
        <f t="shared" si="57"/>
        <v>44855766.990423858</v>
      </c>
      <c r="P138" s="1570">
        <f t="shared" si="65"/>
        <v>0</v>
      </c>
      <c r="Q138" s="1571">
        <f t="shared" si="66"/>
        <v>0</v>
      </c>
      <c r="AP138" s="576"/>
      <c r="AQ138" s="576"/>
      <c r="AY138" s="877"/>
      <c r="AZ138" s="575"/>
      <c r="BA138" s="575"/>
      <c r="BF138" s="878"/>
      <c r="BG138" s="878"/>
      <c r="BH138" s="575"/>
      <c r="BI138" s="575"/>
    </row>
    <row r="139" spans="2:61" ht="15.75" customHeight="1">
      <c r="B139" s="1572">
        <f t="shared" si="59"/>
        <v>38</v>
      </c>
      <c r="C139" s="1563">
        <f t="shared" si="67"/>
        <v>0</v>
      </c>
      <c r="D139" s="1564"/>
      <c r="E139" s="1565">
        <f t="shared" si="56"/>
        <v>0</v>
      </c>
      <c r="F139" s="1564"/>
      <c r="G139" s="1526">
        <f t="shared" si="60"/>
        <v>0</v>
      </c>
      <c r="H139" s="1564"/>
      <c r="I139" s="1566">
        <f t="shared" si="61"/>
        <v>0</v>
      </c>
      <c r="J139" s="1563">
        <f t="shared" si="62"/>
        <v>0</v>
      </c>
      <c r="K139" s="1526">
        <f t="shared" si="54"/>
        <v>0</v>
      </c>
      <c r="L139" s="1566">
        <f t="shared" si="63"/>
        <v>0</v>
      </c>
      <c r="M139" s="1567">
        <f t="shared" si="64"/>
        <v>0</v>
      </c>
      <c r="N139" s="1568">
        <f>O138</f>
        <v>44855766.990423858</v>
      </c>
      <c r="O139" s="1569">
        <f t="shared" si="57"/>
        <v>44855766.990423858</v>
      </c>
      <c r="P139" s="1570">
        <f t="shared" si="65"/>
        <v>0</v>
      </c>
      <c r="Q139" s="1571">
        <f t="shared" si="66"/>
        <v>0</v>
      </c>
      <c r="AP139" s="576"/>
      <c r="AQ139" s="576"/>
      <c r="AY139" s="877"/>
      <c r="AZ139" s="575"/>
      <c r="BA139" s="575"/>
      <c r="BF139" s="878"/>
      <c r="BG139" s="878"/>
      <c r="BH139" s="575"/>
      <c r="BI139" s="575"/>
    </row>
    <row r="140" spans="2:61" ht="15.75" customHeight="1">
      <c r="B140" s="1572">
        <f t="shared" si="59"/>
        <v>39</v>
      </c>
      <c r="C140" s="1563">
        <f t="shared" si="67"/>
        <v>0</v>
      </c>
      <c r="D140" s="1564"/>
      <c r="E140" s="1565">
        <f t="shared" si="56"/>
        <v>0</v>
      </c>
      <c r="F140" s="1564"/>
      <c r="G140" s="1526">
        <f t="shared" si="60"/>
        <v>0</v>
      </c>
      <c r="H140" s="1564"/>
      <c r="I140" s="1566">
        <f t="shared" si="61"/>
        <v>0</v>
      </c>
      <c r="J140" s="1563">
        <f t="shared" si="62"/>
        <v>0</v>
      </c>
      <c r="K140" s="1526">
        <f t="shared" si="54"/>
        <v>0</v>
      </c>
      <c r="L140" s="1566">
        <f t="shared" si="63"/>
        <v>0</v>
      </c>
      <c r="M140" s="1567">
        <f t="shared" si="64"/>
        <v>0</v>
      </c>
      <c r="N140" s="1568">
        <f t="shared" si="58"/>
        <v>44855766.990423858</v>
      </c>
      <c r="O140" s="1569">
        <f t="shared" si="57"/>
        <v>44855766.990423858</v>
      </c>
      <c r="P140" s="1570">
        <f t="shared" si="65"/>
        <v>0</v>
      </c>
      <c r="Q140" s="1571">
        <f t="shared" si="66"/>
        <v>0</v>
      </c>
      <c r="AP140" s="576"/>
      <c r="AQ140" s="576"/>
      <c r="AY140" s="877"/>
      <c r="AZ140" s="575"/>
      <c r="BA140" s="575"/>
      <c r="BF140" s="878"/>
      <c r="BG140" s="878"/>
      <c r="BH140" s="575"/>
      <c r="BI140" s="575"/>
    </row>
    <row r="141" spans="2:61" ht="15.75" customHeight="1">
      <c r="B141" s="1572">
        <f t="shared" si="59"/>
        <v>40</v>
      </c>
      <c r="C141" s="1563">
        <f t="shared" si="67"/>
        <v>0</v>
      </c>
      <c r="D141" s="1564"/>
      <c r="E141" s="1565">
        <f t="shared" si="56"/>
        <v>0</v>
      </c>
      <c r="F141" s="1564"/>
      <c r="G141" s="1526">
        <f t="shared" si="60"/>
        <v>0</v>
      </c>
      <c r="H141" s="1564"/>
      <c r="I141" s="1566">
        <f t="shared" si="61"/>
        <v>0</v>
      </c>
      <c r="J141" s="1563">
        <f t="shared" si="62"/>
        <v>0</v>
      </c>
      <c r="K141" s="1526">
        <f t="shared" si="54"/>
        <v>0</v>
      </c>
      <c r="L141" s="1566">
        <f t="shared" si="63"/>
        <v>0</v>
      </c>
      <c r="M141" s="1567">
        <f t="shared" si="64"/>
        <v>0</v>
      </c>
      <c r="N141" s="1568">
        <f t="shared" si="58"/>
        <v>44855766.990423858</v>
      </c>
      <c r="O141" s="1569">
        <f t="shared" si="57"/>
        <v>44855766.990423858</v>
      </c>
      <c r="P141" s="1570">
        <f t="shared" si="65"/>
        <v>0</v>
      </c>
      <c r="Q141" s="1571">
        <f t="shared" si="66"/>
        <v>0</v>
      </c>
      <c r="AP141" s="576"/>
      <c r="AQ141" s="576"/>
      <c r="AY141" s="877"/>
      <c r="AZ141" s="575"/>
      <c r="BA141" s="575"/>
      <c r="BF141" s="878"/>
      <c r="BG141" s="878"/>
      <c r="BH141" s="575"/>
      <c r="BI141" s="575"/>
    </row>
    <row r="142" spans="2:61" ht="15.75" customHeight="1">
      <c r="B142" s="1572">
        <f t="shared" si="59"/>
        <v>41</v>
      </c>
      <c r="C142" s="1563">
        <f t="shared" si="67"/>
        <v>0</v>
      </c>
      <c r="D142" s="1564"/>
      <c r="E142" s="1565">
        <f t="shared" si="56"/>
        <v>0</v>
      </c>
      <c r="F142" s="1564"/>
      <c r="G142" s="1526">
        <f t="shared" si="60"/>
        <v>0</v>
      </c>
      <c r="H142" s="1564"/>
      <c r="I142" s="1566">
        <f t="shared" si="61"/>
        <v>0</v>
      </c>
      <c r="J142" s="1563">
        <f t="shared" si="62"/>
        <v>0</v>
      </c>
      <c r="K142" s="1526">
        <f t="shared" si="54"/>
        <v>0</v>
      </c>
      <c r="L142" s="1566">
        <f t="shared" si="63"/>
        <v>0</v>
      </c>
      <c r="M142" s="1567">
        <f t="shared" si="64"/>
        <v>0</v>
      </c>
      <c r="N142" s="1568">
        <f t="shared" si="58"/>
        <v>44855766.990423858</v>
      </c>
      <c r="O142" s="1569">
        <f>M142+N142</f>
        <v>44855766.990423858</v>
      </c>
      <c r="P142" s="1570">
        <f t="shared" si="65"/>
        <v>0</v>
      </c>
      <c r="Q142" s="1571">
        <f t="shared" si="66"/>
        <v>0</v>
      </c>
      <c r="AP142" s="576"/>
      <c r="AQ142" s="576"/>
      <c r="AY142" s="877"/>
      <c r="AZ142" s="575"/>
      <c r="BA142" s="575"/>
      <c r="BF142" s="878"/>
      <c r="BG142" s="878"/>
      <c r="BH142" s="575"/>
      <c r="BI142" s="575"/>
    </row>
    <row r="143" spans="2:61" ht="15.75" customHeight="1">
      <c r="B143" s="1572">
        <f t="shared" si="59"/>
        <v>42</v>
      </c>
      <c r="C143" s="1563">
        <f t="shared" si="67"/>
        <v>0</v>
      </c>
      <c r="D143" s="1564"/>
      <c r="E143" s="1565">
        <f t="shared" si="56"/>
        <v>0</v>
      </c>
      <c r="F143" s="1564"/>
      <c r="G143" s="1526">
        <f t="shared" si="60"/>
        <v>0</v>
      </c>
      <c r="H143" s="1564"/>
      <c r="I143" s="1566">
        <f t="shared" si="61"/>
        <v>0</v>
      </c>
      <c r="J143" s="1563">
        <f t="shared" si="62"/>
        <v>0</v>
      </c>
      <c r="K143" s="1526">
        <f t="shared" si="54"/>
        <v>0</v>
      </c>
      <c r="L143" s="1566">
        <f t="shared" si="63"/>
        <v>0</v>
      </c>
      <c r="M143" s="1567">
        <f t="shared" si="64"/>
        <v>0</v>
      </c>
      <c r="N143" s="1568">
        <f>O142</f>
        <v>44855766.990423858</v>
      </c>
      <c r="O143" s="1569">
        <f t="shared" si="57"/>
        <v>44855766.990423858</v>
      </c>
      <c r="P143" s="1570">
        <f t="shared" si="65"/>
        <v>0</v>
      </c>
      <c r="Q143" s="1571">
        <f t="shared" si="66"/>
        <v>0</v>
      </c>
      <c r="AP143" s="576"/>
      <c r="AQ143" s="576"/>
      <c r="AY143" s="877"/>
      <c r="AZ143" s="575"/>
      <c r="BA143" s="575"/>
      <c r="BF143" s="878"/>
      <c r="BG143" s="878"/>
      <c r="BH143" s="575"/>
      <c r="BI143" s="575"/>
    </row>
    <row r="144" spans="2:61" ht="15.75" customHeight="1">
      <c r="B144" s="1572">
        <f t="shared" si="59"/>
        <v>43</v>
      </c>
      <c r="C144" s="1563">
        <f t="shared" si="67"/>
        <v>0</v>
      </c>
      <c r="D144" s="1564"/>
      <c r="E144" s="1565">
        <f t="shared" si="56"/>
        <v>0</v>
      </c>
      <c r="F144" s="1564"/>
      <c r="G144" s="1526">
        <f t="shared" si="60"/>
        <v>0</v>
      </c>
      <c r="H144" s="1564"/>
      <c r="I144" s="1566">
        <f t="shared" si="61"/>
        <v>0</v>
      </c>
      <c r="J144" s="1563">
        <f t="shared" si="62"/>
        <v>0</v>
      </c>
      <c r="K144" s="1526">
        <f t="shared" si="54"/>
        <v>0</v>
      </c>
      <c r="L144" s="1566">
        <f t="shared" si="63"/>
        <v>0</v>
      </c>
      <c r="M144" s="1567">
        <f t="shared" si="64"/>
        <v>0</v>
      </c>
      <c r="N144" s="1568">
        <f t="shared" si="58"/>
        <v>44855766.990423858</v>
      </c>
      <c r="O144" s="1569">
        <f t="shared" si="57"/>
        <v>44855766.990423858</v>
      </c>
      <c r="P144" s="1570">
        <f t="shared" si="65"/>
        <v>0</v>
      </c>
      <c r="Q144" s="1571">
        <f t="shared" si="66"/>
        <v>0</v>
      </c>
      <c r="AP144" s="576"/>
      <c r="AQ144" s="576"/>
      <c r="AY144" s="877"/>
      <c r="AZ144" s="575"/>
      <c r="BA144" s="575"/>
      <c r="BF144" s="878"/>
      <c r="BG144" s="878"/>
      <c r="BH144" s="575"/>
      <c r="BI144" s="575"/>
    </row>
    <row r="145" spans="2:61" ht="15.75" customHeight="1">
      <c r="B145" s="1572">
        <f t="shared" si="59"/>
        <v>44</v>
      </c>
      <c r="C145" s="1563">
        <f t="shared" si="67"/>
        <v>0</v>
      </c>
      <c r="D145" s="1564"/>
      <c r="E145" s="1565">
        <f t="shared" si="56"/>
        <v>0</v>
      </c>
      <c r="F145" s="1564"/>
      <c r="G145" s="1526">
        <f t="shared" si="60"/>
        <v>0</v>
      </c>
      <c r="H145" s="1564"/>
      <c r="I145" s="1566">
        <f t="shared" si="61"/>
        <v>0</v>
      </c>
      <c r="J145" s="1563">
        <f t="shared" si="62"/>
        <v>0</v>
      </c>
      <c r="K145" s="1526">
        <f t="shared" si="54"/>
        <v>0</v>
      </c>
      <c r="L145" s="1566">
        <f t="shared" si="63"/>
        <v>0</v>
      </c>
      <c r="M145" s="1567">
        <f t="shared" si="64"/>
        <v>0</v>
      </c>
      <c r="N145" s="1568">
        <f t="shared" si="58"/>
        <v>44855766.990423858</v>
      </c>
      <c r="O145" s="1569">
        <f t="shared" si="57"/>
        <v>44855766.990423858</v>
      </c>
      <c r="P145" s="1570">
        <f t="shared" si="65"/>
        <v>0</v>
      </c>
      <c r="Q145" s="1571">
        <f t="shared" si="66"/>
        <v>0</v>
      </c>
      <c r="AP145" s="576"/>
      <c r="AQ145" s="576"/>
      <c r="AY145" s="877"/>
      <c r="AZ145" s="575"/>
      <c r="BA145" s="575"/>
      <c r="BF145" s="878"/>
      <c r="BG145" s="878"/>
      <c r="BH145" s="575"/>
      <c r="BI145" s="575"/>
    </row>
    <row r="146" spans="2:61" ht="15.75" customHeight="1">
      <c r="B146" s="1572">
        <f t="shared" si="59"/>
        <v>45</v>
      </c>
      <c r="C146" s="1563">
        <f t="shared" si="67"/>
        <v>0</v>
      </c>
      <c r="D146" s="1564"/>
      <c r="E146" s="1565">
        <f t="shared" si="56"/>
        <v>0</v>
      </c>
      <c r="F146" s="1564"/>
      <c r="G146" s="1526">
        <f t="shared" si="60"/>
        <v>0</v>
      </c>
      <c r="H146" s="1564"/>
      <c r="I146" s="1566">
        <f t="shared" si="61"/>
        <v>0</v>
      </c>
      <c r="J146" s="1563">
        <f t="shared" si="62"/>
        <v>0</v>
      </c>
      <c r="K146" s="1526">
        <f t="shared" si="54"/>
        <v>0</v>
      </c>
      <c r="L146" s="1566">
        <f t="shared" si="63"/>
        <v>0</v>
      </c>
      <c r="M146" s="1567">
        <f t="shared" si="64"/>
        <v>0</v>
      </c>
      <c r="N146" s="1568">
        <f t="shared" si="58"/>
        <v>44855766.990423858</v>
      </c>
      <c r="O146" s="1569">
        <f t="shared" si="57"/>
        <v>44855766.990423858</v>
      </c>
      <c r="P146" s="1570">
        <f t="shared" si="65"/>
        <v>0</v>
      </c>
      <c r="Q146" s="1571">
        <f t="shared" si="66"/>
        <v>0</v>
      </c>
      <c r="AP146" s="576"/>
      <c r="AQ146" s="576"/>
      <c r="AY146" s="877"/>
      <c r="AZ146" s="575"/>
      <c r="BA146" s="575"/>
      <c r="BF146" s="878"/>
      <c r="BG146" s="878"/>
      <c r="BH146" s="575"/>
      <c r="BI146" s="575"/>
    </row>
    <row r="147" spans="2:61" ht="15.75" customHeight="1">
      <c r="B147" s="1572">
        <f t="shared" si="59"/>
        <v>46</v>
      </c>
      <c r="C147" s="1563">
        <f t="shared" si="67"/>
        <v>0</v>
      </c>
      <c r="D147" s="1564"/>
      <c r="E147" s="1565">
        <f t="shared" si="56"/>
        <v>0</v>
      </c>
      <c r="F147" s="1564"/>
      <c r="G147" s="1526">
        <f t="shared" si="60"/>
        <v>0</v>
      </c>
      <c r="H147" s="1564"/>
      <c r="I147" s="1566">
        <f t="shared" si="61"/>
        <v>0</v>
      </c>
      <c r="J147" s="1563">
        <f t="shared" si="62"/>
        <v>0</v>
      </c>
      <c r="K147" s="1526">
        <f t="shared" si="54"/>
        <v>0</v>
      </c>
      <c r="L147" s="1566">
        <f t="shared" si="63"/>
        <v>0</v>
      </c>
      <c r="M147" s="1567">
        <f t="shared" si="64"/>
        <v>0</v>
      </c>
      <c r="N147" s="1568">
        <f t="shared" si="58"/>
        <v>44855766.990423858</v>
      </c>
      <c r="O147" s="1569">
        <f t="shared" si="57"/>
        <v>44855766.990423858</v>
      </c>
      <c r="P147" s="1570">
        <f t="shared" si="65"/>
        <v>0</v>
      </c>
      <c r="Q147" s="1571">
        <f t="shared" si="66"/>
        <v>0</v>
      </c>
      <c r="AP147" s="576"/>
      <c r="AQ147" s="576"/>
      <c r="AY147" s="877"/>
      <c r="AZ147" s="575"/>
      <c r="BA147" s="575"/>
      <c r="BF147" s="878"/>
      <c r="BG147" s="878"/>
      <c r="BH147" s="575"/>
      <c r="BI147" s="575"/>
    </row>
    <row r="148" spans="2:61" ht="15.75" customHeight="1">
      <c r="B148" s="1572">
        <f t="shared" si="59"/>
        <v>47</v>
      </c>
      <c r="C148" s="1563">
        <f t="shared" si="67"/>
        <v>0</v>
      </c>
      <c r="D148" s="1564"/>
      <c r="E148" s="1565">
        <f t="shared" si="56"/>
        <v>0</v>
      </c>
      <c r="F148" s="1564"/>
      <c r="G148" s="1526">
        <f t="shared" si="60"/>
        <v>0</v>
      </c>
      <c r="H148" s="1564"/>
      <c r="I148" s="1566">
        <f t="shared" si="61"/>
        <v>0</v>
      </c>
      <c r="J148" s="1563">
        <f t="shared" si="62"/>
        <v>0</v>
      </c>
      <c r="K148" s="1526">
        <f t="shared" si="54"/>
        <v>0</v>
      </c>
      <c r="L148" s="1566">
        <f t="shared" si="63"/>
        <v>0</v>
      </c>
      <c r="M148" s="1567">
        <f t="shared" si="64"/>
        <v>0</v>
      </c>
      <c r="N148" s="1568">
        <f>O147</f>
        <v>44855766.990423858</v>
      </c>
      <c r="O148" s="1569">
        <f t="shared" si="57"/>
        <v>44855766.990423858</v>
      </c>
      <c r="P148" s="1570">
        <f t="shared" si="65"/>
        <v>0</v>
      </c>
      <c r="Q148" s="1571">
        <f t="shared" si="66"/>
        <v>0</v>
      </c>
      <c r="AP148" s="576"/>
      <c r="AQ148" s="576"/>
      <c r="AY148" s="877"/>
      <c r="AZ148" s="575"/>
      <c r="BA148" s="575"/>
      <c r="BF148" s="878"/>
      <c r="BG148" s="878"/>
      <c r="BH148" s="575"/>
      <c r="BI148" s="575"/>
    </row>
    <row r="149" spans="2:61" ht="15.75" customHeight="1">
      <c r="B149" s="1572">
        <f t="shared" si="59"/>
        <v>48</v>
      </c>
      <c r="C149" s="1563">
        <f t="shared" si="67"/>
        <v>0</v>
      </c>
      <c r="D149" s="1564"/>
      <c r="E149" s="1565">
        <f t="shared" si="56"/>
        <v>0</v>
      </c>
      <c r="F149" s="1564"/>
      <c r="G149" s="1526">
        <f t="shared" si="60"/>
        <v>0</v>
      </c>
      <c r="H149" s="1564"/>
      <c r="I149" s="1566">
        <f t="shared" si="61"/>
        <v>0</v>
      </c>
      <c r="J149" s="1563">
        <f t="shared" si="62"/>
        <v>0</v>
      </c>
      <c r="K149" s="1526">
        <f t="shared" si="54"/>
        <v>0</v>
      </c>
      <c r="L149" s="1566">
        <f t="shared" si="63"/>
        <v>0</v>
      </c>
      <c r="M149" s="1567">
        <f t="shared" si="64"/>
        <v>0</v>
      </c>
      <c r="N149" s="1568">
        <f t="shared" si="58"/>
        <v>44855766.990423858</v>
      </c>
      <c r="O149" s="1569">
        <f t="shared" si="57"/>
        <v>44855766.990423858</v>
      </c>
      <c r="P149" s="1570">
        <f t="shared" si="65"/>
        <v>0</v>
      </c>
      <c r="Q149" s="1571">
        <f t="shared" si="66"/>
        <v>0</v>
      </c>
      <c r="AP149" s="576"/>
      <c r="AQ149" s="576"/>
      <c r="AY149" s="877"/>
      <c r="AZ149" s="575"/>
      <c r="BA149" s="575"/>
      <c r="BF149" s="878"/>
      <c r="BG149" s="878"/>
      <c r="BH149" s="575"/>
      <c r="BI149" s="575"/>
    </row>
    <row r="150" spans="2:61" ht="15.75" customHeight="1">
      <c r="B150" s="1572">
        <f t="shared" si="59"/>
        <v>49</v>
      </c>
      <c r="C150" s="1563">
        <f t="shared" si="67"/>
        <v>0</v>
      </c>
      <c r="D150" s="1564"/>
      <c r="E150" s="1565">
        <f t="shared" si="56"/>
        <v>0</v>
      </c>
      <c r="F150" s="1564"/>
      <c r="G150" s="1526">
        <f t="shared" si="60"/>
        <v>0</v>
      </c>
      <c r="H150" s="1564"/>
      <c r="I150" s="1566">
        <f t="shared" si="61"/>
        <v>0</v>
      </c>
      <c r="J150" s="1563">
        <f t="shared" si="62"/>
        <v>0</v>
      </c>
      <c r="K150" s="1526">
        <f t="shared" si="54"/>
        <v>0</v>
      </c>
      <c r="L150" s="1566">
        <f t="shared" si="63"/>
        <v>0</v>
      </c>
      <c r="M150" s="1567">
        <f t="shared" si="64"/>
        <v>0</v>
      </c>
      <c r="N150" s="1568">
        <f t="shared" si="58"/>
        <v>44855766.990423858</v>
      </c>
      <c r="O150" s="1569">
        <f t="shared" si="57"/>
        <v>44855766.990423858</v>
      </c>
      <c r="P150" s="1570">
        <f t="shared" si="65"/>
        <v>0</v>
      </c>
      <c r="Q150" s="1571">
        <f t="shared" si="66"/>
        <v>0</v>
      </c>
      <c r="AP150" s="576"/>
      <c r="AQ150" s="576"/>
      <c r="AY150" s="877"/>
      <c r="AZ150" s="575"/>
      <c r="BA150" s="575"/>
      <c r="BF150" s="878"/>
      <c r="BG150" s="878"/>
      <c r="BH150" s="575"/>
      <c r="BI150" s="575"/>
    </row>
    <row r="151" spans="2:61" ht="15.75" customHeight="1">
      <c r="B151" s="1572">
        <f t="shared" si="59"/>
        <v>50</v>
      </c>
      <c r="C151" s="1563">
        <f t="shared" si="67"/>
        <v>0</v>
      </c>
      <c r="D151" s="1564"/>
      <c r="E151" s="1565">
        <f t="shared" si="56"/>
        <v>0</v>
      </c>
      <c r="F151" s="1564"/>
      <c r="G151" s="1526">
        <f t="shared" si="60"/>
        <v>0</v>
      </c>
      <c r="H151" s="1564"/>
      <c r="I151" s="1566">
        <f t="shared" si="61"/>
        <v>0</v>
      </c>
      <c r="J151" s="1563">
        <f t="shared" si="62"/>
        <v>0</v>
      </c>
      <c r="K151" s="1526">
        <f>Q150*-1</f>
        <v>0</v>
      </c>
      <c r="L151" s="1566">
        <f t="shared" si="63"/>
        <v>0</v>
      </c>
      <c r="M151" s="1567">
        <f t="shared" si="64"/>
        <v>0</v>
      </c>
      <c r="N151" s="1568">
        <f>O150</f>
        <v>44855766.990423858</v>
      </c>
      <c r="O151" s="1569">
        <f t="shared" si="57"/>
        <v>44855766.990423858</v>
      </c>
      <c r="P151" s="1570">
        <f t="shared" si="65"/>
        <v>0</v>
      </c>
      <c r="Q151" s="1571">
        <f t="shared" si="66"/>
        <v>0</v>
      </c>
      <c r="AP151" s="576"/>
      <c r="AQ151" s="576"/>
      <c r="AY151" s="877"/>
      <c r="AZ151" s="575"/>
      <c r="BA151" s="575"/>
      <c r="BF151" s="878"/>
      <c r="BG151" s="878"/>
      <c r="BH151" s="575"/>
      <c r="BI151" s="575"/>
    </row>
    <row r="152" spans="2:61" ht="15.75" customHeight="1">
      <c r="B152" s="1572">
        <f t="shared" si="59"/>
        <v>51</v>
      </c>
      <c r="C152" s="1563">
        <f t="shared" ref="C152:C166" si="68">AL76-AN76</f>
        <v>0</v>
      </c>
      <c r="D152" s="1564"/>
      <c r="E152" s="1565">
        <f t="shared" si="56"/>
        <v>0</v>
      </c>
      <c r="F152" s="1564"/>
      <c r="G152" s="1526">
        <f t="shared" si="60"/>
        <v>0</v>
      </c>
      <c r="H152" s="1564"/>
      <c r="I152" s="1566">
        <f t="shared" si="61"/>
        <v>0</v>
      </c>
      <c r="J152" s="1563">
        <f t="shared" si="62"/>
        <v>0</v>
      </c>
      <c r="K152" s="1526">
        <f t="shared" si="54"/>
        <v>0</v>
      </c>
      <c r="L152" s="1566">
        <f t="shared" si="63"/>
        <v>0</v>
      </c>
      <c r="M152" s="1567">
        <f t="shared" si="64"/>
        <v>0</v>
      </c>
      <c r="N152" s="1568">
        <f t="shared" si="58"/>
        <v>44855766.990423858</v>
      </c>
      <c r="O152" s="1569">
        <f t="shared" si="57"/>
        <v>44855766.990423858</v>
      </c>
      <c r="P152" s="1570">
        <f t="shared" si="65"/>
        <v>0</v>
      </c>
      <c r="Q152" s="1571">
        <f t="shared" si="66"/>
        <v>0</v>
      </c>
      <c r="AP152" s="576"/>
      <c r="AQ152" s="576"/>
      <c r="AY152" s="877"/>
      <c r="AZ152" s="575"/>
      <c r="BA152" s="575"/>
      <c r="BF152" s="878"/>
      <c r="BG152" s="878"/>
      <c r="BH152" s="575"/>
      <c r="BI152" s="575"/>
    </row>
    <row r="153" spans="2:61" ht="15.75" customHeight="1">
      <c r="B153" s="1572">
        <f t="shared" si="59"/>
        <v>52</v>
      </c>
      <c r="C153" s="1563">
        <f t="shared" si="68"/>
        <v>0</v>
      </c>
      <c r="D153" s="1564"/>
      <c r="E153" s="1565">
        <f t="shared" si="56"/>
        <v>0</v>
      </c>
      <c r="F153" s="1564"/>
      <c r="G153" s="1526">
        <f t="shared" si="60"/>
        <v>0</v>
      </c>
      <c r="H153" s="1564"/>
      <c r="I153" s="1566">
        <f t="shared" si="61"/>
        <v>0</v>
      </c>
      <c r="J153" s="1563">
        <f t="shared" si="62"/>
        <v>0</v>
      </c>
      <c r="K153" s="1526">
        <f t="shared" si="54"/>
        <v>0</v>
      </c>
      <c r="L153" s="1566">
        <f t="shared" si="63"/>
        <v>0</v>
      </c>
      <c r="M153" s="1567">
        <f t="shared" si="64"/>
        <v>0</v>
      </c>
      <c r="N153" s="1568">
        <f t="shared" si="58"/>
        <v>44855766.990423858</v>
      </c>
      <c r="O153" s="1569">
        <f t="shared" si="57"/>
        <v>44855766.990423858</v>
      </c>
      <c r="P153" s="1570">
        <f t="shared" si="65"/>
        <v>0</v>
      </c>
      <c r="Q153" s="1571">
        <f t="shared" si="66"/>
        <v>0</v>
      </c>
      <c r="AP153" s="576"/>
      <c r="AQ153" s="576"/>
      <c r="AY153" s="877"/>
      <c r="AZ153" s="575"/>
      <c r="BA153" s="575"/>
      <c r="BF153" s="878"/>
      <c r="BG153" s="878"/>
      <c r="BH153" s="575"/>
      <c r="BI153" s="575"/>
    </row>
    <row r="154" spans="2:61" ht="15.75" customHeight="1">
      <c r="B154" s="1572">
        <f t="shared" si="59"/>
        <v>53</v>
      </c>
      <c r="C154" s="1563">
        <f t="shared" si="68"/>
        <v>0</v>
      </c>
      <c r="D154" s="1564"/>
      <c r="E154" s="1565">
        <f t="shared" si="56"/>
        <v>0</v>
      </c>
      <c r="F154" s="1564"/>
      <c r="G154" s="1526">
        <f t="shared" si="60"/>
        <v>0</v>
      </c>
      <c r="H154" s="1564"/>
      <c r="I154" s="1566">
        <f t="shared" si="61"/>
        <v>0</v>
      </c>
      <c r="J154" s="1563">
        <f t="shared" si="62"/>
        <v>0</v>
      </c>
      <c r="K154" s="1526">
        <f t="shared" si="54"/>
        <v>0</v>
      </c>
      <c r="L154" s="1566">
        <f t="shared" si="63"/>
        <v>0</v>
      </c>
      <c r="M154" s="1567">
        <f t="shared" si="64"/>
        <v>0</v>
      </c>
      <c r="N154" s="1568">
        <f t="shared" si="58"/>
        <v>44855766.990423858</v>
      </c>
      <c r="O154" s="1569">
        <f t="shared" si="57"/>
        <v>44855766.990423858</v>
      </c>
      <c r="P154" s="1570">
        <f t="shared" si="65"/>
        <v>0</v>
      </c>
      <c r="Q154" s="1571">
        <f t="shared" si="66"/>
        <v>0</v>
      </c>
      <c r="AP154" s="576"/>
      <c r="AQ154" s="576"/>
      <c r="AY154" s="877"/>
      <c r="AZ154" s="575"/>
      <c r="BA154" s="575"/>
      <c r="BF154" s="878"/>
      <c r="BG154" s="878"/>
      <c r="BH154" s="575"/>
      <c r="BI154" s="575"/>
    </row>
    <row r="155" spans="2:61" ht="15.75" customHeight="1">
      <c r="B155" s="1572">
        <f t="shared" si="59"/>
        <v>54</v>
      </c>
      <c r="C155" s="1563">
        <f t="shared" si="68"/>
        <v>0</v>
      </c>
      <c r="D155" s="1564"/>
      <c r="E155" s="1565">
        <f t="shared" si="56"/>
        <v>0</v>
      </c>
      <c r="F155" s="1564"/>
      <c r="G155" s="1526">
        <f t="shared" si="60"/>
        <v>0</v>
      </c>
      <c r="H155" s="1564"/>
      <c r="I155" s="1566">
        <f t="shared" si="61"/>
        <v>0</v>
      </c>
      <c r="J155" s="1563">
        <f t="shared" si="62"/>
        <v>0</v>
      </c>
      <c r="K155" s="1526">
        <f t="shared" si="54"/>
        <v>0</v>
      </c>
      <c r="L155" s="1566">
        <f t="shared" si="63"/>
        <v>0</v>
      </c>
      <c r="M155" s="1567">
        <f t="shared" si="64"/>
        <v>0</v>
      </c>
      <c r="N155" s="1568">
        <f t="shared" si="58"/>
        <v>44855766.990423858</v>
      </c>
      <c r="O155" s="1569">
        <f t="shared" si="57"/>
        <v>44855766.990423858</v>
      </c>
      <c r="P155" s="1570">
        <f t="shared" si="65"/>
        <v>0</v>
      </c>
      <c r="Q155" s="1571">
        <f t="shared" si="66"/>
        <v>0</v>
      </c>
      <c r="AP155" s="576"/>
      <c r="AQ155" s="576"/>
      <c r="AY155" s="877"/>
      <c r="AZ155" s="575"/>
      <c r="BA155" s="575"/>
      <c r="BF155" s="878"/>
      <c r="BG155" s="878"/>
      <c r="BH155" s="575"/>
      <c r="BI155" s="575"/>
    </row>
    <row r="156" spans="2:61" ht="15.75" customHeight="1">
      <c r="B156" s="1572">
        <f t="shared" si="59"/>
        <v>55</v>
      </c>
      <c r="C156" s="1563">
        <f t="shared" si="68"/>
        <v>0</v>
      </c>
      <c r="D156" s="1564"/>
      <c r="E156" s="1565">
        <f t="shared" si="56"/>
        <v>0</v>
      </c>
      <c r="F156" s="1564"/>
      <c r="G156" s="1526">
        <f t="shared" si="60"/>
        <v>0</v>
      </c>
      <c r="H156" s="1564"/>
      <c r="I156" s="1566">
        <f t="shared" si="61"/>
        <v>0</v>
      </c>
      <c r="J156" s="1563">
        <f t="shared" si="62"/>
        <v>0</v>
      </c>
      <c r="K156" s="1526">
        <f t="shared" si="54"/>
        <v>0</v>
      </c>
      <c r="L156" s="1566">
        <f t="shared" si="63"/>
        <v>0</v>
      </c>
      <c r="M156" s="1567">
        <f t="shared" si="64"/>
        <v>0</v>
      </c>
      <c r="N156" s="1568">
        <f t="shared" si="58"/>
        <v>44855766.990423858</v>
      </c>
      <c r="O156" s="1569">
        <f t="shared" si="57"/>
        <v>44855766.990423858</v>
      </c>
      <c r="P156" s="1570">
        <f t="shared" si="65"/>
        <v>0</v>
      </c>
      <c r="Q156" s="1571">
        <f t="shared" si="66"/>
        <v>0</v>
      </c>
      <c r="AP156" s="576"/>
      <c r="AQ156" s="576"/>
      <c r="AY156" s="877"/>
      <c r="AZ156" s="575"/>
      <c r="BA156" s="575"/>
      <c r="BF156" s="878"/>
      <c r="BG156" s="878"/>
      <c r="BH156" s="575"/>
      <c r="BI156" s="575"/>
    </row>
    <row r="157" spans="2:61" ht="15.75" customHeight="1">
      <c r="B157" s="1572">
        <f t="shared" si="59"/>
        <v>56</v>
      </c>
      <c r="C157" s="1563">
        <f t="shared" si="68"/>
        <v>0</v>
      </c>
      <c r="D157" s="1564"/>
      <c r="E157" s="1565">
        <f t="shared" si="56"/>
        <v>0</v>
      </c>
      <c r="F157" s="1564"/>
      <c r="G157" s="1526">
        <f t="shared" si="60"/>
        <v>0</v>
      </c>
      <c r="H157" s="1564"/>
      <c r="I157" s="1566">
        <f t="shared" si="61"/>
        <v>0</v>
      </c>
      <c r="J157" s="1563">
        <f t="shared" si="62"/>
        <v>0</v>
      </c>
      <c r="K157" s="1526">
        <f t="shared" si="54"/>
        <v>0</v>
      </c>
      <c r="L157" s="1566">
        <f t="shared" si="63"/>
        <v>0</v>
      </c>
      <c r="M157" s="1567">
        <f t="shared" si="64"/>
        <v>0</v>
      </c>
      <c r="N157" s="1568">
        <f t="shared" si="58"/>
        <v>44855766.990423858</v>
      </c>
      <c r="O157" s="1569">
        <f t="shared" si="57"/>
        <v>44855766.990423858</v>
      </c>
      <c r="P157" s="1570">
        <f t="shared" si="65"/>
        <v>0</v>
      </c>
      <c r="Q157" s="1571">
        <f t="shared" si="66"/>
        <v>0</v>
      </c>
      <c r="AP157" s="576"/>
      <c r="AQ157" s="576"/>
      <c r="AY157" s="877"/>
      <c r="AZ157" s="575"/>
      <c r="BA157" s="575"/>
      <c r="BF157" s="878"/>
      <c r="BG157" s="878"/>
      <c r="BH157" s="575"/>
      <c r="BI157" s="575"/>
    </row>
    <row r="158" spans="2:61" ht="15.75" customHeight="1">
      <c r="B158" s="1572">
        <f t="shared" si="59"/>
        <v>57</v>
      </c>
      <c r="C158" s="1563">
        <f t="shared" si="68"/>
        <v>0</v>
      </c>
      <c r="D158" s="1564"/>
      <c r="E158" s="1565">
        <f t="shared" si="56"/>
        <v>0</v>
      </c>
      <c r="F158" s="1564"/>
      <c r="G158" s="1526">
        <f t="shared" si="60"/>
        <v>0</v>
      </c>
      <c r="H158" s="1564"/>
      <c r="I158" s="1566">
        <f t="shared" si="61"/>
        <v>0</v>
      </c>
      <c r="J158" s="1563">
        <f t="shared" si="62"/>
        <v>0</v>
      </c>
      <c r="K158" s="1526">
        <f t="shared" si="54"/>
        <v>0</v>
      </c>
      <c r="L158" s="1566">
        <f t="shared" si="63"/>
        <v>0</v>
      </c>
      <c r="M158" s="1567">
        <f t="shared" si="64"/>
        <v>0</v>
      </c>
      <c r="N158" s="1568">
        <f t="shared" si="58"/>
        <v>44855766.990423858</v>
      </c>
      <c r="O158" s="1569">
        <f t="shared" si="57"/>
        <v>44855766.990423858</v>
      </c>
      <c r="P158" s="1570">
        <f t="shared" si="65"/>
        <v>0</v>
      </c>
      <c r="Q158" s="1571">
        <f t="shared" si="66"/>
        <v>0</v>
      </c>
      <c r="AP158" s="576"/>
      <c r="AQ158" s="576"/>
      <c r="AY158" s="877"/>
      <c r="AZ158" s="575"/>
      <c r="BA158" s="575"/>
      <c r="BF158" s="878"/>
      <c r="BG158" s="878"/>
      <c r="BH158" s="575"/>
      <c r="BI158" s="575"/>
    </row>
    <row r="159" spans="2:61" ht="15.75" customHeight="1">
      <c r="B159" s="1572">
        <f t="shared" si="59"/>
        <v>58</v>
      </c>
      <c r="C159" s="1563">
        <f t="shared" si="68"/>
        <v>0</v>
      </c>
      <c r="D159" s="1564"/>
      <c r="E159" s="1565">
        <f t="shared" si="56"/>
        <v>0</v>
      </c>
      <c r="F159" s="1564"/>
      <c r="G159" s="1526">
        <f t="shared" si="60"/>
        <v>0</v>
      </c>
      <c r="H159" s="1564"/>
      <c r="I159" s="1566">
        <f t="shared" si="61"/>
        <v>0</v>
      </c>
      <c r="J159" s="1563">
        <f t="shared" si="62"/>
        <v>0</v>
      </c>
      <c r="K159" s="1526">
        <f t="shared" si="54"/>
        <v>0</v>
      </c>
      <c r="L159" s="1566">
        <f t="shared" si="63"/>
        <v>0</v>
      </c>
      <c r="M159" s="1567">
        <f t="shared" si="64"/>
        <v>0</v>
      </c>
      <c r="N159" s="1568">
        <f t="shared" si="58"/>
        <v>44855766.990423858</v>
      </c>
      <c r="O159" s="1569">
        <f t="shared" si="57"/>
        <v>44855766.990423858</v>
      </c>
      <c r="P159" s="1570">
        <f t="shared" si="65"/>
        <v>0</v>
      </c>
      <c r="Q159" s="1571">
        <f t="shared" si="66"/>
        <v>0</v>
      </c>
      <c r="AP159" s="576"/>
      <c r="AQ159" s="576"/>
      <c r="AY159" s="877"/>
      <c r="AZ159" s="575"/>
      <c r="BA159" s="575"/>
      <c r="BF159" s="878"/>
      <c r="BG159" s="878"/>
      <c r="BH159" s="575"/>
      <c r="BI159" s="575"/>
    </row>
    <row r="160" spans="2:61" ht="15.75" customHeight="1">
      <c r="B160" s="1572">
        <f t="shared" si="59"/>
        <v>59</v>
      </c>
      <c r="C160" s="1563">
        <f t="shared" si="68"/>
        <v>0</v>
      </c>
      <c r="D160" s="1564"/>
      <c r="E160" s="1565">
        <f t="shared" si="56"/>
        <v>0</v>
      </c>
      <c r="F160" s="1564"/>
      <c r="G160" s="1526">
        <f t="shared" si="60"/>
        <v>0</v>
      </c>
      <c r="H160" s="1564"/>
      <c r="I160" s="1566">
        <f t="shared" si="61"/>
        <v>0</v>
      </c>
      <c r="J160" s="1563">
        <f t="shared" si="62"/>
        <v>0</v>
      </c>
      <c r="K160" s="1526">
        <f t="shared" si="54"/>
        <v>0</v>
      </c>
      <c r="L160" s="1566">
        <f t="shared" si="63"/>
        <v>0</v>
      </c>
      <c r="M160" s="1567">
        <f t="shared" si="64"/>
        <v>0</v>
      </c>
      <c r="N160" s="1568">
        <f t="shared" si="58"/>
        <v>44855766.990423858</v>
      </c>
      <c r="O160" s="1569">
        <f t="shared" si="57"/>
        <v>44855766.990423858</v>
      </c>
      <c r="P160" s="1570">
        <f t="shared" si="65"/>
        <v>0</v>
      </c>
      <c r="Q160" s="1571">
        <f t="shared" si="66"/>
        <v>0</v>
      </c>
      <c r="AP160" s="576"/>
      <c r="AQ160" s="576"/>
      <c r="AY160" s="877"/>
      <c r="AZ160" s="575"/>
      <c r="BA160" s="575"/>
      <c r="BF160" s="878"/>
      <c r="BG160" s="878"/>
      <c r="BH160" s="575"/>
      <c r="BI160" s="575"/>
    </row>
    <row r="161" spans="2:61" ht="15.75" customHeight="1">
      <c r="B161" s="1572">
        <f t="shared" si="59"/>
        <v>60</v>
      </c>
      <c r="C161" s="1563">
        <f t="shared" si="68"/>
        <v>0</v>
      </c>
      <c r="D161" s="1564"/>
      <c r="E161" s="1565">
        <f t="shared" si="56"/>
        <v>0</v>
      </c>
      <c r="F161" s="1564"/>
      <c r="G161" s="1526">
        <f t="shared" si="60"/>
        <v>0</v>
      </c>
      <c r="H161" s="1564"/>
      <c r="I161" s="1566">
        <f t="shared" si="61"/>
        <v>0</v>
      </c>
      <c r="J161" s="1563">
        <f t="shared" si="62"/>
        <v>0</v>
      </c>
      <c r="K161" s="1526">
        <f t="shared" si="54"/>
        <v>0</v>
      </c>
      <c r="L161" s="1566">
        <f t="shared" si="63"/>
        <v>0</v>
      </c>
      <c r="M161" s="1567">
        <f t="shared" si="64"/>
        <v>0</v>
      </c>
      <c r="N161" s="1568">
        <f t="shared" si="58"/>
        <v>44855766.990423858</v>
      </c>
      <c r="O161" s="1569">
        <f t="shared" si="57"/>
        <v>44855766.990423858</v>
      </c>
      <c r="P161" s="1570">
        <f t="shared" si="65"/>
        <v>0</v>
      </c>
      <c r="Q161" s="1571">
        <f t="shared" si="66"/>
        <v>0</v>
      </c>
      <c r="R161" s="963"/>
      <c r="AP161" s="576"/>
      <c r="AQ161" s="576"/>
      <c r="AY161" s="877"/>
      <c r="AZ161" s="575"/>
      <c r="BA161" s="575"/>
      <c r="BF161" s="878"/>
      <c r="BG161" s="878"/>
      <c r="BH161" s="575"/>
      <c r="BI161" s="575"/>
    </row>
    <row r="162" spans="2:61" ht="15.75" customHeight="1">
      <c r="B162" s="1572">
        <f t="shared" ref="B162:B166" si="69">B86</f>
        <v>61</v>
      </c>
      <c r="C162" s="1563">
        <f t="shared" si="68"/>
        <v>0</v>
      </c>
      <c r="D162" s="1564"/>
      <c r="E162" s="1565">
        <f t="shared" si="56"/>
        <v>0</v>
      </c>
      <c r="F162" s="1564"/>
      <c r="G162" s="1526">
        <f t="shared" ref="G162:G166" si="70">Y86</f>
        <v>0</v>
      </c>
      <c r="H162" s="1564"/>
      <c r="I162" s="1566">
        <f t="shared" si="61"/>
        <v>0</v>
      </c>
      <c r="J162" s="1563">
        <f t="shared" ref="J162:J166" si="71">U86</f>
        <v>0</v>
      </c>
      <c r="K162" s="1526">
        <f t="shared" si="54"/>
        <v>0</v>
      </c>
      <c r="L162" s="1566">
        <f t="shared" ref="L162:L166" si="72">J162+K162</f>
        <v>0</v>
      </c>
      <c r="M162" s="1567">
        <f t="shared" ref="M162:M166" si="73">I162+L162</f>
        <v>0</v>
      </c>
      <c r="N162" s="1568">
        <f t="shared" si="58"/>
        <v>44855766.990423858</v>
      </c>
      <c r="O162" s="1569">
        <f t="shared" si="57"/>
        <v>44855766.990423858</v>
      </c>
      <c r="P162" s="1570">
        <f t="shared" si="65"/>
        <v>0</v>
      </c>
      <c r="Q162" s="1571"/>
      <c r="AP162" s="576"/>
      <c r="AQ162" s="576"/>
      <c r="AY162" s="877"/>
      <c r="AZ162" s="575"/>
      <c r="BA162" s="575"/>
      <c r="BF162" s="878"/>
      <c r="BG162" s="878"/>
      <c r="BH162" s="575"/>
      <c r="BI162" s="575"/>
    </row>
    <row r="163" spans="2:61" ht="15.75" customHeight="1">
      <c r="B163" s="1572">
        <f t="shared" si="69"/>
        <v>62</v>
      </c>
      <c r="C163" s="1563">
        <f t="shared" si="68"/>
        <v>0</v>
      </c>
      <c r="D163" s="1564"/>
      <c r="E163" s="1565">
        <f t="shared" si="56"/>
        <v>0</v>
      </c>
      <c r="F163" s="1564"/>
      <c r="G163" s="1526">
        <f t="shared" si="70"/>
        <v>0</v>
      </c>
      <c r="H163" s="1564"/>
      <c r="I163" s="1566">
        <f t="shared" si="61"/>
        <v>0</v>
      </c>
      <c r="J163" s="1563">
        <f t="shared" si="71"/>
        <v>0</v>
      </c>
      <c r="K163" s="1526">
        <f t="shared" si="54"/>
        <v>0</v>
      </c>
      <c r="L163" s="1566">
        <f t="shared" si="72"/>
        <v>0</v>
      </c>
      <c r="M163" s="1567">
        <f t="shared" si="73"/>
        <v>0</v>
      </c>
      <c r="N163" s="1568">
        <f t="shared" si="58"/>
        <v>44855766.990423858</v>
      </c>
      <c r="O163" s="1569">
        <f t="shared" si="57"/>
        <v>44855766.990423858</v>
      </c>
      <c r="P163" s="1570">
        <f t="shared" si="65"/>
        <v>0</v>
      </c>
      <c r="Q163" s="1571"/>
      <c r="AP163" s="576"/>
      <c r="AQ163" s="576"/>
      <c r="AY163" s="877"/>
      <c r="AZ163" s="575"/>
      <c r="BA163" s="575"/>
      <c r="BF163" s="878"/>
      <c r="BG163" s="878"/>
      <c r="BH163" s="575"/>
      <c r="BI163" s="575"/>
    </row>
    <row r="164" spans="2:61" ht="15.75" customHeight="1">
      <c r="B164" s="1572">
        <f t="shared" si="69"/>
        <v>63</v>
      </c>
      <c r="C164" s="1563">
        <f t="shared" si="68"/>
        <v>0</v>
      </c>
      <c r="D164" s="1564"/>
      <c r="E164" s="1565">
        <f t="shared" si="56"/>
        <v>0</v>
      </c>
      <c r="F164" s="1564"/>
      <c r="G164" s="1526">
        <f t="shared" si="70"/>
        <v>0</v>
      </c>
      <c r="H164" s="1564"/>
      <c r="I164" s="1566">
        <f t="shared" si="61"/>
        <v>0</v>
      </c>
      <c r="J164" s="1563">
        <f t="shared" si="71"/>
        <v>0</v>
      </c>
      <c r="K164" s="1526">
        <f t="shared" si="54"/>
        <v>0</v>
      </c>
      <c r="L164" s="1566">
        <f t="shared" si="72"/>
        <v>0</v>
      </c>
      <c r="M164" s="1567">
        <f t="shared" si="73"/>
        <v>0</v>
      </c>
      <c r="N164" s="1568">
        <f>O163</f>
        <v>44855766.990423858</v>
      </c>
      <c r="O164" s="1569">
        <f>M164+N164</f>
        <v>44855766.990423858</v>
      </c>
      <c r="P164" s="1570">
        <f t="shared" si="65"/>
        <v>0</v>
      </c>
      <c r="Q164" s="1571"/>
      <c r="AP164" s="576"/>
      <c r="AQ164" s="576"/>
      <c r="AY164" s="877"/>
      <c r="AZ164" s="575"/>
      <c r="BA164" s="575"/>
      <c r="BF164" s="878"/>
      <c r="BG164" s="878"/>
      <c r="BH164" s="575"/>
      <c r="BI164" s="575"/>
    </row>
    <row r="165" spans="2:61" ht="15.75" customHeight="1">
      <c r="B165" s="1572">
        <f t="shared" si="69"/>
        <v>64</v>
      </c>
      <c r="C165" s="1563">
        <f t="shared" si="68"/>
        <v>0</v>
      </c>
      <c r="D165" s="1564"/>
      <c r="E165" s="1565">
        <f t="shared" si="56"/>
        <v>0</v>
      </c>
      <c r="F165" s="1564"/>
      <c r="G165" s="1526">
        <f t="shared" si="70"/>
        <v>0</v>
      </c>
      <c r="H165" s="1564"/>
      <c r="I165" s="1566">
        <f t="shared" si="61"/>
        <v>0</v>
      </c>
      <c r="J165" s="1563">
        <f t="shared" si="71"/>
        <v>0</v>
      </c>
      <c r="K165" s="1526">
        <f>Q164*-1</f>
        <v>0</v>
      </c>
      <c r="L165" s="1566">
        <f t="shared" si="72"/>
        <v>0</v>
      </c>
      <c r="M165" s="1567">
        <f t="shared" si="73"/>
        <v>0</v>
      </c>
      <c r="N165" s="1568">
        <f>O164</f>
        <v>44855766.990423858</v>
      </c>
      <c r="O165" s="1569">
        <f>M165+N165</f>
        <v>44855766.990423858</v>
      </c>
      <c r="P165" s="1570">
        <f t="shared" si="65"/>
        <v>0</v>
      </c>
      <c r="Q165" s="1571"/>
      <c r="AP165" s="576"/>
      <c r="AQ165" s="576"/>
      <c r="AY165" s="877"/>
      <c r="AZ165" s="575"/>
      <c r="BA165" s="575"/>
      <c r="BF165" s="878"/>
      <c r="BG165" s="878"/>
      <c r="BH165" s="575"/>
      <c r="BI165" s="575"/>
    </row>
    <row r="166" spans="2:61" ht="15.75" customHeight="1" thickBot="1">
      <c r="B166" s="1572">
        <f t="shared" si="69"/>
        <v>65</v>
      </c>
      <c r="C166" s="911">
        <f t="shared" si="68"/>
        <v>0</v>
      </c>
      <c r="D166" s="912"/>
      <c r="E166" s="1565">
        <f t="shared" ref="E166" si="74">AB90+W90</f>
        <v>0</v>
      </c>
      <c r="F166" s="912"/>
      <c r="G166" s="913">
        <f t="shared" si="70"/>
        <v>0</v>
      </c>
      <c r="H166" s="912"/>
      <c r="I166" s="914">
        <f t="shared" si="61"/>
        <v>0</v>
      </c>
      <c r="J166" s="911">
        <f t="shared" si="71"/>
        <v>0</v>
      </c>
      <c r="K166" s="913">
        <f>Q165*-1</f>
        <v>0</v>
      </c>
      <c r="L166" s="914">
        <f t="shared" si="72"/>
        <v>0</v>
      </c>
      <c r="M166" s="921">
        <f t="shared" si="73"/>
        <v>0</v>
      </c>
      <c r="N166" s="922">
        <f>O165</f>
        <v>44855766.990423858</v>
      </c>
      <c r="O166" s="923">
        <f>M166+N166</f>
        <v>44855766.990423858</v>
      </c>
      <c r="P166" s="926">
        <f t="shared" si="65"/>
        <v>0</v>
      </c>
      <c r="Q166" s="927"/>
      <c r="AP166" s="576"/>
      <c r="AQ166" s="576"/>
      <c r="AY166" s="877"/>
      <c r="AZ166" s="575"/>
      <c r="BA166" s="575"/>
      <c r="BF166" s="878"/>
      <c r="BG166" s="878"/>
      <c r="BH166" s="575"/>
      <c r="BI166" s="575"/>
    </row>
    <row r="167" spans="2:61" ht="17.25" customHeight="1" thickTop="1" thickBot="1">
      <c r="B167" s="1573"/>
      <c r="C167" s="732">
        <f t="shared" ref="C167:L167" si="75">SUM(C98:C166)</f>
        <v>271835949.54328889</v>
      </c>
      <c r="D167" s="915">
        <f t="shared" si="75"/>
        <v>0</v>
      </c>
      <c r="E167" s="960">
        <f t="shared" si="75"/>
        <v>143403718.8742528</v>
      </c>
      <c r="F167" s="915">
        <f t="shared" si="75"/>
        <v>0</v>
      </c>
      <c r="G167" s="733">
        <f t="shared" si="75"/>
        <v>20000000</v>
      </c>
      <c r="H167" s="915"/>
      <c r="I167" s="916">
        <f t="shared" si="75"/>
        <v>435239668.41754162</v>
      </c>
      <c r="J167" s="732">
        <f t="shared" si="75"/>
        <v>-354359884.957744</v>
      </c>
      <c r="K167" s="733">
        <f t="shared" si="75"/>
        <v>-36024016.469373725</v>
      </c>
      <c r="L167" s="734">
        <f t="shared" si="75"/>
        <v>-390383901.42711759</v>
      </c>
      <c r="M167" s="732">
        <f>SUM(M98:M166)</f>
        <v>44855766.990423858</v>
      </c>
      <c r="N167" s="733"/>
      <c r="O167" s="734"/>
      <c r="P167" s="735">
        <f>SUM(P98:P166)</f>
        <v>4648260189.596611</v>
      </c>
      <c r="Q167" s="735">
        <f>SUM(Q98:Q166)</f>
        <v>36024016.469373725</v>
      </c>
      <c r="AP167" s="576"/>
      <c r="AQ167" s="576"/>
      <c r="AY167" s="877"/>
      <c r="AZ167" s="575"/>
      <c r="BA167" s="575"/>
      <c r="BF167" s="878"/>
      <c r="BG167" s="878"/>
      <c r="BH167" s="575"/>
      <c r="BI167" s="575"/>
    </row>
    <row r="168" spans="2:61" ht="12.75" thickTop="1">
      <c r="AQ168" s="576"/>
      <c r="AZ168" s="877"/>
      <c r="BA168" s="575"/>
      <c r="BG168" s="878"/>
      <c r="BI168" s="575"/>
    </row>
  </sheetData>
  <mergeCells count="167">
    <mergeCell ref="C17:C20"/>
    <mergeCell ref="B17:B20"/>
    <mergeCell ref="AB17:AB20"/>
    <mergeCell ref="AF17:AF20"/>
    <mergeCell ref="AH17:AH20"/>
    <mergeCell ref="AG17:AG20"/>
    <mergeCell ref="I95:I96"/>
    <mergeCell ref="B94:B96"/>
    <mergeCell ref="C94:I94"/>
    <mergeCell ref="J94:L94"/>
    <mergeCell ref="L95:L96"/>
    <mergeCell ref="Q94:Q96"/>
    <mergeCell ref="P94:P96"/>
    <mergeCell ref="O95:O96"/>
    <mergeCell ref="N95:N96"/>
    <mergeCell ref="M95:M96"/>
    <mergeCell ref="M94:O94"/>
    <mergeCell ref="C95:D95"/>
    <mergeCell ref="E95:F95"/>
    <mergeCell ref="G95:H95"/>
    <mergeCell ref="J95:J96"/>
    <mergeCell ref="K95:K96"/>
    <mergeCell ref="W19:W20"/>
    <mergeCell ref="X19:X20"/>
    <mergeCell ref="AH7:AK7"/>
    <mergeCell ref="AH8:AK8"/>
    <mergeCell ref="AH9:AK9"/>
    <mergeCell ref="AH10:AK10"/>
    <mergeCell ref="AH11:AK11"/>
    <mergeCell ref="AH12:AK12"/>
    <mergeCell ref="AH13:AK15"/>
    <mergeCell ref="H4:AL4"/>
    <mergeCell ref="D17:D20"/>
    <mergeCell ref="AA11:AB11"/>
    <mergeCell ref="AA10:AB10"/>
    <mergeCell ref="AA9:AB9"/>
    <mergeCell ref="AA8:AB8"/>
    <mergeCell ref="AA7:AB7"/>
    <mergeCell ref="AA6:AB6"/>
    <mergeCell ref="AA12:AB15"/>
    <mergeCell ref="AC12:AE12"/>
    <mergeCell ref="AC11:AE11"/>
    <mergeCell ref="AC10:AE10"/>
    <mergeCell ref="AC9:AE9"/>
    <mergeCell ref="AC8:AE8"/>
    <mergeCell ref="AC7:AE7"/>
    <mergeCell ref="T12:U12"/>
    <mergeCell ref="T14:U14"/>
    <mergeCell ref="V11:Y11"/>
    <mergeCell ref="V10:X10"/>
    <mergeCell ref="V9:Y9"/>
    <mergeCell ref="V8:Y8"/>
    <mergeCell ref="V7:Y7"/>
    <mergeCell ref="V12:Y15"/>
    <mergeCell ref="Q7:S7"/>
    <mergeCell ref="Q8:S8"/>
    <mergeCell ref="Q9:S9"/>
    <mergeCell ref="Q10:S10"/>
    <mergeCell ref="Q11:S11"/>
    <mergeCell ref="Q12:S12"/>
    <mergeCell ref="Q15:S15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B7:D7"/>
    <mergeCell ref="B8:D8"/>
    <mergeCell ref="B9:D9"/>
    <mergeCell ref="B10:F10"/>
    <mergeCell ref="B11:F11"/>
    <mergeCell ref="B12:F12"/>
    <mergeCell ref="B13:F13"/>
    <mergeCell ref="B14:F14"/>
    <mergeCell ref="B15:F15"/>
    <mergeCell ref="E9:G9"/>
    <mergeCell ref="W5:AA5"/>
    <mergeCell ref="AC5:AL5"/>
    <mergeCell ref="Q6:S6"/>
    <mergeCell ref="W6:Y6"/>
    <mergeCell ref="AC6:AE6"/>
    <mergeCell ref="AH6:AK6"/>
    <mergeCell ref="Q5:U5"/>
    <mergeCell ref="B4:G4"/>
    <mergeCell ref="E5:G5"/>
    <mergeCell ref="H5:J5"/>
    <mergeCell ref="K5:M5"/>
    <mergeCell ref="N5:P5"/>
    <mergeCell ref="B5:D5"/>
    <mergeCell ref="B6:D6"/>
    <mergeCell ref="E6:G6"/>
    <mergeCell ref="H6:I6"/>
    <mergeCell ref="K6:L6"/>
    <mergeCell ref="N6:O6"/>
    <mergeCell ref="AF13:AG15"/>
    <mergeCell ref="E19:E20"/>
    <mergeCell ref="F19:F20"/>
    <mergeCell ref="G19:G20"/>
    <mergeCell ref="H19:H20"/>
    <mergeCell ref="I19:I20"/>
    <mergeCell ref="J19:J20"/>
    <mergeCell ref="K19:K20"/>
    <mergeCell ref="Y18:AA18"/>
    <mergeCell ref="T15:U15"/>
    <mergeCell ref="V17:V20"/>
    <mergeCell ref="Q13:S14"/>
    <mergeCell ref="E17:T17"/>
    <mergeCell ref="U17:U20"/>
    <mergeCell ref="W17:AA17"/>
    <mergeCell ref="AC17:AC20"/>
    <mergeCell ref="AD17:AD20"/>
    <mergeCell ref="R18:R20"/>
    <mergeCell ref="S18:S20"/>
    <mergeCell ref="T18:T20"/>
    <mergeCell ref="W18:X18"/>
    <mergeCell ref="AA19:AA20"/>
    <mergeCell ref="T13:U13"/>
    <mergeCell ref="Z12:Z15"/>
    <mergeCell ref="Y19:Y20"/>
    <mergeCell ref="Z19:Z20"/>
    <mergeCell ref="O18:O20"/>
    <mergeCell ref="P18:Q18"/>
    <mergeCell ref="AI17:AI20"/>
    <mergeCell ref="AJ17:AN17"/>
    <mergeCell ref="AO17:AR17"/>
    <mergeCell ref="AQ18:AQ20"/>
    <mergeCell ref="AE17:AE20"/>
    <mergeCell ref="E18:F18"/>
    <mergeCell ref="G18:H18"/>
    <mergeCell ref="I18:J18"/>
    <mergeCell ref="K18:L18"/>
    <mergeCell ref="M18:M20"/>
    <mergeCell ref="N18:N20"/>
    <mergeCell ref="L19:L20"/>
    <mergeCell ref="P19:P20"/>
    <mergeCell ref="Q19:Q20"/>
    <mergeCell ref="AS17:AS20"/>
    <mergeCell ref="AO18:AO20"/>
    <mergeCell ref="AP18:AP20"/>
    <mergeCell ref="AJ18:AJ20"/>
    <mergeCell ref="AK18:AK20"/>
    <mergeCell ref="AL18:AL20"/>
    <mergeCell ref="AM18:AM20"/>
    <mergeCell ref="AN18:AN20"/>
    <mergeCell ref="AT17:AT20"/>
  </mergeCells>
  <phoneticPr fontId="69"/>
  <pageMargins left="0.70866141732283472" right="0.70866141732283472" top="0.74803149606299213" bottom="0.74803149606299213" header="0.31496062992125984" footer="0.31496062992125984"/>
  <pageSetup paperSize="8" scale="1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showGridLines="0" workbookViewId="0">
      <selection activeCell="I10" sqref="I10"/>
    </sheetView>
  </sheetViews>
  <sheetFormatPr defaultColWidth="22.42578125" defaultRowHeight="30.75" customHeight="1"/>
  <cols>
    <col min="1" max="1" width="2.140625" style="480" customWidth="1"/>
    <col min="2" max="2" width="20.140625" style="480" customWidth="1"/>
    <col min="3" max="3" width="22.140625" style="480" customWidth="1"/>
    <col min="4" max="4" width="26" style="480" customWidth="1"/>
    <col min="5" max="5" width="22.85546875" style="480" customWidth="1"/>
    <col min="6" max="6" width="2.42578125" style="480" customWidth="1"/>
    <col min="7" max="256" width="22.42578125" style="480"/>
    <col min="257" max="257" width="2.140625" style="480" customWidth="1"/>
    <col min="258" max="258" width="20.140625" style="480" customWidth="1"/>
    <col min="259" max="259" width="22.140625" style="480" customWidth="1"/>
    <col min="260" max="260" width="26" style="480" customWidth="1"/>
    <col min="261" max="261" width="22.85546875" style="480" customWidth="1"/>
    <col min="262" max="262" width="2.42578125" style="480" customWidth="1"/>
    <col min="263" max="512" width="22.42578125" style="480"/>
    <col min="513" max="513" width="2.140625" style="480" customWidth="1"/>
    <col min="514" max="514" width="20.140625" style="480" customWidth="1"/>
    <col min="515" max="515" width="22.140625" style="480" customWidth="1"/>
    <col min="516" max="516" width="26" style="480" customWidth="1"/>
    <col min="517" max="517" width="22.85546875" style="480" customWidth="1"/>
    <col min="518" max="518" width="2.42578125" style="480" customWidth="1"/>
    <col min="519" max="768" width="22.42578125" style="480"/>
    <col min="769" max="769" width="2.140625" style="480" customWidth="1"/>
    <col min="770" max="770" width="20.140625" style="480" customWidth="1"/>
    <col min="771" max="771" width="22.140625" style="480" customWidth="1"/>
    <col min="772" max="772" width="26" style="480" customWidth="1"/>
    <col min="773" max="773" width="22.85546875" style="480" customWidth="1"/>
    <col min="774" max="774" width="2.42578125" style="480" customWidth="1"/>
    <col min="775" max="1024" width="22.42578125" style="480"/>
    <col min="1025" max="1025" width="2.140625" style="480" customWidth="1"/>
    <col min="1026" max="1026" width="20.140625" style="480" customWidth="1"/>
    <col min="1027" max="1027" width="22.140625" style="480" customWidth="1"/>
    <col min="1028" max="1028" width="26" style="480" customWidth="1"/>
    <col min="1029" max="1029" width="22.85546875" style="480" customWidth="1"/>
    <col min="1030" max="1030" width="2.42578125" style="480" customWidth="1"/>
    <col min="1031" max="1280" width="22.42578125" style="480"/>
    <col min="1281" max="1281" width="2.140625" style="480" customWidth="1"/>
    <col min="1282" max="1282" width="20.140625" style="480" customWidth="1"/>
    <col min="1283" max="1283" width="22.140625" style="480" customWidth="1"/>
    <col min="1284" max="1284" width="26" style="480" customWidth="1"/>
    <col min="1285" max="1285" width="22.85546875" style="480" customWidth="1"/>
    <col min="1286" max="1286" width="2.42578125" style="480" customWidth="1"/>
    <col min="1287" max="1536" width="22.42578125" style="480"/>
    <col min="1537" max="1537" width="2.140625" style="480" customWidth="1"/>
    <col min="1538" max="1538" width="20.140625" style="480" customWidth="1"/>
    <col min="1539" max="1539" width="22.140625" style="480" customWidth="1"/>
    <col min="1540" max="1540" width="26" style="480" customWidth="1"/>
    <col min="1541" max="1541" width="22.85546875" style="480" customWidth="1"/>
    <col min="1542" max="1542" width="2.42578125" style="480" customWidth="1"/>
    <col min="1543" max="1792" width="22.42578125" style="480"/>
    <col min="1793" max="1793" width="2.140625" style="480" customWidth="1"/>
    <col min="1794" max="1794" width="20.140625" style="480" customWidth="1"/>
    <col min="1795" max="1795" width="22.140625" style="480" customWidth="1"/>
    <col min="1796" max="1796" width="26" style="480" customWidth="1"/>
    <col min="1797" max="1797" width="22.85546875" style="480" customWidth="1"/>
    <col min="1798" max="1798" width="2.42578125" style="480" customWidth="1"/>
    <col min="1799" max="2048" width="22.42578125" style="480"/>
    <col min="2049" max="2049" width="2.140625" style="480" customWidth="1"/>
    <col min="2050" max="2050" width="20.140625" style="480" customWidth="1"/>
    <col min="2051" max="2051" width="22.140625" style="480" customWidth="1"/>
    <col min="2052" max="2052" width="26" style="480" customWidth="1"/>
    <col min="2053" max="2053" width="22.85546875" style="480" customWidth="1"/>
    <col min="2054" max="2054" width="2.42578125" style="480" customWidth="1"/>
    <col min="2055" max="2304" width="22.42578125" style="480"/>
    <col min="2305" max="2305" width="2.140625" style="480" customWidth="1"/>
    <col min="2306" max="2306" width="20.140625" style="480" customWidth="1"/>
    <col min="2307" max="2307" width="22.140625" style="480" customWidth="1"/>
    <col min="2308" max="2308" width="26" style="480" customWidth="1"/>
    <col min="2309" max="2309" width="22.85546875" style="480" customWidth="1"/>
    <col min="2310" max="2310" width="2.42578125" style="480" customWidth="1"/>
    <col min="2311" max="2560" width="22.42578125" style="480"/>
    <col min="2561" max="2561" width="2.140625" style="480" customWidth="1"/>
    <col min="2562" max="2562" width="20.140625" style="480" customWidth="1"/>
    <col min="2563" max="2563" width="22.140625" style="480" customWidth="1"/>
    <col min="2564" max="2564" width="26" style="480" customWidth="1"/>
    <col min="2565" max="2565" width="22.85546875" style="480" customWidth="1"/>
    <col min="2566" max="2566" width="2.42578125" style="480" customWidth="1"/>
    <col min="2567" max="2816" width="22.42578125" style="480"/>
    <col min="2817" max="2817" width="2.140625" style="480" customWidth="1"/>
    <col min="2818" max="2818" width="20.140625" style="480" customWidth="1"/>
    <col min="2819" max="2819" width="22.140625" style="480" customWidth="1"/>
    <col min="2820" max="2820" width="26" style="480" customWidth="1"/>
    <col min="2821" max="2821" width="22.85546875" style="480" customWidth="1"/>
    <col min="2822" max="2822" width="2.42578125" style="480" customWidth="1"/>
    <col min="2823" max="3072" width="22.42578125" style="480"/>
    <col min="3073" max="3073" width="2.140625" style="480" customWidth="1"/>
    <col min="3074" max="3074" width="20.140625" style="480" customWidth="1"/>
    <col min="3075" max="3075" width="22.140625" style="480" customWidth="1"/>
    <col min="3076" max="3076" width="26" style="480" customWidth="1"/>
    <col min="3077" max="3077" width="22.85546875" style="480" customWidth="1"/>
    <col min="3078" max="3078" width="2.42578125" style="480" customWidth="1"/>
    <col min="3079" max="3328" width="22.42578125" style="480"/>
    <col min="3329" max="3329" width="2.140625" style="480" customWidth="1"/>
    <col min="3330" max="3330" width="20.140625" style="480" customWidth="1"/>
    <col min="3331" max="3331" width="22.140625" style="480" customWidth="1"/>
    <col min="3332" max="3332" width="26" style="480" customWidth="1"/>
    <col min="3333" max="3333" width="22.85546875" style="480" customWidth="1"/>
    <col min="3334" max="3334" width="2.42578125" style="480" customWidth="1"/>
    <col min="3335" max="3584" width="22.42578125" style="480"/>
    <col min="3585" max="3585" width="2.140625" style="480" customWidth="1"/>
    <col min="3586" max="3586" width="20.140625" style="480" customWidth="1"/>
    <col min="3587" max="3587" width="22.140625" style="480" customWidth="1"/>
    <col min="3588" max="3588" width="26" style="480" customWidth="1"/>
    <col min="3589" max="3589" width="22.85546875" style="480" customWidth="1"/>
    <col min="3590" max="3590" width="2.42578125" style="480" customWidth="1"/>
    <col min="3591" max="3840" width="22.42578125" style="480"/>
    <col min="3841" max="3841" width="2.140625" style="480" customWidth="1"/>
    <col min="3842" max="3842" width="20.140625" style="480" customWidth="1"/>
    <col min="3843" max="3843" width="22.140625" style="480" customWidth="1"/>
    <col min="3844" max="3844" width="26" style="480" customWidth="1"/>
    <col min="3845" max="3845" width="22.85546875" style="480" customWidth="1"/>
    <col min="3846" max="3846" width="2.42578125" style="480" customWidth="1"/>
    <col min="3847" max="4096" width="22.42578125" style="480"/>
    <col min="4097" max="4097" width="2.140625" style="480" customWidth="1"/>
    <col min="4098" max="4098" width="20.140625" style="480" customWidth="1"/>
    <col min="4099" max="4099" width="22.140625" style="480" customWidth="1"/>
    <col min="4100" max="4100" width="26" style="480" customWidth="1"/>
    <col min="4101" max="4101" width="22.85546875" style="480" customWidth="1"/>
    <col min="4102" max="4102" width="2.42578125" style="480" customWidth="1"/>
    <col min="4103" max="4352" width="22.42578125" style="480"/>
    <col min="4353" max="4353" width="2.140625" style="480" customWidth="1"/>
    <col min="4354" max="4354" width="20.140625" style="480" customWidth="1"/>
    <col min="4355" max="4355" width="22.140625" style="480" customWidth="1"/>
    <col min="4356" max="4356" width="26" style="480" customWidth="1"/>
    <col min="4357" max="4357" width="22.85546875" style="480" customWidth="1"/>
    <col min="4358" max="4358" width="2.42578125" style="480" customWidth="1"/>
    <col min="4359" max="4608" width="22.42578125" style="480"/>
    <col min="4609" max="4609" width="2.140625" style="480" customWidth="1"/>
    <col min="4610" max="4610" width="20.140625" style="480" customWidth="1"/>
    <col min="4611" max="4611" width="22.140625" style="480" customWidth="1"/>
    <col min="4612" max="4612" width="26" style="480" customWidth="1"/>
    <col min="4613" max="4613" width="22.85546875" style="480" customWidth="1"/>
    <col min="4614" max="4614" width="2.42578125" style="480" customWidth="1"/>
    <col min="4615" max="4864" width="22.42578125" style="480"/>
    <col min="4865" max="4865" width="2.140625" style="480" customWidth="1"/>
    <col min="4866" max="4866" width="20.140625" style="480" customWidth="1"/>
    <col min="4867" max="4867" width="22.140625" style="480" customWidth="1"/>
    <col min="4868" max="4868" width="26" style="480" customWidth="1"/>
    <col min="4869" max="4869" width="22.85546875" style="480" customWidth="1"/>
    <col min="4870" max="4870" width="2.42578125" style="480" customWidth="1"/>
    <col min="4871" max="5120" width="22.42578125" style="480"/>
    <col min="5121" max="5121" width="2.140625" style="480" customWidth="1"/>
    <col min="5122" max="5122" width="20.140625" style="480" customWidth="1"/>
    <col min="5123" max="5123" width="22.140625" style="480" customWidth="1"/>
    <col min="5124" max="5124" width="26" style="480" customWidth="1"/>
    <col min="5125" max="5125" width="22.85546875" style="480" customWidth="1"/>
    <col min="5126" max="5126" width="2.42578125" style="480" customWidth="1"/>
    <col min="5127" max="5376" width="22.42578125" style="480"/>
    <col min="5377" max="5377" width="2.140625" style="480" customWidth="1"/>
    <col min="5378" max="5378" width="20.140625" style="480" customWidth="1"/>
    <col min="5379" max="5379" width="22.140625" style="480" customWidth="1"/>
    <col min="5380" max="5380" width="26" style="480" customWidth="1"/>
    <col min="5381" max="5381" width="22.85546875" style="480" customWidth="1"/>
    <col min="5382" max="5382" width="2.42578125" style="480" customWidth="1"/>
    <col min="5383" max="5632" width="22.42578125" style="480"/>
    <col min="5633" max="5633" width="2.140625" style="480" customWidth="1"/>
    <col min="5634" max="5634" width="20.140625" style="480" customWidth="1"/>
    <col min="5635" max="5635" width="22.140625" style="480" customWidth="1"/>
    <col min="5636" max="5636" width="26" style="480" customWidth="1"/>
    <col min="5637" max="5637" width="22.85546875" style="480" customWidth="1"/>
    <col min="5638" max="5638" width="2.42578125" style="480" customWidth="1"/>
    <col min="5639" max="5888" width="22.42578125" style="480"/>
    <col min="5889" max="5889" width="2.140625" style="480" customWidth="1"/>
    <col min="5890" max="5890" width="20.140625" style="480" customWidth="1"/>
    <col min="5891" max="5891" width="22.140625" style="480" customWidth="1"/>
    <col min="5892" max="5892" width="26" style="480" customWidth="1"/>
    <col min="5893" max="5893" width="22.85546875" style="480" customWidth="1"/>
    <col min="5894" max="5894" width="2.42578125" style="480" customWidth="1"/>
    <col min="5895" max="6144" width="22.42578125" style="480"/>
    <col min="6145" max="6145" width="2.140625" style="480" customWidth="1"/>
    <col min="6146" max="6146" width="20.140625" style="480" customWidth="1"/>
    <col min="6147" max="6147" width="22.140625" style="480" customWidth="1"/>
    <col min="6148" max="6148" width="26" style="480" customWidth="1"/>
    <col min="6149" max="6149" width="22.85546875" style="480" customWidth="1"/>
    <col min="6150" max="6150" width="2.42578125" style="480" customWidth="1"/>
    <col min="6151" max="6400" width="22.42578125" style="480"/>
    <col min="6401" max="6401" width="2.140625" style="480" customWidth="1"/>
    <col min="6402" max="6402" width="20.140625" style="480" customWidth="1"/>
    <col min="6403" max="6403" width="22.140625" style="480" customWidth="1"/>
    <col min="6404" max="6404" width="26" style="480" customWidth="1"/>
    <col min="6405" max="6405" width="22.85546875" style="480" customWidth="1"/>
    <col min="6406" max="6406" width="2.42578125" style="480" customWidth="1"/>
    <col min="6407" max="6656" width="22.42578125" style="480"/>
    <col min="6657" max="6657" width="2.140625" style="480" customWidth="1"/>
    <col min="6658" max="6658" width="20.140625" style="480" customWidth="1"/>
    <col min="6659" max="6659" width="22.140625" style="480" customWidth="1"/>
    <col min="6660" max="6660" width="26" style="480" customWidth="1"/>
    <col min="6661" max="6661" width="22.85546875" style="480" customWidth="1"/>
    <col min="6662" max="6662" width="2.42578125" style="480" customWidth="1"/>
    <col min="6663" max="6912" width="22.42578125" style="480"/>
    <col min="6913" max="6913" width="2.140625" style="480" customWidth="1"/>
    <col min="6914" max="6914" width="20.140625" style="480" customWidth="1"/>
    <col min="6915" max="6915" width="22.140625" style="480" customWidth="1"/>
    <col min="6916" max="6916" width="26" style="480" customWidth="1"/>
    <col min="6917" max="6917" width="22.85546875" style="480" customWidth="1"/>
    <col min="6918" max="6918" width="2.42578125" style="480" customWidth="1"/>
    <col min="6919" max="7168" width="22.42578125" style="480"/>
    <col min="7169" max="7169" width="2.140625" style="480" customWidth="1"/>
    <col min="7170" max="7170" width="20.140625" style="480" customWidth="1"/>
    <col min="7171" max="7171" width="22.140625" style="480" customWidth="1"/>
    <col min="7172" max="7172" width="26" style="480" customWidth="1"/>
    <col min="7173" max="7173" width="22.85546875" style="480" customWidth="1"/>
    <col min="7174" max="7174" width="2.42578125" style="480" customWidth="1"/>
    <col min="7175" max="7424" width="22.42578125" style="480"/>
    <col min="7425" max="7425" width="2.140625" style="480" customWidth="1"/>
    <col min="7426" max="7426" width="20.140625" style="480" customWidth="1"/>
    <col min="7427" max="7427" width="22.140625" style="480" customWidth="1"/>
    <col min="7428" max="7428" width="26" style="480" customWidth="1"/>
    <col min="7429" max="7429" width="22.85546875" style="480" customWidth="1"/>
    <col min="7430" max="7430" width="2.42578125" style="480" customWidth="1"/>
    <col min="7431" max="7680" width="22.42578125" style="480"/>
    <col min="7681" max="7681" width="2.140625" style="480" customWidth="1"/>
    <col min="7682" max="7682" width="20.140625" style="480" customWidth="1"/>
    <col min="7683" max="7683" width="22.140625" style="480" customWidth="1"/>
    <col min="7684" max="7684" width="26" style="480" customWidth="1"/>
    <col min="7685" max="7685" width="22.85546875" style="480" customWidth="1"/>
    <col min="7686" max="7686" width="2.42578125" style="480" customWidth="1"/>
    <col min="7687" max="7936" width="22.42578125" style="480"/>
    <col min="7937" max="7937" width="2.140625" style="480" customWidth="1"/>
    <col min="7938" max="7938" width="20.140625" style="480" customWidth="1"/>
    <col min="7939" max="7939" width="22.140625" style="480" customWidth="1"/>
    <col min="7940" max="7940" width="26" style="480" customWidth="1"/>
    <col min="7941" max="7941" width="22.85546875" style="480" customWidth="1"/>
    <col min="7942" max="7942" width="2.42578125" style="480" customWidth="1"/>
    <col min="7943" max="8192" width="22.42578125" style="480"/>
    <col min="8193" max="8193" width="2.140625" style="480" customWidth="1"/>
    <col min="8194" max="8194" width="20.140625" style="480" customWidth="1"/>
    <col min="8195" max="8195" width="22.140625" style="480" customWidth="1"/>
    <col min="8196" max="8196" width="26" style="480" customWidth="1"/>
    <col min="8197" max="8197" width="22.85546875" style="480" customWidth="1"/>
    <col min="8198" max="8198" width="2.42578125" style="480" customWidth="1"/>
    <col min="8199" max="8448" width="22.42578125" style="480"/>
    <col min="8449" max="8449" width="2.140625" style="480" customWidth="1"/>
    <col min="8450" max="8450" width="20.140625" style="480" customWidth="1"/>
    <col min="8451" max="8451" width="22.140625" style="480" customWidth="1"/>
    <col min="8452" max="8452" width="26" style="480" customWidth="1"/>
    <col min="8453" max="8453" width="22.85546875" style="480" customWidth="1"/>
    <col min="8454" max="8454" width="2.42578125" style="480" customWidth="1"/>
    <col min="8455" max="8704" width="22.42578125" style="480"/>
    <col min="8705" max="8705" width="2.140625" style="480" customWidth="1"/>
    <col min="8706" max="8706" width="20.140625" style="480" customWidth="1"/>
    <col min="8707" max="8707" width="22.140625" style="480" customWidth="1"/>
    <col min="8708" max="8708" width="26" style="480" customWidth="1"/>
    <col min="8709" max="8709" width="22.85546875" style="480" customWidth="1"/>
    <col min="8710" max="8710" width="2.42578125" style="480" customWidth="1"/>
    <col min="8711" max="8960" width="22.42578125" style="480"/>
    <col min="8961" max="8961" width="2.140625" style="480" customWidth="1"/>
    <col min="8962" max="8962" width="20.140625" style="480" customWidth="1"/>
    <col min="8963" max="8963" width="22.140625" style="480" customWidth="1"/>
    <col min="8964" max="8964" width="26" style="480" customWidth="1"/>
    <col min="8965" max="8965" width="22.85546875" style="480" customWidth="1"/>
    <col min="8966" max="8966" width="2.42578125" style="480" customWidth="1"/>
    <col min="8967" max="9216" width="22.42578125" style="480"/>
    <col min="9217" max="9217" width="2.140625" style="480" customWidth="1"/>
    <col min="9218" max="9218" width="20.140625" style="480" customWidth="1"/>
    <col min="9219" max="9219" width="22.140625" style="480" customWidth="1"/>
    <col min="9220" max="9220" width="26" style="480" customWidth="1"/>
    <col min="9221" max="9221" width="22.85546875" style="480" customWidth="1"/>
    <col min="9222" max="9222" width="2.42578125" style="480" customWidth="1"/>
    <col min="9223" max="9472" width="22.42578125" style="480"/>
    <col min="9473" max="9473" width="2.140625" style="480" customWidth="1"/>
    <col min="9474" max="9474" width="20.140625" style="480" customWidth="1"/>
    <col min="9475" max="9475" width="22.140625" style="480" customWidth="1"/>
    <col min="9476" max="9476" width="26" style="480" customWidth="1"/>
    <col min="9477" max="9477" width="22.85546875" style="480" customWidth="1"/>
    <col min="9478" max="9478" width="2.42578125" style="480" customWidth="1"/>
    <col min="9479" max="9728" width="22.42578125" style="480"/>
    <col min="9729" max="9729" width="2.140625" style="480" customWidth="1"/>
    <col min="9730" max="9730" width="20.140625" style="480" customWidth="1"/>
    <col min="9731" max="9731" width="22.140625" style="480" customWidth="1"/>
    <col min="9732" max="9732" width="26" style="480" customWidth="1"/>
    <col min="9733" max="9733" width="22.85546875" style="480" customWidth="1"/>
    <col min="9734" max="9734" width="2.42578125" style="480" customWidth="1"/>
    <col min="9735" max="9984" width="22.42578125" style="480"/>
    <col min="9985" max="9985" width="2.140625" style="480" customWidth="1"/>
    <col min="9986" max="9986" width="20.140625" style="480" customWidth="1"/>
    <col min="9987" max="9987" width="22.140625" style="480" customWidth="1"/>
    <col min="9988" max="9988" width="26" style="480" customWidth="1"/>
    <col min="9989" max="9989" width="22.85546875" style="480" customWidth="1"/>
    <col min="9990" max="9990" width="2.42578125" style="480" customWidth="1"/>
    <col min="9991" max="10240" width="22.42578125" style="480"/>
    <col min="10241" max="10241" width="2.140625" style="480" customWidth="1"/>
    <col min="10242" max="10242" width="20.140625" style="480" customWidth="1"/>
    <col min="10243" max="10243" width="22.140625" style="480" customWidth="1"/>
    <col min="10244" max="10244" width="26" style="480" customWidth="1"/>
    <col min="10245" max="10245" width="22.85546875" style="480" customWidth="1"/>
    <col min="10246" max="10246" width="2.42578125" style="480" customWidth="1"/>
    <col min="10247" max="10496" width="22.42578125" style="480"/>
    <col min="10497" max="10497" width="2.140625" style="480" customWidth="1"/>
    <col min="10498" max="10498" width="20.140625" style="480" customWidth="1"/>
    <col min="10499" max="10499" width="22.140625" style="480" customWidth="1"/>
    <col min="10500" max="10500" width="26" style="480" customWidth="1"/>
    <col min="10501" max="10501" width="22.85546875" style="480" customWidth="1"/>
    <col min="10502" max="10502" width="2.42578125" style="480" customWidth="1"/>
    <col min="10503" max="10752" width="22.42578125" style="480"/>
    <col min="10753" max="10753" width="2.140625" style="480" customWidth="1"/>
    <col min="10754" max="10754" width="20.140625" style="480" customWidth="1"/>
    <col min="10755" max="10755" width="22.140625" style="480" customWidth="1"/>
    <col min="10756" max="10756" width="26" style="480" customWidth="1"/>
    <col min="10757" max="10757" width="22.85546875" style="480" customWidth="1"/>
    <col min="10758" max="10758" width="2.42578125" style="480" customWidth="1"/>
    <col min="10759" max="11008" width="22.42578125" style="480"/>
    <col min="11009" max="11009" width="2.140625" style="480" customWidth="1"/>
    <col min="11010" max="11010" width="20.140625" style="480" customWidth="1"/>
    <col min="11011" max="11011" width="22.140625" style="480" customWidth="1"/>
    <col min="11012" max="11012" width="26" style="480" customWidth="1"/>
    <col min="11013" max="11013" width="22.85546875" style="480" customWidth="1"/>
    <col min="11014" max="11014" width="2.42578125" style="480" customWidth="1"/>
    <col min="11015" max="11264" width="22.42578125" style="480"/>
    <col min="11265" max="11265" width="2.140625" style="480" customWidth="1"/>
    <col min="11266" max="11266" width="20.140625" style="480" customWidth="1"/>
    <col min="11267" max="11267" width="22.140625" style="480" customWidth="1"/>
    <col min="11268" max="11268" width="26" style="480" customWidth="1"/>
    <col min="11269" max="11269" width="22.85546875" style="480" customWidth="1"/>
    <col min="11270" max="11270" width="2.42578125" style="480" customWidth="1"/>
    <col min="11271" max="11520" width="22.42578125" style="480"/>
    <col min="11521" max="11521" width="2.140625" style="480" customWidth="1"/>
    <col min="11522" max="11522" width="20.140625" style="480" customWidth="1"/>
    <col min="11523" max="11523" width="22.140625" style="480" customWidth="1"/>
    <col min="11524" max="11524" width="26" style="480" customWidth="1"/>
    <col min="11525" max="11525" width="22.85546875" style="480" customWidth="1"/>
    <col min="11526" max="11526" width="2.42578125" style="480" customWidth="1"/>
    <col min="11527" max="11776" width="22.42578125" style="480"/>
    <col min="11777" max="11777" width="2.140625" style="480" customWidth="1"/>
    <col min="11778" max="11778" width="20.140625" style="480" customWidth="1"/>
    <col min="11779" max="11779" width="22.140625" style="480" customWidth="1"/>
    <col min="11780" max="11780" width="26" style="480" customWidth="1"/>
    <col min="11781" max="11781" width="22.85546875" style="480" customWidth="1"/>
    <col min="11782" max="11782" width="2.42578125" style="480" customWidth="1"/>
    <col min="11783" max="12032" width="22.42578125" style="480"/>
    <col min="12033" max="12033" width="2.140625" style="480" customWidth="1"/>
    <col min="12034" max="12034" width="20.140625" style="480" customWidth="1"/>
    <col min="12035" max="12035" width="22.140625" style="480" customWidth="1"/>
    <col min="12036" max="12036" width="26" style="480" customWidth="1"/>
    <col min="12037" max="12037" width="22.85546875" style="480" customWidth="1"/>
    <col min="12038" max="12038" width="2.42578125" style="480" customWidth="1"/>
    <col min="12039" max="12288" width="22.42578125" style="480"/>
    <col min="12289" max="12289" width="2.140625" style="480" customWidth="1"/>
    <col min="12290" max="12290" width="20.140625" style="480" customWidth="1"/>
    <col min="12291" max="12291" width="22.140625" style="480" customWidth="1"/>
    <col min="12292" max="12292" width="26" style="480" customWidth="1"/>
    <col min="12293" max="12293" width="22.85546875" style="480" customWidth="1"/>
    <col min="12294" max="12294" width="2.42578125" style="480" customWidth="1"/>
    <col min="12295" max="12544" width="22.42578125" style="480"/>
    <col min="12545" max="12545" width="2.140625" style="480" customWidth="1"/>
    <col min="12546" max="12546" width="20.140625" style="480" customWidth="1"/>
    <col min="12547" max="12547" width="22.140625" style="480" customWidth="1"/>
    <col min="12548" max="12548" width="26" style="480" customWidth="1"/>
    <col min="12549" max="12549" width="22.85546875" style="480" customWidth="1"/>
    <col min="12550" max="12550" width="2.42578125" style="480" customWidth="1"/>
    <col min="12551" max="12800" width="22.42578125" style="480"/>
    <col min="12801" max="12801" width="2.140625" style="480" customWidth="1"/>
    <col min="12802" max="12802" width="20.140625" style="480" customWidth="1"/>
    <col min="12803" max="12803" width="22.140625" style="480" customWidth="1"/>
    <col min="12804" max="12804" width="26" style="480" customWidth="1"/>
    <col min="12805" max="12805" width="22.85546875" style="480" customWidth="1"/>
    <col min="12806" max="12806" width="2.42578125" style="480" customWidth="1"/>
    <col min="12807" max="13056" width="22.42578125" style="480"/>
    <col min="13057" max="13057" width="2.140625" style="480" customWidth="1"/>
    <col min="13058" max="13058" width="20.140625" style="480" customWidth="1"/>
    <col min="13059" max="13059" width="22.140625" style="480" customWidth="1"/>
    <col min="13060" max="13060" width="26" style="480" customWidth="1"/>
    <col min="13061" max="13061" width="22.85546875" style="480" customWidth="1"/>
    <col min="13062" max="13062" width="2.42578125" style="480" customWidth="1"/>
    <col min="13063" max="13312" width="22.42578125" style="480"/>
    <col min="13313" max="13313" width="2.140625" style="480" customWidth="1"/>
    <col min="13314" max="13314" width="20.140625" style="480" customWidth="1"/>
    <col min="13315" max="13315" width="22.140625" style="480" customWidth="1"/>
    <col min="13316" max="13316" width="26" style="480" customWidth="1"/>
    <col min="13317" max="13317" width="22.85546875" style="480" customWidth="1"/>
    <col min="13318" max="13318" width="2.42578125" style="480" customWidth="1"/>
    <col min="13319" max="13568" width="22.42578125" style="480"/>
    <col min="13569" max="13569" width="2.140625" style="480" customWidth="1"/>
    <col min="13570" max="13570" width="20.140625" style="480" customWidth="1"/>
    <col min="13571" max="13571" width="22.140625" style="480" customWidth="1"/>
    <col min="13572" max="13572" width="26" style="480" customWidth="1"/>
    <col min="13573" max="13573" width="22.85546875" style="480" customWidth="1"/>
    <col min="13574" max="13574" width="2.42578125" style="480" customWidth="1"/>
    <col min="13575" max="13824" width="22.42578125" style="480"/>
    <col min="13825" max="13825" width="2.140625" style="480" customWidth="1"/>
    <col min="13826" max="13826" width="20.140625" style="480" customWidth="1"/>
    <col min="13827" max="13827" width="22.140625" style="480" customWidth="1"/>
    <col min="13828" max="13828" width="26" style="480" customWidth="1"/>
    <col min="13829" max="13829" width="22.85546875" style="480" customWidth="1"/>
    <col min="13830" max="13830" width="2.42578125" style="480" customWidth="1"/>
    <col min="13831" max="14080" width="22.42578125" style="480"/>
    <col min="14081" max="14081" width="2.140625" style="480" customWidth="1"/>
    <col min="14082" max="14082" width="20.140625" style="480" customWidth="1"/>
    <col min="14083" max="14083" width="22.140625" style="480" customWidth="1"/>
    <col min="14084" max="14084" width="26" style="480" customWidth="1"/>
    <col min="14085" max="14085" width="22.85546875" style="480" customWidth="1"/>
    <col min="14086" max="14086" width="2.42578125" style="480" customWidth="1"/>
    <col min="14087" max="14336" width="22.42578125" style="480"/>
    <col min="14337" max="14337" width="2.140625" style="480" customWidth="1"/>
    <col min="14338" max="14338" width="20.140625" style="480" customWidth="1"/>
    <col min="14339" max="14339" width="22.140625" style="480" customWidth="1"/>
    <col min="14340" max="14340" width="26" style="480" customWidth="1"/>
    <col min="14341" max="14341" width="22.85546875" style="480" customWidth="1"/>
    <col min="14342" max="14342" width="2.42578125" style="480" customWidth="1"/>
    <col min="14343" max="14592" width="22.42578125" style="480"/>
    <col min="14593" max="14593" width="2.140625" style="480" customWidth="1"/>
    <col min="14594" max="14594" width="20.140625" style="480" customWidth="1"/>
    <col min="14595" max="14595" width="22.140625" style="480" customWidth="1"/>
    <col min="14596" max="14596" width="26" style="480" customWidth="1"/>
    <col min="14597" max="14597" width="22.85546875" style="480" customWidth="1"/>
    <col min="14598" max="14598" width="2.42578125" style="480" customWidth="1"/>
    <col min="14599" max="14848" width="22.42578125" style="480"/>
    <col min="14849" max="14849" width="2.140625" style="480" customWidth="1"/>
    <col min="14850" max="14850" width="20.140625" style="480" customWidth="1"/>
    <col min="14851" max="14851" width="22.140625" style="480" customWidth="1"/>
    <col min="14852" max="14852" width="26" style="480" customWidth="1"/>
    <col min="14853" max="14853" width="22.85546875" style="480" customWidth="1"/>
    <col min="14854" max="14854" width="2.42578125" style="480" customWidth="1"/>
    <col min="14855" max="15104" width="22.42578125" style="480"/>
    <col min="15105" max="15105" width="2.140625" style="480" customWidth="1"/>
    <col min="15106" max="15106" width="20.140625" style="480" customWidth="1"/>
    <col min="15107" max="15107" width="22.140625" style="480" customWidth="1"/>
    <col min="15108" max="15108" width="26" style="480" customWidth="1"/>
    <col min="15109" max="15109" width="22.85546875" style="480" customWidth="1"/>
    <col min="15110" max="15110" width="2.42578125" style="480" customWidth="1"/>
    <col min="15111" max="15360" width="22.42578125" style="480"/>
    <col min="15361" max="15361" width="2.140625" style="480" customWidth="1"/>
    <col min="15362" max="15362" width="20.140625" style="480" customWidth="1"/>
    <col min="15363" max="15363" width="22.140625" style="480" customWidth="1"/>
    <col min="15364" max="15364" width="26" style="480" customWidth="1"/>
    <col min="15365" max="15365" width="22.85546875" style="480" customWidth="1"/>
    <col min="15366" max="15366" width="2.42578125" style="480" customWidth="1"/>
    <col min="15367" max="15616" width="22.42578125" style="480"/>
    <col min="15617" max="15617" width="2.140625" style="480" customWidth="1"/>
    <col min="15618" max="15618" width="20.140625" style="480" customWidth="1"/>
    <col min="15619" max="15619" width="22.140625" style="480" customWidth="1"/>
    <col min="15620" max="15620" width="26" style="480" customWidth="1"/>
    <col min="15621" max="15621" width="22.85546875" style="480" customWidth="1"/>
    <col min="15622" max="15622" width="2.42578125" style="480" customWidth="1"/>
    <col min="15623" max="15872" width="22.42578125" style="480"/>
    <col min="15873" max="15873" width="2.140625" style="480" customWidth="1"/>
    <col min="15874" max="15874" width="20.140625" style="480" customWidth="1"/>
    <col min="15875" max="15875" width="22.140625" style="480" customWidth="1"/>
    <col min="15876" max="15876" width="26" style="480" customWidth="1"/>
    <col min="15877" max="15877" width="22.85546875" style="480" customWidth="1"/>
    <col min="15878" max="15878" width="2.42578125" style="480" customWidth="1"/>
    <col min="15879" max="16128" width="22.42578125" style="480"/>
    <col min="16129" max="16129" width="2.140625" style="480" customWidth="1"/>
    <col min="16130" max="16130" width="20.140625" style="480" customWidth="1"/>
    <col min="16131" max="16131" width="22.140625" style="480" customWidth="1"/>
    <col min="16132" max="16132" width="26" style="480" customWidth="1"/>
    <col min="16133" max="16133" width="22.85546875" style="480" customWidth="1"/>
    <col min="16134" max="16134" width="2.42578125" style="480" customWidth="1"/>
    <col min="16135" max="16384" width="22.42578125" style="480"/>
  </cols>
  <sheetData>
    <row r="1" spans="1:6" ht="9.75" customHeight="1" thickBot="1">
      <c r="A1" s="479"/>
      <c r="B1" s="479"/>
      <c r="C1" s="479"/>
      <c r="D1" s="479"/>
      <c r="E1" s="479"/>
      <c r="F1" s="479"/>
    </row>
    <row r="2" spans="1:6" ht="30.75" customHeight="1" thickTop="1" thickBot="1">
      <c r="A2" s="479"/>
      <c r="B2" s="481" t="s">
        <v>362</v>
      </c>
      <c r="C2" s="482"/>
      <c r="D2" s="482"/>
      <c r="E2" s="483"/>
      <c r="F2" s="479"/>
    </row>
    <row r="3" spans="1:6" s="486" customFormat="1" ht="30.75" customHeight="1" thickTop="1" thickBot="1">
      <c r="A3" s="479"/>
      <c r="B3" s="484" t="s">
        <v>363</v>
      </c>
      <c r="C3" s="484" t="s">
        <v>364</v>
      </c>
      <c r="D3" s="484" t="s">
        <v>365</v>
      </c>
      <c r="E3" s="484" t="s">
        <v>366</v>
      </c>
      <c r="F3" s="485"/>
    </row>
    <row r="4" spans="1:6" s="491" customFormat="1" ht="30.75" customHeight="1" thickTop="1" thickBot="1">
      <c r="A4" s="479"/>
      <c r="B4" s="487">
        <v>36</v>
      </c>
      <c r="C4" s="488">
        <v>7.6100000000000001E-2</v>
      </c>
      <c r="D4" s="489" t="s">
        <v>367</v>
      </c>
      <c r="E4" s="490">
        <f>IF(D4="M",12*RATE(B4,-(1*(1+(C4*B4/12)))/B4,1,0,1),IF(D4="B",12*RATE(B4,-(1*(1+(C4*B4/12)))/B4,1,0,0)," "))</f>
        <v>0.14740878049156361</v>
      </c>
      <c r="F4" s="485"/>
    </row>
    <row r="5" spans="1:6" ht="10.5" customHeight="1" thickTop="1" thickBot="1">
      <c r="A5" s="479"/>
      <c r="B5" s="485"/>
      <c r="C5" s="492"/>
      <c r="D5" s="493"/>
      <c r="E5" s="492"/>
      <c r="F5" s="485"/>
    </row>
    <row r="6" spans="1:6" s="497" customFormat="1" ht="30.75" customHeight="1" thickTop="1" thickBot="1">
      <c r="A6" s="479"/>
      <c r="B6" s="494" t="s">
        <v>368</v>
      </c>
      <c r="C6" s="495"/>
      <c r="D6" s="495"/>
      <c r="E6" s="496"/>
      <c r="F6" s="479"/>
    </row>
    <row r="7" spans="1:6" ht="30.75" customHeight="1" thickTop="1" thickBot="1">
      <c r="A7" s="479"/>
      <c r="B7" s="498" t="s">
        <v>363</v>
      </c>
      <c r="C7" s="498" t="s">
        <v>366</v>
      </c>
      <c r="D7" s="498" t="s">
        <v>365</v>
      </c>
      <c r="E7" s="498" t="s">
        <v>364</v>
      </c>
      <c r="F7" s="479"/>
    </row>
    <row r="8" spans="1:6" ht="30.75" customHeight="1" thickTop="1" thickBot="1">
      <c r="A8" s="479"/>
      <c r="B8" s="499">
        <v>36</v>
      </c>
      <c r="C8" s="500">
        <v>0.1575</v>
      </c>
      <c r="D8" s="501" t="s">
        <v>367</v>
      </c>
      <c r="E8" s="502">
        <f>IF(D8="M",(((PMT(C8/12,B8,1,0,1)*(-1))*B8)-1)*12/B8,IF(D8="B",(((PMT(C8/12,B8,1,0,0)*(-1))*B8)-1)*12/B8," "))</f>
        <v>8.1625123511595898E-2</v>
      </c>
      <c r="F8" s="479"/>
    </row>
    <row r="9" spans="1:6" ht="30.75" customHeight="1" thickTop="1">
      <c r="A9" s="479"/>
      <c r="B9" s="479"/>
      <c r="C9" s="479"/>
      <c r="D9" s="479"/>
      <c r="E9" s="479"/>
      <c r="F9" s="479"/>
    </row>
  </sheetData>
  <sheetProtection password="8001" sheet="1" objects="1" scenarios="1"/>
  <phoneticPr fontId="69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M170"/>
  <sheetViews>
    <sheetView topLeftCell="A91" zoomScale="85" zoomScaleNormal="85" workbookViewId="0">
      <selection activeCell="I104" sqref="I104"/>
    </sheetView>
  </sheetViews>
  <sheetFormatPr defaultColWidth="9.140625" defaultRowHeight="12"/>
  <cols>
    <col min="1" max="1" width="4.28515625" style="575" customWidth="1"/>
    <col min="2" max="2" width="10.5703125" style="575" customWidth="1"/>
    <col min="3" max="3" width="12.7109375" style="575" customWidth="1"/>
    <col min="4" max="4" width="15.5703125" style="575" customWidth="1"/>
    <col min="5" max="5" width="15" style="575" bestFit="1" customWidth="1"/>
    <col min="6" max="6" width="13.5703125" style="575" customWidth="1"/>
    <col min="7" max="7" width="11.42578125" style="575" bestFit="1" customWidth="1"/>
    <col min="8" max="8" width="11.28515625" style="575" customWidth="1"/>
    <col min="9" max="9" width="15.28515625" style="575" bestFit="1" customWidth="1"/>
    <col min="10" max="10" width="11.85546875" style="575" customWidth="1"/>
    <col min="11" max="11" width="19.140625" style="575" customWidth="1"/>
    <col min="12" max="12" width="15" style="575" customWidth="1"/>
    <col min="13" max="13" width="15.28515625" style="575" customWidth="1"/>
    <col min="14" max="16" width="18.85546875" style="575" customWidth="1"/>
    <col min="17" max="17" width="12.7109375" style="575" customWidth="1"/>
    <col min="18" max="18" width="13.7109375" style="575" customWidth="1"/>
    <col min="19" max="19" width="16.140625" style="575" customWidth="1"/>
    <col min="20" max="20" width="17" style="575" customWidth="1"/>
    <col min="21" max="21" width="15" style="575" customWidth="1"/>
    <col min="22" max="22" width="14.28515625" style="575" customWidth="1"/>
    <col min="23" max="23" width="14.85546875" style="575" customWidth="1"/>
    <col min="24" max="24" width="17.140625" style="575" customWidth="1"/>
    <col min="25" max="25" width="13.5703125" style="575" customWidth="1"/>
    <col min="26" max="27" width="14.85546875" style="575" customWidth="1"/>
    <col min="28" max="28" width="18.85546875" style="575" customWidth="1"/>
    <col min="29" max="29" width="19.42578125" style="575" customWidth="1"/>
    <col min="30" max="30" width="16.140625" style="575" customWidth="1"/>
    <col min="31" max="31" width="14.5703125" style="575" customWidth="1"/>
    <col min="32" max="32" width="20.28515625" style="575" customWidth="1"/>
    <col min="33" max="33" width="13.85546875" style="575" customWidth="1"/>
    <col min="34" max="34" width="19.140625" style="575" customWidth="1"/>
    <col min="35" max="35" width="19.7109375" style="575" customWidth="1"/>
    <col min="36" max="36" width="16.5703125" style="575" customWidth="1"/>
    <col min="37" max="37" width="19.140625" style="575" customWidth="1"/>
    <col min="38" max="38" width="16.5703125" style="575" customWidth="1"/>
    <col min="39" max="41" width="19" style="575" customWidth="1"/>
    <col min="42" max="42" width="19" style="683" customWidth="1"/>
    <col min="43" max="44" width="19" style="576" customWidth="1"/>
    <col min="45" max="45" width="19" style="577" customWidth="1"/>
    <col min="46" max="46" width="19" style="576" customWidth="1"/>
    <col min="47" max="47" width="6.28515625" style="576" bestFit="1" customWidth="1"/>
    <col min="48" max="50" width="13.140625" style="576" customWidth="1"/>
    <col min="51" max="51" width="16.42578125" style="576" customWidth="1"/>
    <col min="52" max="52" width="13.140625" style="576" customWidth="1"/>
    <col min="53" max="53" width="15.28515625" style="576" customWidth="1"/>
    <col min="54" max="54" width="14" style="576" bestFit="1" customWidth="1"/>
    <col min="55" max="55" width="17.140625" style="582" customWidth="1"/>
    <col min="56" max="61" width="16.5703125" style="575" customWidth="1"/>
    <col min="62" max="62" width="16.5703125" style="583" customWidth="1"/>
    <col min="63" max="63" width="16.5703125" style="584" customWidth="1"/>
    <col min="64" max="77" width="16.5703125" style="575" customWidth="1"/>
    <col min="78" max="78" width="20.140625" style="575" customWidth="1"/>
    <col min="79" max="79" width="13.28515625" style="575" customWidth="1"/>
    <col min="80" max="80" width="14.85546875" style="575" customWidth="1"/>
    <col min="81" max="81" width="13.85546875" style="575" customWidth="1"/>
    <col min="82" max="82" width="13.5703125" style="575" customWidth="1"/>
    <col min="83" max="83" width="13" style="575" customWidth="1"/>
    <col min="84" max="84" width="13.5703125" style="575" customWidth="1"/>
    <col min="85" max="85" width="7.7109375" style="575" bestFit="1" customWidth="1"/>
    <col min="86" max="255" width="9.140625" style="575"/>
    <col min="256" max="256" width="4.28515625" style="575" customWidth="1"/>
    <col min="257" max="257" width="10.140625" style="575" customWidth="1"/>
    <col min="258" max="258" width="8.85546875" style="575" customWidth="1"/>
    <col min="259" max="259" width="11.140625" style="575" customWidth="1"/>
    <col min="260" max="260" width="15" style="575" bestFit="1" customWidth="1"/>
    <col min="261" max="261" width="13.5703125" style="575" customWidth="1"/>
    <col min="262" max="262" width="11.42578125" style="575" bestFit="1" customWidth="1"/>
    <col min="263" max="263" width="11.28515625" style="575" customWidth="1"/>
    <col min="264" max="264" width="15.28515625" style="575" bestFit="1" customWidth="1"/>
    <col min="265" max="267" width="11.85546875" style="575" customWidth="1"/>
    <col min="268" max="268" width="19.140625" style="575" customWidth="1"/>
    <col min="269" max="269" width="15" style="575" customWidth="1"/>
    <col min="270" max="270" width="15.28515625" style="575" customWidth="1"/>
    <col min="271" max="273" width="18.85546875" style="575" customWidth="1"/>
    <col min="274" max="274" width="12.7109375" style="575" customWidth="1"/>
    <col min="275" max="275" width="13.7109375" style="575" customWidth="1"/>
    <col min="276" max="276" width="16.140625" style="575" customWidth="1"/>
    <col min="277" max="277" width="17" style="575" customWidth="1"/>
    <col min="278" max="278" width="15" style="575" customWidth="1"/>
    <col min="279" max="279" width="14.28515625" style="575" customWidth="1"/>
    <col min="280" max="280" width="14.85546875" style="575" customWidth="1"/>
    <col min="281" max="281" width="17.140625" style="575" customWidth="1"/>
    <col min="282" max="282" width="13.5703125" style="575" customWidth="1"/>
    <col min="283" max="284" width="14.85546875" style="575" customWidth="1"/>
    <col min="285" max="285" width="18.85546875" style="575" customWidth="1"/>
    <col min="286" max="286" width="19.42578125" style="575" customWidth="1"/>
    <col min="287" max="287" width="16.140625" style="575" customWidth="1"/>
    <col min="288" max="288" width="14.5703125" style="575" customWidth="1"/>
    <col min="289" max="289" width="20.28515625" style="575" customWidth="1"/>
    <col min="290" max="290" width="13.85546875" style="575" customWidth="1"/>
    <col min="291" max="291" width="19.140625" style="575" customWidth="1"/>
    <col min="292" max="292" width="19.7109375" style="575" customWidth="1"/>
    <col min="293" max="293" width="16.5703125" style="575" customWidth="1"/>
    <col min="294" max="294" width="19.140625" style="575" customWidth="1"/>
    <col min="295" max="297" width="16.5703125" style="575" customWidth="1"/>
    <col min="298" max="298" width="15.7109375" style="575" customWidth="1"/>
    <col min="299" max="299" width="19.42578125" style="575" customWidth="1"/>
    <col min="300" max="300" width="14.85546875" style="575" bestFit="1" customWidth="1"/>
    <col min="301" max="301" width="13.7109375" style="575" bestFit="1" customWidth="1"/>
    <col min="302" max="302" width="13" style="575" customWidth="1"/>
    <col min="303" max="303" width="18.42578125" style="575" customWidth="1"/>
    <col min="304" max="306" width="13.140625" style="575" customWidth="1"/>
    <col min="307" max="307" width="16.42578125" style="575" customWidth="1"/>
    <col min="308" max="308" width="13.140625" style="575" customWidth="1"/>
    <col min="309" max="309" width="15.28515625" style="575" customWidth="1"/>
    <col min="310" max="310" width="14" style="575" bestFit="1" customWidth="1"/>
    <col min="311" max="311" width="17.140625" style="575" customWidth="1"/>
    <col min="312" max="333" width="16.5703125" style="575" customWidth="1"/>
    <col min="334" max="334" width="20.140625" style="575" customWidth="1"/>
    <col min="335" max="335" width="13.28515625" style="575" customWidth="1"/>
    <col min="336" max="336" width="14.85546875" style="575" customWidth="1"/>
    <col min="337" max="337" width="13.85546875" style="575" customWidth="1"/>
    <col min="338" max="338" width="13.5703125" style="575" customWidth="1"/>
    <col min="339" max="339" width="13" style="575" customWidth="1"/>
    <col min="340" max="340" width="13.5703125" style="575" customWidth="1"/>
    <col min="341" max="341" width="7.7109375" style="575" bestFit="1" customWidth="1"/>
    <col min="342" max="511" width="9.140625" style="575"/>
    <col min="512" max="512" width="4.28515625" style="575" customWidth="1"/>
    <col min="513" max="513" width="10.140625" style="575" customWidth="1"/>
    <col min="514" max="514" width="8.85546875" style="575" customWidth="1"/>
    <col min="515" max="515" width="11.140625" style="575" customWidth="1"/>
    <col min="516" max="516" width="15" style="575" bestFit="1" customWidth="1"/>
    <col min="517" max="517" width="13.5703125" style="575" customWidth="1"/>
    <col min="518" max="518" width="11.42578125" style="575" bestFit="1" customWidth="1"/>
    <col min="519" max="519" width="11.28515625" style="575" customWidth="1"/>
    <col min="520" max="520" width="15.28515625" style="575" bestFit="1" customWidth="1"/>
    <col min="521" max="523" width="11.85546875" style="575" customWidth="1"/>
    <col min="524" max="524" width="19.140625" style="575" customWidth="1"/>
    <col min="525" max="525" width="15" style="575" customWidth="1"/>
    <col min="526" max="526" width="15.28515625" style="575" customWidth="1"/>
    <col min="527" max="529" width="18.85546875" style="575" customWidth="1"/>
    <col min="530" max="530" width="12.7109375" style="575" customWidth="1"/>
    <col min="531" max="531" width="13.7109375" style="575" customWidth="1"/>
    <col min="532" max="532" width="16.140625" style="575" customWidth="1"/>
    <col min="533" max="533" width="17" style="575" customWidth="1"/>
    <col min="534" max="534" width="15" style="575" customWidth="1"/>
    <col min="535" max="535" width="14.28515625" style="575" customWidth="1"/>
    <col min="536" max="536" width="14.85546875" style="575" customWidth="1"/>
    <col min="537" max="537" width="17.140625" style="575" customWidth="1"/>
    <col min="538" max="538" width="13.5703125" style="575" customWidth="1"/>
    <col min="539" max="540" width="14.85546875" style="575" customWidth="1"/>
    <col min="541" max="541" width="18.85546875" style="575" customWidth="1"/>
    <col min="542" max="542" width="19.42578125" style="575" customWidth="1"/>
    <col min="543" max="543" width="16.140625" style="575" customWidth="1"/>
    <col min="544" max="544" width="14.5703125" style="575" customWidth="1"/>
    <col min="545" max="545" width="20.28515625" style="575" customWidth="1"/>
    <col min="546" max="546" width="13.85546875" style="575" customWidth="1"/>
    <col min="547" max="547" width="19.140625" style="575" customWidth="1"/>
    <col min="548" max="548" width="19.7109375" style="575" customWidth="1"/>
    <col min="549" max="549" width="16.5703125" style="575" customWidth="1"/>
    <col min="550" max="550" width="19.140625" style="575" customWidth="1"/>
    <col min="551" max="553" width="16.5703125" style="575" customWidth="1"/>
    <col min="554" max="554" width="15.7109375" style="575" customWidth="1"/>
    <col min="555" max="555" width="19.42578125" style="575" customWidth="1"/>
    <col min="556" max="556" width="14.85546875" style="575" bestFit="1" customWidth="1"/>
    <col min="557" max="557" width="13.7109375" style="575" bestFit="1" customWidth="1"/>
    <col min="558" max="558" width="13" style="575" customWidth="1"/>
    <col min="559" max="559" width="18.42578125" style="575" customWidth="1"/>
    <col min="560" max="562" width="13.140625" style="575" customWidth="1"/>
    <col min="563" max="563" width="16.42578125" style="575" customWidth="1"/>
    <col min="564" max="564" width="13.140625" style="575" customWidth="1"/>
    <col min="565" max="565" width="15.28515625" style="575" customWidth="1"/>
    <col min="566" max="566" width="14" style="575" bestFit="1" customWidth="1"/>
    <col min="567" max="567" width="17.140625" style="575" customWidth="1"/>
    <col min="568" max="589" width="16.5703125" style="575" customWidth="1"/>
    <col min="590" max="590" width="20.140625" style="575" customWidth="1"/>
    <col min="591" max="591" width="13.28515625" style="575" customWidth="1"/>
    <col min="592" max="592" width="14.85546875" style="575" customWidth="1"/>
    <col min="593" max="593" width="13.85546875" style="575" customWidth="1"/>
    <col min="594" max="594" width="13.5703125" style="575" customWidth="1"/>
    <col min="595" max="595" width="13" style="575" customWidth="1"/>
    <col min="596" max="596" width="13.5703125" style="575" customWidth="1"/>
    <col min="597" max="597" width="7.7109375" style="575" bestFit="1" customWidth="1"/>
    <col min="598" max="767" width="9.140625" style="575"/>
    <col min="768" max="768" width="4.28515625" style="575" customWidth="1"/>
    <col min="769" max="769" width="10.140625" style="575" customWidth="1"/>
    <col min="770" max="770" width="8.85546875" style="575" customWidth="1"/>
    <col min="771" max="771" width="11.140625" style="575" customWidth="1"/>
    <col min="772" max="772" width="15" style="575" bestFit="1" customWidth="1"/>
    <col min="773" max="773" width="13.5703125" style="575" customWidth="1"/>
    <col min="774" max="774" width="11.42578125" style="575" bestFit="1" customWidth="1"/>
    <col min="775" max="775" width="11.28515625" style="575" customWidth="1"/>
    <col min="776" max="776" width="15.28515625" style="575" bestFit="1" customWidth="1"/>
    <col min="777" max="779" width="11.85546875" style="575" customWidth="1"/>
    <col min="780" max="780" width="19.140625" style="575" customWidth="1"/>
    <col min="781" max="781" width="15" style="575" customWidth="1"/>
    <col min="782" max="782" width="15.28515625" style="575" customWidth="1"/>
    <col min="783" max="785" width="18.85546875" style="575" customWidth="1"/>
    <col min="786" max="786" width="12.7109375" style="575" customWidth="1"/>
    <col min="787" max="787" width="13.7109375" style="575" customWidth="1"/>
    <col min="788" max="788" width="16.140625" style="575" customWidth="1"/>
    <col min="789" max="789" width="17" style="575" customWidth="1"/>
    <col min="790" max="790" width="15" style="575" customWidth="1"/>
    <col min="791" max="791" width="14.28515625" style="575" customWidth="1"/>
    <col min="792" max="792" width="14.85546875" style="575" customWidth="1"/>
    <col min="793" max="793" width="17.140625" style="575" customWidth="1"/>
    <col min="794" max="794" width="13.5703125" style="575" customWidth="1"/>
    <col min="795" max="796" width="14.85546875" style="575" customWidth="1"/>
    <col min="797" max="797" width="18.85546875" style="575" customWidth="1"/>
    <col min="798" max="798" width="19.42578125" style="575" customWidth="1"/>
    <col min="799" max="799" width="16.140625" style="575" customWidth="1"/>
    <col min="800" max="800" width="14.5703125" style="575" customWidth="1"/>
    <col min="801" max="801" width="20.28515625" style="575" customWidth="1"/>
    <col min="802" max="802" width="13.85546875" style="575" customWidth="1"/>
    <col min="803" max="803" width="19.140625" style="575" customWidth="1"/>
    <col min="804" max="804" width="19.7109375" style="575" customWidth="1"/>
    <col min="805" max="805" width="16.5703125" style="575" customWidth="1"/>
    <col min="806" max="806" width="19.140625" style="575" customWidth="1"/>
    <col min="807" max="809" width="16.5703125" style="575" customWidth="1"/>
    <col min="810" max="810" width="15.7109375" style="575" customWidth="1"/>
    <col min="811" max="811" width="19.42578125" style="575" customWidth="1"/>
    <col min="812" max="812" width="14.85546875" style="575" bestFit="1" customWidth="1"/>
    <col min="813" max="813" width="13.7109375" style="575" bestFit="1" customWidth="1"/>
    <col min="814" max="814" width="13" style="575" customWidth="1"/>
    <col min="815" max="815" width="18.42578125" style="575" customWidth="1"/>
    <col min="816" max="818" width="13.140625" style="575" customWidth="1"/>
    <col min="819" max="819" width="16.42578125" style="575" customWidth="1"/>
    <col min="820" max="820" width="13.140625" style="575" customWidth="1"/>
    <col min="821" max="821" width="15.28515625" style="575" customWidth="1"/>
    <col min="822" max="822" width="14" style="575" bestFit="1" customWidth="1"/>
    <col min="823" max="823" width="17.140625" style="575" customWidth="1"/>
    <col min="824" max="845" width="16.5703125" style="575" customWidth="1"/>
    <col min="846" max="846" width="20.140625" style="575" customWidth="1"/>
    <col min="847" max="847" width="13.28515625" style="575" customWidth="1"/>
    <col min="848" max="848" width="14.85546875" style="575" customWidth="1"/>
    <col min="849" max="849" width="13.85546875" style="575" customWidth="1"/>
    <col min="850" max="850" width="13.5703125" style="575" customWidth="1"/>
    <col min="851" max="851" width="13" style="575" customWidth="1"/>
    <col min="852" max="852" width="13.5703125" style="575" customWidth="1"/>
    <col min="853" max="853" width="7.7109375" style="575" bestFit="1" customWidth="1"/>
    <col min="854" max="1023" width="9.140625" style="575"/>
    <col min="1024" max="1024" width="4.28515625" style="575" customWidth="1"/>
    <col min="1025" max="1025" width="10.140625" style="575" customWidth="1"/>
    <col min="1026" max="1026" width="8.85546875" style="575" customWidth="1"/>
    <col min="1027" max="1027" width="11.140625" style="575" customWidth="1"/>
    <col min="1028" max="1028" width="15" style="575" bestFit="1" customWidth="1"/>
    <col min="1029" max="1029" width="13.5703125" style="575" customWidth="1"/>
    <col min="1030" max="1030" width="11.42578125" style="575" bestFit="1" customWidth="1"/>
    <col min="1031" max="1031" width="11.28515625" style="575" customWidth="1"/>
    <col min="1032" max="1032" width="15.28515625" style="575" bestFit="1" customWidth="1"/>
    <col min="1033" max="1035" width="11.85546875" style="575" customWidth="1"/>
    <col min="1036" max="1036" width="19.140625" style="575" customWidth="1"/>
    <col min="1037" max="1037" width="15" style="575" customWidth="1"/>
    <col min="1038" max="1038" width="15.28515625" style="575" customWidth="1"/>
    <col min="1039" max="1041" width="18.85546875" style="575" customWidth="1"/>
    <col min="1042" max="1042" width="12.7109375" style="575" customWidth="1"/>
    <col min="1043" max="1043" width="13.7109375" style="575" customWidth="1"/>
    <col min="1044" max="1044" width="16.140625" style="575" customWidth="1"/>
    <col min="1045" max="1045" width="17" style="575" customWidth="1"/>
    <col min="1046" max="1046" width="15" style="575" customWidth="1"/>
    <col min="1047" max="1047" width="14.28515625" style="575" customWidth="1"/>
    <col min="1048" max="1048" width="14.85546875" style="575" customWidth="1"/>
    <col min="1049" max="1049" width="17.140625" style="575" customWidth="1"/>
    <col min="1050" max="1050" width="13.5703125" style="575" customWidth="1"/>
    <col min="1051" max="1052" width="14.85546875" style="575" customWidth="1"/>
    <col min="1053" max="1053" width="18.85546875" style="575" customWidth="1"/>
    <col min="1054" max="1054" width="19.42578125" style="575" customWidth="1"/>
    <col min="1055" max="1055" width="16.140625" style="575" customWidth="1"/>
    <col min="1056" max="1056" width="14.5703125" style="575" customWidth="1"/>
    <col min="1057" max="1057" width="20.28515625" style="575" customWidth="1"/>
    <col min="1058" max="1058" width="13.85546875" style="575" customWidth="1"/>
    <col min="1059" max="1059" width="19.140625" style="575" customWidth="1"/>
    <col min="1060" max="1060" width="19.7109375" style="575" customWidth="1"/>
    <col min="1061" max="1061" width="16.5703125" style="575" customWidth="1"/>
    <col min="1062" max="1062" width="19.140625" style="575" customWidth="1"/>
    <col min="1063" max="1065" width="16.5703125" style="575" customWidth="1"/>
    <col min="1066" max="1066" width="15.7109375" style="575" customWidth="1"/>
    <col min="1067" max="1067" width="19.42578125" style="575" customWidth="1"/>
    <col min="1068" max="1068" width="14.85546875" style="575" bestFit="1" customWidth="1"/>
    <col min="1069" max="1069" width="13.7109375" style="575" bestFit="1" customWidth="1"/>
    <col min="1070" max="1070" width="13" style="575" customWidth="1"/>
    <col min="1071" max="1071" width="18.42578125" style="575" customWidth="1"/>
    <col min="1072" max="1074" width="13.140625" style="575" customWidth="1"/>
    <col min="1075" max="1075" width="16.42578125" style="575" customWidth="1"/>
    <col min="1076" max="1076" width="13.140625" style="575" customWidth="1"/>
    <col min="1077" max="1077" width="15.28515625" style="575" customWidth="1"/>
    <col min="1078" max="1078" width="14" style="575" bestFit="1" customWidth="1"/>
    <col min="1079" max="1079" width="17.140625" style="575" customWidth="1"/>
    <col min="1080" max="1101" width="16.5703125" style="575" customWidth="1"/>
    <col min="1102" max="1102" width="20.140625" style="575" customWidth="1"/>
    <col min="1103" max="1103" width="13.28515625" style="575" customWidth="1"/>
    <col min="1104" max="1104" width="14.85546875" style="575" customWidth="1"/>
    <col min="1105" max="1105" width="13.85546875" style="575" customWidth="1"/>
    <col min="1106" max="1106" width="13.5703125" style="575" customWidth="1"/>
    <col min="1107" max="1107" width="13" style="575" customWidth="1"/>
    <col min="1108" max="1108" width="13.5703125" style="575" customWidth="1"/>
    <col min="1109" max="1109" width="7.7109375" style="575" bestFit="1" customWidth="1"/>
    <col min="1110" max="1279" width="9.140625" style="575"/>
    <col min="1280" max="1280" width="4.28515625" style="575" customWidth="1"/>
    <col min="1281" max="1281" width="10.140625" style="575" customWidth="1"/>
    <col min="1282" max="1282" width="8.85546875" style="575" customWidth="1"/>
    <col min="1283" max="1283" width="11.140625" style="575" customWidth="1"/>
    <col min="1284" max="1284" width="15" style="575" bestFit="1" customWidth="1"/>
    <col min="1285" max="1285" width="13.5703125" style="575" customWidth="1"/>
    <col min="1286" max="1286" width="11.42578125" style="575" bestFit="1" customWidth="1"/>
    <col min="1287" max="1287" width="11.28515625" style="575" customWidth="1"/>
    <col min="1288" max="1288" width="15.28515625" style="575" bestFit="1" customWidth="1"/>
    <col min="1289" max="1291" width="11.85546875" style="575" customWidth="1"/>
    <col min="1292" max="1292" width="19.140625" style="575" customWidth="1"/>
    <col min="1293" max="1293" width="15" style="575" customWidth="1"/>
    <col min="1294" max="1294" width="15.28515625" style="575" customWidth="1"/>
    <col min="1295" max="1297" width="18.85546875" style="575" customWidth="1"/>
    <col min="1298" max="1298" width="12.7109375" style="575" customWidth="1"/>
    <col min="1299" max="1299" width="13.7109375" style="575" customWidth="1"/>
    <col min="1300" max="1300" width="16.140625" style="575" customWidth="1"/>
    <col min="1301" max="1301" width="17" style="575" customWidth="1"/>
    <col min="1302" max="1302" width="15" style="575" customWidth="1"/>
    <col min="1303" max="1303" width="14.28515625" style="575" customWidth="1"/>
    <col min="1304" max="1304" width="14.85546875" style="575" customWidth="1"/>
    <col min="1305" max="1305" width="17.140625" style="575" customWidth="1"/>
    <col min="1306" max="1306" width="13.5703125" style="575" customWidth="1"/>
    <col min="1307" max="1308" width="14.85546875" style="575" customWidth="1"/>
    <col min="1309" max="1309" width="18.85546875" style="575" customWidth="1"/>
    <col min="1310" max="1310" width="19.42578125" style="575" customWidth="1"/>
    <col min="1311" max="1311" width="16.140625" style="575" customWidth="1"/>
    <col min="1312" max="1312" width="14.5703125" style="575" customWidth="1"/>
    <col min="1313" max="1313" width="20.28515625" style="575" customWidth="1"/>
    <col min="1314" max="1314" width="13.85546875" style="575" customWidth="1"/>
    <col min="1315" max="1315" width="19.140625" style="575" customWidth="1"/>
    <col min="1316" max="1316" width="19.7109375" style="575" customWidth="1"/>
    <col min="1317" max="1317" width="16.5703125" style="575" customWidth="1"/>
    <col min="1318" max="1318" width="19.140625" style="575" customWidth="1"/>
    <col min="1319" max="1321" width="16.5703125" style="575" customWidth="1"/>
    <col min="1322" max="1322" width="15.7109375" style="575" customWidth="1"/>
    <col min="1323" max="1323" width="19.42578125" style="575" customWidth="1"/>
    <col min="1324" max="1324" width="14.85546875" style="575" bestFit="1" customWidth="1"/>
    <col min="1325" max="1325" width="13.7109375" style="575" bestFit="1" customWidth="1"/>
    <col min="1326" max="1326" width="13" style="575" customWidth="1"/>
    <col min="1327" max="1327" width="18.42578125" style="575" customWidth="1"/>
    <col min="1328" max="1330" width="13.140625" style="575" customWidth="1"/>
    <col min="1331" max="1331" width="16.42578125" style="575" customWidth="1"/>
    <col min="1332" max="1332" width="13.140625" style="575" customWidth="1"/>
    <col min="1333" max="1333" width="15.28515625" style="575" customWidth="1"/>
    <col min="1334" max="1334" width="14" style="575" bestFit="1" customWidth="1"/>
    <col min="1335" max="1335" width="17.140625" style="575" customWidth="1"/>
    <col min="1336" max="1357" width="16.5703125" style="575" customWidth="1"/>
    <col min="1358" max="1358" width="20.140625" style="575" customWidth="1"/>
    <col min="1359" max="1359" width="13.28515625" style="575" customWidth="1"/>
    <col min="1360" max="1360" width="14.85546875" style="575" customWidth="1"/>
    <col min="1361" max="1361" width="13.85546875" style="575" customWidth="1"/>
    <col min="1362" max="1362" width="13.5703125" style="575" customWidth="1"/>
    <col min="1363" max="1363" width="13" style="575" customWidth="1"/>
    <col min="1364" max="1364" width="13.5703125" style="575" customWidth="1"/>
    <col min="1365" max="1365" width="7.7109375" style="575" bestFit="1" customWidth="1"/>
    <col min="1366" max="1535" width="9.140625" style="575"/>
    <col min="1536" max="1536" width="4.28515625" style="575" customWidth="1"/>
    <col min="1537" max="1537" width="10.140625" style="575" customWidth="1"/>
    <col min="1538" max="1538" width="8.85546875" style="575" customWidth="1"/>
    <col min="1539" max="1539" width="11.140625" style="575" customWidth="1"/>
    <col min="1540" max="1540" width="15" style="575" bestFit="1" customWidth="1"/>
    <col min="1541" max="1541" width="13.5703125" style="575" customWidth="1"/>
    <col min="1542" max="1542" width="11.42578125" style="575" bestFit="1" customWidth="1"/>
    <col min="1543" max="1543" width="11.28515625" style="575" customWidth="1"/>
    <col min="1544" max="1544" width="15.28515625" style="575" bestFit="1" customWidth="1"/>
    <col min="1545" max="1547" width="11.85546875" style="575" customWidth="1"/>
    <col min="1548" max="1548" width="19.140625" style="575" customWidth="1"/>
    <col min="1549" max="1549" width="15" style="575" customWidth="1"/>
    <col min="1550" max="1550" width="15.28515625" style="575" customWidth="1"/>
    <col min="1551" max="1553" width="18.85546875" style="575" customWidth="1"/>
    <col min="1554" max="1554" width="12.7109375" style="575" customWidth="1"/>
    <col min="1555" max="1555" width="13.7109375" style="575" customWidth="1"/>
    <col min="1556" max="1556" width="16.140625" style="575" customWidth="1"/>
    <col min="1557" max="1557" width="17" style="575" customWidth="1"/>
    <col min="1558" max="1558" width="15" style="575" customWidth="1"/>
    <col min="1559" max="1559" width="14.28515625" style="575" customWidth="1"/>
    <col min="1560" max="1560" width="14.85546875" style="575" customWidth="1"/>
    <col min="1561" max="1561" width="17.140625" style="575" customWidth="1"/>
    <col min="1562" max="1562" width="13.5703125" style="575" customWidth="1"/>
    <col min="1563" max="1564" width="14.85546875" style="575" customWidth="1"/>
    <col min="1565" max="1565" width="18.85546875" style="575" customWidth="1"/>
    <col min="1566" max="1566" width="19.42578125" style="575" customWidth="1"/>
    <col min="1567" max="1567" width="16.140625" style="575" customWidth="1"/>
    <col min="1568" max="1568" width="14.5703125" style="575" customWidth="1"/>
    <col min="1569" max="1569" width="20.28515625" style="575" customWidth="1"/>
    <col min="1570" max="1570" width="13.85546875" style="575" customWidth="1"/>
    <col min="1571" max="1571" width="19.140625" style="575" customWidth="1"/>
    <col min="1572" max="1572" width="19.7109375" style="575" customWidth="1"/>
    <col min="1573" max="1573" width="16.5703125" style="575" customWidth="1"/>
    <col min="1574" max="1574" width="19.140625" style="575" customWidth="1"/>
    <col min="1575" max="1577" width="16.5703125" style="575" customWidth="1"/>
    <col min="1578" max="1578" width="15.7109375" style="575" customWidth="1"/>
    <col min="1579" max="1579" width="19.42578125" style="575" customWidth="1"/>
    <col min="1580" max="1580" width="14.85546875" style="575" bestFit="1" customWidth="1"/>
    <col min="1581" max="1581" width="13.7109375" style="575" bestFit="1" customWidth="1"/>
    <col min="1582" max="1582" width="13" style="575" customWidth="1"/>
    <col min="1583" max="1583" width="18.42578125" style="575" customWidth="1"/>
    <col min="1584" max="1586" width="13.140625" style="575" customWidth="1"/>
    <col min="1587" max="1587" width="16.42578125" style="575" customWidth="1"/>
    <col min="1588" max="1588" width="13.140625" style="575" customWidth="1"/>
    <col min="1589" max="1589" width="15.28515625" style="575" customWidth="1"/>
    <col min="1590" max="1590" width="14" style="575" bestFit="1" customWidth="1"/>
    <col min="1591" max="1591" width="17.140625" style="575" customWidth="1"/>
    <col min="1592" max="1613" width="16.5703125" style="575" customWidth="1"/>
    <col min="1614" max="1614" width="20.140625" style="575" customWidth="1"/>
    <col min="1615" max="1615" width="13.28515625" style="575" customWidth="1"/>
    <col min="1616" max="1616" width="14.85546875" style="575" customWidth="1"/>
    <col min="1617" max="1617" width="13.85546875" style="575" customWidth="1"/>
    <col min="1618" max="1618" width="13.5703125" style="575" customWidth="1"/>
    <col min="1619" max="1619" width="13" style="575" customWidth="1"/>
    <col min="1620" max="1620" width="13.5703125" style="575" customWidth="1"/>
    <col min="1621" max="1621" width="7.7109375" style="575" bestFit="1" customWidth="1"/>
    <col min="1622" max="1791" width="9.140625" style="575"/>
    <col min="1792" max="1792" width="4.28515625" style="575" customWidth="1"/>
    <col min="1793" max="1793" width="10.140625" style="575" customWidth="1"/>
    <col min="1794" max="1794" width="8.85546875" style="575" customWidth="1"/>
    <col min="1795" max="1795" width="11.140625" style="575" customWidth="1"/>
    <col min="1796" max="1796" width="15" style="575" bestFit="1" customWidth="1"/>
    <col min="1797" max="1797" width="13.5703125" style="575" customWidth="1"/>
    <col min="1798" max="1798" width="11.42578125" style="575" bestFit="1" customWidth="1"/>
    <col min="1799" max="1799" width="11.28515625" style="575" customWidth="1"/>
    <col min="1800" max="1800" width="15.28515625" style="575" bestFit="1" customWidth="1"/>
    <col min="1801" max="1803" width="11.85546875" style="575" customWidth="1"/>
    <col min="1804" max="1804" width="19.140625" style="575" customWidth="1"/>
    <col min="1805" max="1805" width="15" style="575" customWidth="1"/>
    <col min="1806" max="1806" width="15.28515625" style="575" customWidth="1"/>
    <col min="1807" max="1809" width="18.85546875" style="575" customWidth="1"/>
    <col min="1810" max="1810" width="12.7109375" style="575" customWidth="1"/>
    <col min="1811" max="1811" width="13.7109375" style="575" customWidth="1"/>
    <col min="1812" max="1812" width="16.140625" style="575" customWidth="1"/>
    <col min="1813" max="1813" width="17" style="575" customWidth="1"/>
    <col min="1814" max="1814" width="15" style="575" customWidth="1"/>
    <col min="1815" max="1815" width="14.28515625" style="575" customWidth="1"/>
    <col min="1816" max="1816" width="14.85546875" style="575" customWidth="1"/>
    <col min="1817" max="1817" width="17.140625" style="575" customWidth="1"/>
    <col min="1818" max="1818" width="13.5703125" style="575" customWidth="1"/>
    <col min="1819" max="1820" width="14.85546875" style="575" customWidth="1"/>
    <col min="1821" max="1821" width="18.85546875" style="575" customWidth="1"/>
    <col min="1822" max="1822" width="19.42578125" style="575" customWidth="1"/>
    <col min="1823" max="1823" width="16.140625" style="575" customWidth="1"/>
    <col min="1824" max="1824" width="14.5703125" style="575" customWidth="1"/>
    <col min="1825" max="1825" width="20.28515625" style="575" customWidth="1"/>
    <col min="1826" max="1826" width="13.85546875" style="575" customWidth="1"/>
    <col min="1827" max="1827" width="19.140625" style="575" customWidth="1"/>
    <col min="1828" max="1828" width="19.7109375" style="575" customWidth="1"/>
    <col min="1829" max="1829" width="16.5703125" style="575" customWidth="1"/>
    <col min="1830" max="1830" width="19.140625" style="575" customWidth="1"/>
    <col min="1831" max="1833" width="16.5703125" style="575" customWidth="1"/>
    <col min="1834" max="1834" width="15.7109375" style="575" customWidth="1"/>
    <col min="1835" max="1835" width="19.42578125" style="575" customWidth="1"/>
    <col min="1836" max="1836" width="14.85546875" style="575" bestFit="1" customWidth="1"/>
    <col min="1837" max="1837" width="13.7109375" style="575" bestFit="1" customWidth="1"/>
    <col min="1838" max="1838" width="13" style="575" customWidth="1"/>
    <col min="1839" max="1839" width="18.42578125" style="575" customWidth="1"/>
    <col min="1840" max="1842" width="13.140625" style="575" customWidth="1"/>
    <col min="1843" max="1843" width="16.42578125" style="575" customWidth="1"/>
    <col min="1844" max="1844" width="13.140625" style="575" customWidth="1"/>
    <col min="1845" max="1845" width="15.28515625" style="575" customWidth="1"/>
    <col min="1846" max="1846" width="14" style="575" bestFit="1" customWidth="1"/>
    <col min="1847" max="1847" width="17.140625" style="575" customWidth="1"/>
    <col min="1848" max="1869" width="16.5703125" style="575" customWidth="1"/>
    <col min="1870" max="1870" width="20.140625" style="575" customWidth="1"/>
    <col min="1871" max="1871" width="13.28515625" style="575" customWidth="1"/>
    <col min="1872" max="1872" width="14.85546875" style="575" customWidth="1"/>
    <col min="1873" max="1873" width="13.85546875" style="575" customWidth="1"/>
    <col min="1874" max="1874" width="13.5703125" style="575" customWidth="1"/>
    <col min="1875" max="1875" width="13" style="575" customWidth="1"/>
    <col min="1876" max="1876" width="13.5703125" style="575" customWidth="1"/>
    <col min="1877" max="1877" width="7.7109375" style="575" bestFit="1" customWidth="1"/>
    <col min="1878" max="2047" width="9.140625" style="575"/>
    <col min="2048" max="2048" width="4.28515625" style="575" customWidth="1"/>
    <col min="2049" max="2049" width="10.140625" style="575" customWidth="1"/>
    <col min="2050" max="2050" width="8.85546875" style="575" customWidth="1"/>
    <col min="2051" max="2051" width="11.140625" style="575" customWidth="1"/>
    <col min="2052" max="2052" width="15" style="575" bestFit="1" customWidth="1"/>
    <col min="2053" max="2053" width="13.5703125" style="575" customWidth="1"/>
    <col min="2054" max="2054" width="11.42578125" style="575" bestFit="1" customWidth="1"/>
    <col min="2055" max="2055" width="11.28515625" style="575" customWidth="1"/>
    <col min="2056" max="2056" width="15.28515625" style="575" bestFit="1" customWidth="1"/>
    <col min="2057" max="2059" width="11.85546875" style="575" customWidth="1"/>
    <col min="2060" max="2060" width="19.140625" style="575" customWidth="1"/>
    <col min="2061" max="2061" width="15" style="575" customWidth="1"/>
    <col min="2062" max="2062" width="15.28515625" style="575" customWidth="1"/>
    <col min="2063" max="2065" width="18.85546875" style="575" customWidth="1"/>
    <col min="2066" max="2066" width="12.7109375" style="575" customWidth="1"/>
    <col min="2067" max="2067" width="13.7109375" style="575" customWidth="1"/>
    <col min="2068" max="2068" width="16.140625" style="575" customWidth="1"/>
    <col min="2069" max="2069" width="17" style="575" customWidth="1"/>
    <col min="2070" max="2070" width="15" style="575" customWidth="1"/>
    <col min="2071" max="2071" width="14.28515625" style="575" customWidth="1"/>
    <col min="2072" max="2072" width="14.85546875" style="575" customWidth="1"/>
    <col min="2073" max="2073" width="17.140625" style="575" customWidth="1"/>
    <col min="2074" max="2074" width="13.5703125" style="575" customWidth="1"/>
    <col min="2075" max="2076" width="14.85546875" style="575" customWidth="1"/>
    <col min="2077" max="2077" width="18.85546875" style="575" customWidth="1"/>
    <col min="2078" max="2078" width="19.42578125" style="575" customWidth="1"/>
    <col min="2079" max="2079" width="16.140625" style="575" customWidth="1"/>
    <col min="2080" max="2080" width="14.5703125" style="575" customWidth="1"/>
    <col min="2081" max="2081" width="20.28515625" style="575" customWidth="1"/>
    <col min="2082" max="2082" width="13.85546875" style="575" customWidth="1"/>
    <col min="2083" max="2083" width="19.140625" style="575" customWidth="1"/>
    <col min="2084" max="2084" width="19.7109375" style="575" customWidth="1"/>
    <col min="2085" max="2085" width="16.5703125" style="575" customWidth="1"/>
    <col min="2086" max="2086" width="19.140625" style="575" customWidth="1"/>
    <col min="2087" max="2089" width="16.5703125" style="575" customWidth="1"/>
    <col min="2090" max="2090" width="15.7109375" style="575" customWidth="1"/>
    <col min="2091" max="2091" width="19.42578125" style="575" customWidth="1"/>
    <col min="2092" max="2092" width="14.85546875" style="575" bestFit="1" customWidth="1"/>
    <col min="2093" max="2093" width="13.7109375" style="575" bestFit="1" customWidth="1"/>
    <col min="2094" max="2094" width="13" style="575" customWidth="1"/>
    <col min="2095" max="2095" width="18.42578125" style="575" customWidth="1"/>
    <col min="2096" max="2098" width="13.140625" style="575" customWidth="1"/>
    <col min="2099" max="2099" width="16.42578125" style="575" customWidth="1"/>
    <col min="2100" max="2100" width="13.140625" style="575" customWidth="1"/>
    <col min="2101" max="2101" width="15.28515625" style="575" customWidth="1"/>
    <col min="2102" max="2102" width="14" style="575" bestFit="1" customWidth="1"/>
    <col min="2103" max="2103" width="17.140625" style="575" customWidth="1"/>
    <col min="2104" max="2125" width="16.5703125" style="575" customWidth="1"/>
    <col min="2126" max="2126" width="20.140625" style="575" customWidth="1"/>
    <col min="2127" max="2127" width="13.28515625" style="575" customWidth="1"/>
    <col min="2128" max="2128" width="14.85546875" style="575" customWidth="1"/>
    <col min="2129" max="2129" width="13.85546875" style="575" customWidth="1"/>
    <col min="2130" max="2130" width="13.5703125" style="575" customWidth="1"/>
    <col min="2131" max="2131" width="13" style="575" customWidth="1"/>
    <col min="2132" max="2132" width="13.5703125" style="575" customWidth="1"/>
    <col min="2133" max="2133" width="7.7109375" style="575" bestFit="1" customWidth="1"/>
    <col min="2134" max="2303" width="9.140625" style="575"/>
    <col min="2304" max="2304" width="4.28515625" style="575" customWidth="1"/>
    <col min="2305" max="2305" width="10.140625" style="575" customWidth="1"/>
    <col min="2306" max="2306" width="8.85546875" style="575" customWidth="1"/>
    <col min="2307" max="2307" width="11.140625" style="575" customWidth="1"/>
    <col min="2308" max="2308" width="15" style="575" bestFit="1" customWidth="1"/>
    <col min="2309" max="2309" width="13.5703125" style="575" customWidth="1"/>
    <col min="2310" max="2310" width="11.42578125" style="575" bestFit="1" customWidth="1"/>
    <col min="2311" max="2311" width="11.28515625" style="575" customWidth="1"/>
    <col min="2312" max="2312" width="15.28515625" style="575" bestFit="1" customWidth="1"/>
    <col min="2313" max="2315" width="11.85546875" style="575" customWidth="1"/>
    <col min="2316" max="2316" width="19.140625" style="575" customWidth="1"/>
    <col min="2317" max="2317" width="15" style="575" customWidth="1"/>
    <col min="2318" max="2318" width="15.28515625" style="575" customWidth="1"/>
    <col min="2319" max="2321" width="18.85546875" style="575" customWidth="1"/>
    <col min="2322" max="2322" width="12.7109375" style="575" customWidth="1"/>
    <col min="2323" max="2323" width="13.7109375" style="575" customWidth="1"/>
    <col min="2324" max="2324" width="16.140625" style="575" customWidth="1"/>
    <col min="2325" max="2325" width="17" style="575" customWidth="1"/>
    <col min="2326" max="2326" width="15" style="575" customWidth="1"/>
    <col min="2327" max="2327" width="14.28515625" style="575" customWidth="1"/>
    <col min="2328" max="2328" width="14.85546875" style="575" customWidth="1"/>
    <col min="2329" max="2329" width="17.140625" style="575" customWidth="1"/>
    <col min="2330" max="2330" width="13.5703125" style="575" customWidth="1"/>
    <col min="2331" max="2332" width="14.85546875" style="575" customWidth="1"/>
    <col min="2333" max="2333" width="18.85546875" style="575" customWidth="1"/>
    <col min="2334" max="2334" width="19.42578125" style="575" customWidth="1"/>
    <col min="2335" max="2335" width="16.140625" style="575" customWidth="1"/>
    <col min="2336" max="2336" width="14.5703125" style="575" customWidth="1"/>
    <col min="2337" max="2337" width="20.28515625" style="575" customWidth="1"/>
    <col min="2338" max="2338" width="13.85546875" style="575" customWidth="1"/>
    <col min="2339" max="2339" width="19.140625" style="575" customWidth="1"/>
    <col min="2340" max="2340" width="19.7109375" style="575" customWidth="1"/>
    <col min="2341" max="2341" width="16.5703125" style="575" customWidth="1"/>
    <col min="2342" max="2342" width="19.140625" style="575" customWidth="1"/>
    <col min="2343" max="2345" width="16.5703125" style="575" customWidth="1"/>
    <col min="2346" max="2346" width="15.7109375" style="575" customWidth="1"/>
    <col min="2347" max="2347" width="19.42578125" style="575" customWidth="1"/>
    <col min="2348" max="2348" width="14.85546875" style="575" bestFit="1" customWidth="1"/>
    <col min="2349" max="2349" width="13.7109375" style="575" bestFit="1" customWidth="1"/>
    <col min="2350" max="2350" width="13" style="575" customWidth="1"/>
    <col min="2351" max="2351" width="18.42578125" style="575" customWidth="1"/>
    <col min="2352" max="2354" width="13.140625" style="575" customWidth="1"/>
    <col min="2355" max="2355" width="16.42578125" style="575" customWidth="1"/>
    <col min="2356" max="2356" width="13.140625" style="575" customWidth="1"/>
    <col min="2357" max="2357" width="15.28515625" style="575" customWidth="1"/>
    <col min="2358" max="2358" width="14" style="575" bestFit="1" customWidth="1"/>
    <col min="2359" max="2359" width="17.140625" style="575" customWidth="1"/>
    <col min="2360" max="2381" width="16.5703125" style="575" customWidth="1"/>
    <col min="2382" max="2382" width="20.140625" style="575" customWidth="1"/>
    <col min="2383" max="2383" width="13.28515625" style="575" customWidth="1"/>
    <col min="2384" max="2384" width="14.85546875" style="575" customWidth="1"/>
    <col min="2385" max="2385" width="13.85546875" style="575" customWidth="1"/>
    <col min="2386" max="2386" width="13.5703125" style="575" customWidth="1"/>
    <col min="2387" max="2387" width="13" style="575" customWidth="1"/>
    <col min="2388" max="2388" width="13.5703125" style="575" customWidth="1"/>
    <col min="2389" max="2389" width="7.7109375" style="575" bestFit="1" customWidth="1"/>
    <col min="2390" max="2559" width="9.140625" style="575"/>
    <col min="2560" max="2560" width="4.28515625" style="575" customWidth="1"/>
    <col min="2561" max="2561" width="10.140625" style="575" customWidth="1"/>
    <col min="2562" max="2562" width="8.85546875" style="575" customWidth="1"/>
    <col min="2563" max="2563" width="11.140625" style="575" customWidth="1"/>
    <col min="2564" max="2564" width="15" style="575" bestFit="1" customWidth="1"/>
    <col min="2565" max="2565" width="13.5703125" style="575" customWidth="1"/>
    <col min="2566" max="2566" width="11.42578125" style="575" bestFit="1" customWidth="1"/>
    <col min="2567" max="2567" width="11.28515625" style="575" customWidth="1"/>
    <col min="2568" max="2568" width="15.28515625" style="575" bestFit="1" customWidth="1"/>
    <col min="2569" max="2571" width="11.85546875" style="575" customWidth="1"/>
    <col min="2572" max="2572" width="19.140625" style="575" customWidth="1"/>
    <col min="2573" max="2573" width="15" style="575" customWidth="1"/>
    <col min="2574" max="2574" width="15.28515625" style="575" customWidth="1"/>
    <col min="2575" max="2577" width="18.85546875" style="575" customWidth="1"/>
    <col min="2578" max="2578" width="12.7109375" style="575" customWidth="1"/>
    <col min="2579" max="2579" width="13.7109375" style="575" customWidth="1"/>
    <col min="2580" max="2580" width="16.140625" style="575" customWidth="1"/>
    <col min="2581" max="2581" width="17" style="575" customWidth="1"/>
    <col min="2582" max="2582" width="15" style="575" customWidth="1"/>
    <col min="2583" max="2583" width="14.28515625" style="575" customWidth="1"/>
    <col min="2584" max="2584" width="14.85546875" style="575" customWidth="1"/>
    <col min="2585" max="2585" width="17.140625" style="575" customWidth="1"/>
    <col min="2586" max="2586" width="13.5703125" style="575" customWidth="1"/>
    <col min="2587" max="2588" width="14.85546875" style="575" customWidth="1"/>
    <col min="2589" max="2589" width="18.85546875" style="575" customWidth="1"/>
    <col min="2590" max="2590" width="19.42578125" style="575" customWidth="1"/>
    <col min="2591" max="2591" width="16.140625" style="575" customWidth="1"/>
    <col min="2592" max="2592" width="14.5703125" style="575" customWidth="1"/>
    <col min="2593" max="2593" width="20.28515625" style="575" customWidth="1"/>
    <col min="2594" max="2594" width="13.85546875" style="575" customWidth="1"/>
    <col min="2595" max="2595" width="19.140625" style="575" customWidth="1"/>
    <col min="2596" max="2596" width="19.7109375" style="575" customWidth="1"/>
    <col min="2597" max="2597" width="16.5703125" style="575" customWidth="1"/>
    <col min="2598" max="2598" width="19.140625" style="575" customWidth="1"/>
    <col min="2599" max="2601" width="16.5703125" style="575" customWidth="1"/>
    <col min="2602" max="2602" width="15.7109375" style="575" customWidth="1"/>
    <col min="2603" max="2603" width="19.42578125" style="575" customWidth="1"/>
    <col min="2604" max="2604" width="14.85546875" style="575" bestFit="1" customWidth="1"/>
    <col min="2605" max="2605" width="13.7109375" style="575" bestFit="1" customWidth="1"/>
    <col min="2606" max="2606" width="13" style="575" customWidth="1"/>
    <col min="2607" max="2607" width="18.42578125" style="575" customWidth="1"/>
    <col min="2608" max="2610" width="13.140625" style="575" customWidth="1"/>
    <col min="2611" max="2611" width="16.42578125" style="575" customWidth="1"/>
    <col min="2612" max="2612" width="13.140625" style="575" customWidth="1"/>
    <col min="2613" max="2613" width="15.28515625" style="575" customWidth="1"/>
    <col min="2614" max="2614" width="14" style="575" bestFit="1" customWidth="1"/>
    <col min="2615" max="2615" width="17.140625" style="575" customWidth="1"/>
    <col min="2616" max="2637" width="16.5703125" style="575" customWidth="1"/>
    <col min="2638" max="2638" width="20.140625" style="575" customWidth="1"/>
    <col min="2639" max="2639" width="13.28515625" style="575" customWidth="1"/>
    <col min="2640" max="2640" width="14.85546875" style="575" customWidth="1"/>
    <col min="2641" max="2641" width="13.85546875" style="575" customWidth="1"/>
    <col min="2642" max="2642" width="13.5703125" style="575" customWidth="1"/>
    <col min="2643" max="2643" width="13" style="575" customWidth="1"/>
    <col min="2644" max="2644" width="13.5703125" style="575" customWidth="1"/>
    <col min="2645" max="2645" width="7.7109375" style="575" bestFit="1" customWidth="1"/>
    <col min="2646" max="2815" width="9.140625" style="575"/>
    <col min="2816" max="2816" width="4.28515625" style="575" customWidth="1"/>
    <col min="2817" max="2817" width="10.140625" style="575" customWidth="1"/>
    <col min="2818" max="2818" width="8.85546875" style="575" customWidth="1"/>
    <col min="2819" max="2819" width="11.140625" style="575" customWidth="1"/>
    <col min="2820" max="2820" width="15" style="575" bestFit="1" customWidth="1"/>
    <col min="2821" max="2821" width="13.5703125" style="575" customWidth="1"/>
    <col min="2822" max="2822" width="11.42578125" style="575" bestFit="1" customWidth="1"/>
    <col min="2823" max="2823" width="11.28515625" style="575" customWidth="1"/>
    <col min="2824" max="2824" width="15.28515625" style="575" bestFit="1" customWidth="1"/>
    <col min="2825" max="2827" width="11.85546875" style="575" customWidth="1"/>
    <col min="2828" max="2828" width="19.140625" style="575" customWidth="1"/>
    <col min="2829" max="2829" width="15" style="575" customWidth="1"/>
    <col min="2830" max="2830" width="15.28515625" style="575" customWidth="1"/>
    <col min="2831" max="2833" width="18.85546875" style="575" customWidth="1"/>
    <col min="2834" max="2834" width="12.7109375" style="575" customWidth="1"/>
    <col min="2835" max="2835" width="13.7109375" style="575" customWidth="1"/>
    <col min="2836" max="2836" width="16.140625" style="575" customWidth="1"/>
    <col min="2837" max="2837" width="17" style="575" customWidth="1"/>
    <col min="2838" max="2838" width="15" style="575" customWidth="1"/>
    <col min="2839" max="2839" width="14.28515625" style="575" customWidth="1"/>
    <col min="2840" max="2840" width="14.85546875" style="575" customWidth="1"/>
    <col min="2841" max="2841" width="17.140625" style="575" customWidth="1"/>
    <col min="2842" max="2842" width="13.5703125" style="575" customWidth="1"/>
    <col min="2843" max="2844" width="14.85546875" style="575" customWidth="1"/>
    <col min="2845" max="2845" width="18.85546875" style="575" customWidth="1"/>
    <col min="2846" max="2846" width="19.42578125" style="575" customWidth="1"/>
    <col min="2847" max="2847" width="16.140625" style="575" customWidth="1"/>
    <col min="2848" max="2848" width="14.5703125" style="575" customWidth="1"/>
    <col min="2849" max="2849" width="20.28515625" style="575" customWidth="1"/>
    <col min="2850" max="2850" width="13.85546875" style="575" customWidth="1"/>
    <col min="2851" max="2851" width="19.140625" style="575" customWidth="1"/>
    <col min="2852" max="2852" width="19.7109375" style="575" customWidth="1"/>
    <col min="2853" max="2853" width="16.5703125" style="575" customWidth="1"/>
    <col min="2854" max="2854" width="19.140625" style="575" customWidth="1"/>
    <col min="2855" max="2857" width="16.5703125" style="575" customWidth="1"/>
    <col min="2858" max="2858" width="15.7109375" style="575" customWidth="1"/>
    <col min="2859" max="2859" width="19.42578125" style="575" customWidth="1"/>
    <col min="2860" max="2860" width="14.85546875" style="575" bestFit="1" customWidth="1"/>
    <col min="2861" max="2861" width="13.7109375" style="575" bestFit="1" customWidth="1"/>
    <col min="2862" max="2862" width="13" style="575" customWidth="1"/>
    <col min="2863" max="2863" width="18.42578125" style="575" customWidth="1"/>
    <col min="2864" max="2866" width="13.140625" style="575" customWidth="1"/>
    <col min="2867" max="2867" width="16.42578125" style="575" customWidth="1"/>
    <col min="2868" max="2868" width="13.140625" style="575" customWidth="1"/>
    <col min="2869" max="2869" width="15.28515625" style="575" customWidth="1"/>
    <col min="2870" max="2870" width="14" style="575" bestFit="1" customWidth="1"/>
    <col min="2871" max="2871" width="17.140625" style="575" customWidth="1"/>
    <col min="2872" max="2893" width="16.5703125" style="575" customWidth="1"/>
    <col min="2894" max="2894" width="20.140625" style="575" customWidth="1"/>
    <col min="2895" max="2895" width="13.28515625" style="575" customWidth="1"/>
    <col min="2896" max="2896" width="14.85546875" style="575" customWidth="1"/>
    <col min="2897" max="2897" width="13.85546875" style="575" customWidth="1"/>
    <col min="2898" max="2898" width="13.5703125" style="575" customWidth="1"/>
    <col min="2899" max="2899" width="13" style="575" customWidth="1"/>
    <col min="2900" max="2900" width="13.5703125" style="575" customWidth="1"/>
    <col min="2901" max="2901" width="7.7109375" style="575" bestFit="1" customWidth="1"/>
    <col min="2902" max="3071" width="9.140625" style="575"/>
    <col min="3072" max="3072" width="4.28515625" style="575" customWidth="1"/>
    <col min="3073" max="3073" width="10.140625" style="575" customWidth="1"/>
    <col min="3074" max="3074" width="8.85546875" style="575" customWidth="1"/>
    <col min="3075" max="3075" width="11.140625" style="575" customWidth="1"/>
    <col min="3076" max="3076" width="15" style="575" bestFit="1" customWidth="1"/>
    <col min="3077" max="3077" width="13.5703125" style="575" customWidth="1"/>
    <col min="3078" max="3078" width="11.42578125" style="575" bestFit="1" customWidth="1"/>
    <col min="3079" max="3079" width="11.28515625" style="575" customWidth="1"/>
    <col min="3080" max="3080" width="15.28515625" style="575" bestFit="1" customWidth="1"/>
    <col min="3081" max="3083" width="11.85546875" style="575" customWidth="1"/>
    <col min="3084" max="3084" width="19.140625" style="575" customWidth="1"/>
    <col min="3085" max="3085" width="15" style="575" customWidth="1"/>
    <col min="3086" max="3086" width="15.28515625" style="575" customWidth="1"/>
    <col min="3087" max="3089" width="18.85546875" style="575" customWidth="1"/>
    <col min="3090" max="3090" width="12.7109375" style="575" customWidth="1"/>
    <col min="3091" max="3091" width="13.7109375" style="575" customWidth="1"/>
    <col min="3092" max="3092" width="16.140625" style="575" customWidth="1"/>
    <col min="3093" max="3093" width="17" style="575" customWidth="1"/>
    <col min="3094" max="3094" width="15" style="575" customWidth="1"/>
    <col min="3095" max="3095" width="14.28515625" style="575" customWidth="1"/>
    <col min="3096" max="3096" width="14.85546875" style="575" customWidth="1"/>
    <col min="3097" max="3097" width="17.140625" style="575" customWidth="1"/>
    <col min="3098" max="3098" width="13.5703125" style="575" customWidth="1"/>
    <col min="3099" max="3100" width="14.85546875" style="575" customWidth="1"/>
    <col min="3101" max="3101" width="18.85546875" style="575" customWidth="1"/>
    <col min="3102" max="3102" width="19.42578125" style="575" customWidth="1"/>
    <col min="3103" max="3103" width="16.140625" style="575" customWidth="1"/>
    <col min="3104" max="3104" width="14.5703125" style="575" customWidth="1"/>
    <col min="3105" max="3105" width="20.28515625" style="575" customWidth="1"/>
    <col min="3106" max="3106" width="13.85546875" style="575" customWidth="1"/>
    <col min="3107" max="3107" width="19.140625" style="575" customWidth="1"/>
    <col min="3108" max="3108" width="19.7109375" style="575" customWidth="1"/>
    <col min="3109" max="3109" width="16.5703125" style="575" customWidth="1"/>
    <col min="3110" max="3110" width="19.140625" style="575" customWidth="1"/>
    <col min="3111" max="3113" width="16.5703125" style="575" customWidth="1"/>
    <col min="3114" max="3114" width="15.7109375" style="575" customWidth="1"/>
    <col min="3115" max="3115" width="19.42578125" style="575" customWidth="1"/>
    <col min="3116" max="3116" width="14.85546875" style="575" bestFit="1" customWidth="1"/>
    <col min="3117" max="3117" width="13.7109375" style="575" bestFit="1" customWidth="1"/>
    <col min="3118" max="3118" width="13" style="575" customWidth="1"/>
    <col min="3119" max="3119" width="18.42578125" style="575" customWidth="1"/>
    <col min="3120" max="3122" width="13.140625" style="575" customWidth="1"/>
    <col min="3123" max="3123" width="16.42578125" style="575" customWidth="1"/>
    <col min="3124" max="3124" width="13.140625" style="575" customWidth="1"/>
    <col min="3125" max="3125" width="15.28515625" style="575" customWidth="1"/>
    <col min="3126" max="3126" width="14" style="575" bestFit="1" customWidth="1"/>
    <col min="3127" max="3127" width="17.140625" style="575" customWidth="1"/>
    <col min="3128" max="3149" width="16.5703125" style="575" customWidth="1"/>
    <col min="3150" max="3150" width="20.140625" style="575" customWidth="1"/>
    <col min="3151" max="3151" width="13.28515625" style="575" customWidth="1"/>
    <col min="3152" max="3152" width="14.85546875" style="575" customWidth="1"/>
    <col min="3153" max="3153" width="13.85546875" style="575" customWidth="1"/>
    <col min="3154" max="3154" width="13.5703125" style="575" customWidth="1"/>
    <col min="3155" max="3155" width="13" style="575" customWidth="1"/>
    <col min="3156" max="3156" width="13.5703125" style="575" customWidth="1"/>
    <col min="3157" max="3157" width="7.7109375" style="575" bestFit="1" customWidth="1"/>
    <col min="3158" max="3327" width="9.140625" style="575"/>
    <col min="3328" max="3328" width="4.28515625" style="575" customWidth="1"/>
    <col min="3329" max="3329" width="10.140625" style="575" customWidth="1"/>
    <col min="3330" max="3330" width="8.85546875" style="575" customWidth="1"/>
    <col min="3331" max="3331" width="11.140625" style="575" customWidth="1"/>
    <col min="3332" max="3332" width="15" style="575" bestFit="1" customWidth="1"/>
    <col min="3333" max="3333" width="13.5703125" style="575" customWidth="1"/>
    <col min="3334" max="3334" width="11.42578125" style="575" bestFit="1" customWidth="1"/>
    <col min="3335" max="3335" width="11.28515625" style="575" customWidth="1"/>
    <col min="3336" max="3336" width="15.28515625" style="575" bestFit="1" customWidth="1"/>
    <col min="3337" max="3339" width="11.85546875" style="575" customWidth="1"/>
    <col min="3340" max="3340" width="19.140625" style="575" customWidth="1"/>
    <col min="3341" max="3341" width="15" style="575" customWidth="1"/>
    <col min="3342" max="3342" width="15.28515625" style="575" customWidth="1"/>
    <col min="3343" max="3345" width="18.85546875" style="575" customWidth="1"/>
    <col min="3346" max="3346" width="12.7109375" style="575" customWidth="1"/>
    <col min="3347" max="3347" width="13.7109375" style="575" customWidth="1"/>
    <col min="3348" max="3348" width="16.140625" style="575" customWidth="1"/>
    <col min="3349" max="3349" width="17" style="575" customWidth="1"/>
    <col min="3350" max="3350" width="15" style="575" customWidth="1"/>
    <col min="3351" max="3351" width="14.28515625" style="575" customWidth="1"/>
    <col min="3352" max="3352" width="14.85546875" style="575" customWidth="1"/>
    <col min="3353" max="3353" width="17.140625" style="575" customWidth="1"/>
    <col min="3354" max="3354" width="13.5703125" style="575" customWidth="1"/>
    <col min="3355" max="3356" width="14.85546875" style="575" customWidth="1"/>
    <col min="3357" max="3357" width="18.85546875" style="575" customWidth="1"/>
    <col min="3358" max="3358" width="19.42578125" style="575" customWidth="1"/>
    <col min="3359" max="3359" width="16.140625" style="575" customWidth="1"/>
    <col min="3360" max="3360" width="14.5703125" style="575" customWidth="1"/>
    <col min="3361" max="3361" width="20.28515625" style="575" customWidth="1"/>
    <col min="3362" max="3362" width="13.85546875" style="575" customWidth="1"/>
    <col min="3363" max="3363" width="19.140625" style="575" customWidth="1"/>
    <col min="3364" max="3364" width="19.7109375" style="575" customWidth="1"/>
    <col min="3365" max="3365" width="16.5703125" style="575" customWidth="1"/>
    <col min="3366" max="3366" width="19.140625" style="575" customWidth="1"/>
    <col min="3367" max="3369" width="16.5703125" style="575" customWidth="1"/>
    <col min="3370" max="3370" width="15.7109375" style="575" customWidth="1"/>
    <col min="3371" max="3371" width="19.42578125" style="575" customWidth="1"/>
    <col min="3372" max="3372" width="14.85546875" style="575" bestFit="1" customWidth="1"/>
    <col min="3373" max="3373" width="13.7109375" style="575" bestFit="1" customWidth="1"/>
    <col min="3374" max="3374" width="13" style="575" customWidth="1"/>
    <col min="3375" max="3375" width="18.42578125" style="575" customWidth="1"/>
    <col min="3376" max="3378" width="13.140625" style="575" customWidth="1"/>
    <col min="3379" max="3379" width="16.42578125" style="575" customWidth="1"/>
    <col min="3380" max="3380" width="13.140625" style="575" customWidth="1"/>
    <col min="3381" max="3381" width="15.28515625" style="575" customWidth="1"/>
    <col min="3382" max="3382" width="14" style="575" bestFit="1" customWidth="1"/>
    <col min="3383" max="3383" width="17.140625" style="575" customWidth="1"/>
    <col min="3384" max="3405" width="16.5703125" style="575" customWidth="1"/>
    <col min="3406" max="3406" width="20.140625" style="575" customWidth="1"/>
    <col min="3407" max="3407" width="13.28515625" style="575" customWidth="1"/>
    <col min="3408" max="3408" width="14.85546875" style="575" customWidth="1"/>
    <col min="3409" max="3409" width="13.85546875" style="575" customWidth="1"/>
    <col min="3410" max="3410" width="13.5703125" style="575" customWidth="1"/>
    <col min="3411" max="3411" width="13" style="575" customWidth="1"/>
    <col min="3412" max="3412" width="13.5703125" style="575" customWidth="1"/>
    <col min="3413" max="3413" width="7.7109375" style="575" bestFit="1" customWidth="1"/>
    <col min="3414" max="3583" width="9.140625" style="575"/>
    <col min="3584" max="3584" width="4.28515625" style="575" customWidth="1"/>
    <col min="3585" max="3585" width="10.140625" style="575" customWidth="1"/>
    <col min="3586" max="3586" width="8.85546875" style="575" customWidth="1"/>
    <col min="3587" max="3587" width="11.140625" style="575" customWidth="1"/>
    <col min="3588" max="3588" width="15" style="575" bestFit="1" customWidth="1"/>
    <col min="3589" max="3589" width="13.5703125" style="575" customWidth="1"/>
    <col min="3590" max="3590" width="11.42578125" style="575" bestFit="1" customWidth="1"/>
    <col min="3591" max="3591" width="11.28515625" style="575" customWidth="1"/>
    <col min="3592" max="3592" width="15.28515625" style="575" bestFit="1" customWidth="1"/>
    <col min="3593" max="3595" width="11.85546875" style="575" customWidth="1"/>
    <col min="3596" max="3596" width="19.140625" style="575" customWidth="1"/>
    <col min="3597" max="3597" width="15" style="575" customWidth="1"/>
    <col min="3598" max="3598" width="15.28515625" style="575" customWidth="1"/>
    <col min="3599" max="3601" width="18.85546875" style="575" customWidth="1"/>
    <col min="3602" max="3602" width="12.7109375" style="575" customWidth="1"/>
    <col min="3603" max="3603" width="13.7109375" style="575" customWidth="1"/>
    <col min="3604" max="3604" width="16.140625" style="575" customWidth="1"/>
    <col min="3605" max="3605" width="17" style="575" customWidth="1"/>
    <col min="3606" max="3606" width="15" style="575" customWidth="1"/>
    <col min="3607" max="3607" width="14.28515625" style="575" customWidth="1"/>
    <col min="3608" max="3608" width="14.85546875" style="575" customWidth="1"/>
    <col min="3609" max="3609" width="17.140625" style="575" customWidth="1"/>
    <col min="3610" max="3610" width="13.5703125" style="575" customWidth="1"/>
    <col min="3611" max="3612" width="14.85546875" style="575" customWidth="1"/>
    <col min="3613" max="3613" width="18.85546875" style="575" customWidth="1"/>
    <col min="3614" max="3614" width="19.42578125" style="575" customWidth="1"/>
    <col min="3615" max="3615" width="16.140625" style="575" customWidth="1"/>
    <col min="3616" max="3616" width="14.5703125" style="575" customWidth="1"/>
    <col min="3617" max="3617" width="20.28515625" style="575" customWidth="1"/>
    <col min="3618" max="3618" width="13.85546875" style="575" customWidth="1"/>
    <col min="3619" max="3619" width="19.140625" style="575" customWidth="1"/>
    <col min="3620" max="3620" width="19.7109375" style="575" customWidth="1"/>
    <col min="3621" max="3621" width="16.5703125" style="575" customWidth="1"/>
    <col min="3622" max="3622" width="19.140625" style="575" customWidth="1"/>
    <col min="3623" max="3625" width="16.5703125" style="575" customWidth="1"/>
    <col min="3626" max="3626" width="15.7109375" style="575" customWidth="1"/>
    <col min="3627" max="3627" width="19.42578125" style="575" customWidth="1"/>
    <col min="3628" max="3628" width="14.85546875" style="575" bestFit="1" customWidth="1"/>
    <col min="3629" max="3629" width="13.7109375" style="575" bestFit="1" customWidth="1"/>
    <col min="3630" max="3630" width="13" style="575" customWidth="1"/>
    <col min="3631" max="3631" width="18.42578125" style="575" customWidth="1"/>
    <col min="3632" max="3634" width="13.140625" style="575" customWidth="1"/>
    <col min="3635" max="3635" width="16.42578125" style="575" customWidth="1"/>
    <col min="3636" max="3636" width="13.140625" style="575" customWidth="1"/>
    <col min="3637" max="3637" width="15.28515625" style="575" customWidth="1"/>
    <col min="3638" max="3638" width="14" style="575" bestFit="1" customWidth="1"/>
    <col min="3639" max="3639" width="17.140625" style="575" customWidth="1"/>
    <col min="3640" max="3661" width="16.5703125" style="575" customWidth="1"/>
    <col min="3662" max="3662" width="20.140625" style="575" customWidth="1"/>
    <col min="3663" max="3663" width="13.28515625" style="575" customWidth="1"/>
    <col min="3664" max="3664" width="14.85546875" style="575" customWidth="1"/>
    <col min="3665" max="3665" width="13.85546875" style="575" customWidth="1"/>
    <col min="3666" max="3666" width="13.5703125" style="575" customWidth="1"/>
    <col min="3667" max="3667" width="13" style="575" customWidth="1"/>
    <col min="3668" max="3668" width="13.5703125" style="575" customWidth="1"/>
    <col min="3669" max="3669" width="7.7109375" style="575" bestFit="1" customWidth="1"/>
    <col min="3670" max="3839" width="9.140625" style="575"/>
    <col min="3840" max="3840" width="4.28515625" style="575" customWidth="1"/>
    <col min="3841" max="3841" width="10.140625" style="575" customWidth="1"/>
    <col min="3842" max="3842" width="8.85546875" style="575" customWidth="1"/>
    <col min="3843" max="3843" width="11.140625" style="575" customWidth="1"/>
    <col min="3844" max="3844" width="15" style="575" bestFit="1" customWidth="1"/>
    <col min="3845" max="3845" width="13.5703125" style="575" customWidth="1"/>
    <col min="3846" max="3846" width="11.42578125" style="575" bestFit="1" customWidth="1"/>
    <col min="3847" max="3847" width="11.28515625" style="575" customWidth="1"/>
    <col min="3848" max="3848" width="15.28515625" style="575" bestFit="1" customWidth="1"/>
    <col min="3849" max="3851" width="11.85546875" style="575" customWidth="1"/>
    <col min="3852" max="3852" width="19.140625" style="575" customWidth="1"/>
    <col min="3853" max="3853" width="15" style="575" customWidth="1"/>
    <col min="3854" max="3854" width="15.28515625" style="575" customWidth="1"/>
    <col min="3855" max="3857" width="18.85546875" style="575" customWidth="1"/>
    <col min="3858" max="3858" width="12.7109375" style="575" customWidth="1"/>
    <col min="3859" max="3859" width="13.7109375" style="575" customWidth="1"/>
    <col min="3860" max="3860" width="16.140625" style="575" customWidth="1"/>
    <col min="3861" max="3861" width="17" style="575" customWidth="1"/>
    <col min="3862" max="3862" width="15" style="575" customWidth="1"/>
    <col min="3863" max="3863" width="14.28515625" style="575" customWidth="1"/>
    <col min="3864" max="3864" width="14.85546875" style="575" customWidth="1"/>
    <col min="3865" max="3865" width="17.140625" style="575" customWidth="1"/>
    <col min="3866" max="3866" width="13.5703125" style="575" customWidth="1"/>
    <col min="3867" max="3868" width="14.85546875" style="575" customWidth="1"/>
    <col min="3869" max="3869" width="18.85546875" style="575" customWidth="1"/>
    <col min="3870" max="3870" width="19.42578125" style="575" customWidth="1"/>
    <col min="3871" max="3871" width="16.140625" style="575" customWidth="1"/>
    <col min="3872" max="3872" width="14.5703125" style="575" customWidth="1"/>
    <col min="3873" max="3873" width="20.28515625" style="575" customWidth="1"/>
    <col min="3874" max="3874" width="13.85546875" style="575" customWidth="1"/>
    <col min="3875" max="3875" width="19.140625" style="575" customWidth="1"/>
    <col min="3876" max="3876" width="19.7109375" style="575" customWidth="1"/>
    <col min="3877" max="3877" width="16.5703125" style="575" customWidth="1"/>
    <col min="3878" max="3878" width="19.140625" style="575" customWidth="1"/>
    <col min="3879" max="3881" width="16.5703125" style="575" customWidth="1"/>
    <col min="3882" max="3882" width="15.7109375" style="575" customWidth="1"/>
    <col min="3883" max="3883" width="19.42578125" style="575" customWidth="1"/>
    <col min="3884" max="3884" width="14.85546875" style="575" bestFit="1" customWidth="1"/>
    <col min="3885" max="3885" width="13.7109375" style="575" bestFit="1" customWidth="1"/>
    <col min="3886" max="3886" width="13" style="575" customWidth="1"/>
    <col min="3887" max="3887" width="18.42578125" style="575" customWidth="1"/>
    <col min="3888" max="3890" width="13.140625" style="575" customWidth="1"/>
    <col min="3891" max="3891" width="16.42578125" style="575" customWidth="1"/>
    <col min="3892" max="3892" width="13.140625" style="575" customWidth="1"/>
    <col min="3893" max="3893" width="15.28515625" style="575" customWidth="1"/>
    <col min="3894" max="3894" width="14" style="575" bestFit="1" customWidth="1"/>
    <col min="3895" max="3895" width="17.140625" style="575" customWidth="1"/>
    <col min="3896" max="3917" width="16.5703125" style="575" customWidth="1"/>
    <col min="3918" max="3918" width="20.140625" style="575" customWidth="1"/>
    <col min="3919" max="3919" width="13.28515625" style="575" customWidth="1"/>
    <col min="3920" max="3920" width="14.85546875" style="575" customWidth="1"/>
    <col min="3921" max="3921" width="13.85546875" style="575" customWidth="1"/>
    <col min="3922" max="3922" width="13.5703125" style="575" customWidth="1"/>
    <col min="3923" max="3923" width="13" style="575" customWidth="1"/>
    <col min="3924" max="3924" width="13.5703125" style="575" customWidth="1"/>
    <col min="3925" max="3925" width="7.7109375" style="575" bestFit="1" customWidth="1"/>
    <col min="3926" max="4095" width="9.140625" style="575"/>
    <col min="4096" max="4096" width="4.28515625" style="575" customWidth="1"/>
    <col min="4097" max="4097" width="10.140625" style="575" customWidth="1"/>
    <col min="4098" max="4098" width="8.85546875" style="575" customWidth="1"/>
    <col min="4099" max="4099" width="11.140625" style="575" customWidth="1"/>
    <col min="4100" max="4100" width="15" style="575" bestFit="1" customWidth="1"/>
    <col min="4101" max="4101" width="13.5703125" style="575" customWidth="1"/>
    <col min="4102" max="4102" width="11.42578125" style="575" bestFit="1" customWidth="1"/>
    <col min="4103" max="4103" width="11.28515625" style="575" customWidth="1"/>
    <col min="4104" max="4104" width="15.28515625" style="575" bestFit="1" customWidth="1"/>
    <col min="4105" max="4107" width="11.85546875" style="575" customWidth="1"/>
    <col min="4108" max="4108" width="19.140625" style="575" customWidth="1"/>
    <col min="4109" max="4109" width="15" style="575" customWidth="1"/>
    <col min="4110" max="4110" width="15.28515625" style="575" customWidth="1"/>
    <col min="4111" max="4113" width="18.85546875" style="575" customWidth="1"/>
    <col min="4114" max="4114" width="12.7109375" style="575" customWidth="1"/>
    <col min="4115" max="4115" width="13.7109375" style="575" customWidth="1"/>
    <col min="4116" max="4116" width="16.140625" style="575" customWidth="1"/>
    <col min="4117" max="4117" width="17" style="575" customWidth="1"/>
    <col min="4118" max="4118" width="15" style="575" customWidth="1"/>
    <col min="4119" max="4119" width="14.28515625" style="575" customWidth="1"/>
    <col min="4120" max="4120" width="14.85546875" style="575" customWidth="1"/>
    <col min="4121" max="4121" width="17.140625" style="575" customWidth="1"/>
    <col min="4122" max="4122" width="13.5703125" style="575" customWidth="1"/>
    <col min="4123" max="4124" width="14.85546875" style="575" customWidth="1"/>
    <col min="4125" max="4125" width="18.85546875" style="575" customWidth="1"/>
    <col min="4126" max="4126" width="19.42578125" style="575" customWidth="1"/>
    <col min="4127" max="4127" width="16.140625" style="575" customWidth="1"/>
    <col min="4128" max="4128" width="14.5703125" style="575" customWidth="1"/>
    <col min="4129" max="4129" width="20.28515625" style="575" customWidth="1"/>
    <col min="4130" max="4130" width="13.85546875" style="575" customWidth="1"/>
    <col min="4131" max="4131" width="19.140625" style="575" customWidth="1"/>
    <col min="4132" max="4132" width="19.7109375" style="575" customWidth="1"/>
    <col min="4133" max="4133" width="16.5703125" style="575" customWidth="1"/>
    <col min="4134" max="4134" width="19.140625" style="575" customWidth="1"/>
    <col min="4135" max="4137" width="16.5703125" style="575" customWidth="1"/>
    <col min="4138" max="4138" width="15.7109375" style="575" customWidth="1"/>
    <col min="4139" max="4139" width="19.42578125" style="575" customWidth="1"/>
    <col min="4140" max="4140" width="14.85546875" style="575" bestFit="1" customWidth="1"/>
    <col min="4141" max="4141" width="13.7109375" style="575" bestFit="1" customWidth="1"/>
    <col min="4142" max="4142" width="13" style="575" customWidth="1"/>
    <col min="4143" max="4143" width="18.42578125" style="575" customWidth="1"/>
    <col min="4144" max="4146" width="13.140625" style="575" customWidth="1"/>
    <col min="4147" max="4147" width="16.42578125" style="575" customWidth="1"/>
    <col min="4148" max="4148" width="13.140625" style="575" customWidth="1"/>
    <col min="4149" max="4149" width="15.28515625" style="575" customWidth="1"/>
    <col min="4150" max="4150" width="14" style="575" bestFit="1" customWidth="1"/>
    <col min="4151" max="4151" width="17.140625" style="575" customWidth="1"/>
    <col min="4152" max="4173" width="16.5703125" style="575" customWidth="1"/>
    <col min="4174" max="4174" width="20.140625" style="575" customWidth="1"/>
    <col min="4175" max="4175" width="13.28515625" style="575" customWidth="1"/>
    <col min="4176" max="4176" width="14.85546875" style="575" customWidth="1"/>
    <col min="4177" max="4177" width="13.85546875" style="575" customWidth="1"/>
    <col min="4178" max="4178" width="13.5703125" style="575" customWidth="1"/>
    <col min="4179" max="4179" width="13" style="575" customWidth="1"/>
    <col min="4180" max="4180" width="13.5703125" style="575" customWidth="1"/>
    <col min="4181" max="4181" width="7.7109375" style="575" bestFit="1" customWidth="1"/>
    <col min="4182" max="4351" width="9.140625" style="575"/>
    <col min="4352" max="4352" width="4.28515625" style="575" customWidth="1"/>
    <col min="4353" max="4353" width="10.140625" style="575" customWidth="1"/>
    <col min="4354" max="4354" width="8.85546875" style="575" customWidth="1"/>
    <col min="4355" max="4355" width="11.140625" style="575" customWidth="1"/>
    <col min="4356" max="4356" width="15" style="575" bestFit="1" customWidth="1"/>
    <col min="4357" max="4357" width="13.5703125" style="575" customWidth="1"/>
    <col min="4358" max="4358" width="11.42578125" style="575" bestFit="1" customWidth="1"/>
    <col min="4359" max="4359" width="11.28515625" style="575" customWidth="1"/>
    <col min="4360" max="4360" width="15.28515625" style="575" bestFit="1" customWidth="1"/>
    <col min="4361" max="4363" width="11.85546875" style="575" customWidth="1"/>
    <col min="4364" max="4364" width="19.140625" style="575" customWidth="1"/>
    <col min="4365" max="4365" width="15" style="575" customWidth="1"/>
    <col min="4366" max="4366" width="15.28515625" style="575" customWidth="1"/>
    <col min="4367" max="4369" width="18.85546875" style="575" customWidth="1"/>
    <col min="4370" max="4370" width="12.7109375" style="575" customWidth="1"/>
    <col min="4371" max="4371" width="13.7109375" style="575" customWidth="1"/>
    <col min="4372" max="4372" width="16.140625" style="575" customWidth="1"/>
    <col min="4373" max="4373" width="17" style="575" customWidth="1"/>
    <col min="4374" max="4374" width="15" style="575" customWidth="1"/>
    <col min="4375" max="4375" width="14.28515625" style="575" customWidth="1"/>
    <col min="4376" max="4376" width="14.85546875" style="575" customWidth="1"/>
    <col min="4377" max="4377" width="17.140625" style="575" customWidth="1"/>
    <col min="4378" max="4378" width="13.5703125" style="575" customWidth="1"/>
    <col min="4379" max="4380" width="14.85546875" style="575" customWidth="1"/>
    <col min="4381" max="4381" width="18.85546875" style="575" customWidth="1"/>
    <col min="4382" max="4382" width="19.42578125" style="575" customWidth="1"/>
    <col min="4383" max="4383" width="16.140625" style="575" customWidth="1"/>
    <col min="4384" max="4384" width="14.5703125" style="575" customWidth="1"/>
    <col min="4385" max="4385" width="20.28515625" style="575" customWidth="1"/>
    <col min="4386" max="4386" width="13.85546875" style="575" customWidth="1"/>
    <col min="4387" max="4387" width="19.140625" style="575" customWidth="1"/>
    <col min="4388" max="4388" width="19.7109375" style="575" customWidth="1"/>
    <col min="4389" max="4389" width="16.5703125" style="575" customWidth="1"/>
    <col min="4390" max="4390" width="19.140625" style="575" customWidth="1"/>
    <col min="4391" max="4393" width="16.5703125" style="575" customWidth="1"/>
    <col min="4394" max="4394" width="15.7109375" style="575" customWidth="1"/>
    <col min="4395" max="4395" width="19.42578125" style="575" customWidth="1"/>
    <col min="4396" max="4396" width="14.85546875" style="575" bestFit="1" customWidth="1"/>
    <col min="4397" max="4397" width="13.7109375" style="575" bestFit="1" customWidth="1"/>
    <col min="4398" max="4398" width="13" style="575" customWidth="1"/>
    <col min="4399" max="4399" width="18.42578125" style="575" customWidth="1"/>
    <col min="4400" max="4402" width="13.140625" style="575" customWidth="1"/>
    <col min="4403" max="4403" width="16.42578125" style="575" customWidth="1"/>
    <col min="4404" max="4404" width="13.140625" style="575" customWidth="1"/>
    <col min="4405" max="4405" width="15.28515625" style="575" customWidth="1"/>
    <col min="4406" max="4406" width="14" style="575" bestFit="1" customWidth="1"/>
    <col min="4407" max="4407" width="17.140625" style="575" customWidth="1"/>
    <col min="4408" max="4429" width="16.5703125" style="575" customWidth="1"/>
    <col min="4430" max="4430" width="20.140625" style="575" customWidth="1"/>
    <col min="4431" max="4431" width="13.28515625" style="575" customWidth="1"/>
    <col min="4432" max="4432" width="14.85546875" style="575" customWidth="1"/>
    <col min="4433" max="4433" width="13.85546875" style="575" customWidth="1"/>
    <col min="4434" max="4434" width="13.5703125" style="575" customWidth="1"/>
    <col min="4435" max="4435" width="13" style="575" customWidth="1"/>
    <col min="4436" max="4436" width="13.5703125" style="575" customWidth="1"/>
    <col min="4437" max="4437" width="7.7109375" style="575" bestFit="1" customWidth="1"/>
    <col min="4438" max="4607" width="9.140625" style="575"/>
    <col min="4608" max="4608" width="4.28515625" style="575" customWidth="1"/>
    <col min="4609" max="4609" width="10.140625" style="575" customWidth="1"/>
    <col min="4610" max="4610" width="8.85546875" style="575" customWidth="1"/>
    <col min="4611" max="4611" width="11.140625" style="575" customWidth="1"/>
    <col min="4612" max="4612" width="15" style="575" bestFit="1" customWidth="1"/>
    <col min="4613" max="4613" width="13.5703125" style="575" customWidth="1"/>
    <col min="4614" max="4614" width="11.42578125" style="575" bestFit="1" customWidth="1"/>
    <col min="4615" max="4615" width="11.28515625" style="575" customWidth="1"/>
    <col min="4616" max="4616" width="15.28515625" style="575" bestFit="1" customWidth="1"/>
    <col min="4617" max="4619" width="11.85546875" style="575" customWidth="1"/>
    <col min="4620" max="4620" width="19.140625" style="575" customWidth="1"/>
    <col min="4621" max="4621" width="15" style="575" customWidth="1"/>
    <col min="4622" max="4622" width="15.28515625" style="575" customWidth="1"/>
    <col min="4623" max="4625" width="18.85546875" style="575" customWidth="1"/>
    <col min="4626" max="4626" width="12.7109375" style="575" customWidth="1"/>
    <col min="4627" max="4627" width="13.7109375" style="575" customWidth="1"/>
    <col min="4628" max="4628" width="16.140625" style="575" customWidth="1"/>
    <col min="4629" max="4629" width="17" style="575" customWidth="1"/>
    <col min="4630" max="4630" width="15" style="575" customWidth="1"/>
    <col min="4631" max="4631" width="14.28515625" style="575" customWidth="1"/>
    <col min="4632" max="4632" width="14.85546875" style="575" customWidth="1"/>
    <col min="4633" max="4633" width="17.140625" style="575" customWidth="1"/>
    <col min="4634" max="4634" width="13.5703125" style="575" customWidth="1"/>
    <col min="4635" max="4636" width="14.85546875" style="575" customWidth="1"/>
    <col min="4637" max="4637" width="18.85546875" style="575" customWidth="1"/>
    <col min="4638" max="4638" width="19.42578125" style="575" customWidth="1"/>
    <col min="4639" max="4639" width="16.140625" style="575" customWidth="1"/>
    <col min="4640" max="4640" width="14.5703125" style="575" customWidth="1"/>
    <col min="4641" max="4641" width="20.28515625" style="575" customWidth="1"/>
    <col min="4642" max="4642" width="13.85546875" style="575" customWidth="1"/>
    <col min="4643" max="4643" width="19.140625" style="575" customWidth="1"/>
    <col min="4644" max="4644" width="19.7109375" style="575" customWidth="1"/>
    <col min="4645" max="4645" width="16.5703125" style="575" customWidth="1"/>
    <col min="4646" max="4646" width="19.140625" style="575" customWidth="1"/>
    <col min="4647" max="4649" width="16.5703125" style="575" customWidth="1"/>
    <col min="4650" max="4650" width="15.7109375" style="575" customWidth="1"/>
    <col min="4651" max="4651" width="19.42578125" style="575" customWidth="1"/>
    <col min="4652" max="4652" width="14.85546875" style="575" bestFit="1" customWidth="1"/>
    <col min="4653" max="4653" width="13.7109375" style="575" bestFit="1" customWidth="1"/>
    <col min="4654" max="4654" width="13" style="575" customWidth="1"/>
    <col min="4655" max="4655" width="18.42578125" style="575" customWidth="1"/>
    <col min="4656" max="4658" width="13.140625" style="575" customWidth="1"/>
    <col min="4659" max="4659" width="16.42578125" style="575" customWidth="1"/>
    <col min="4660" max="4660" width="13.140625" style="575" customWidth="1"/>
    <col min="4661" max="4661" width="15.28515625" style="575" customWidth="1"/>
    <col min="4662" max="4662" width="14" style="575" bestFit="1" customWidth="1"/>
    <col min="4663" max="4663" width="17.140625" style="575" customWidth="1"/>
    <col min="4664" max="4685" width="16.5703125" style="575" customWidth="1"/>
    <col min="4686" max="4686" width="20.140625" style="575" customWidth="1"/>
    <col min="4687" max="4687" width="13.28515625" style="575" customWidth="1"/>
    <col min="4688" max="4688" width="14.85546875" style="575" customWidth="1"/>
    <col min="4689" max="4689" width="13.85546875" style="575" customWidth="1"/>
    <col min="4690" max="4690" width="13.5703125" style="575" customWidth="1"/>
    <col min="4691" max="4691" width="13" style="575" customWidth="1"/>
    <col min="4692" max="4692" width="13.5703125" style="575" customWidth="1"/>
    <col min="4693" max="4693" width="7.7109375" style="575" bestFit="1" customWidth="1"/>
    <col min="4694" max="4863" width="9.140625" style="575"/>
    <col min="4864" max="4864" width="4.28515625" style="575" customWidth="1"/>
    <col min="4865" max="4865" width="10.140625" style="575" customWidth="1"/>
    <col min="4866" max="4866" width="8.85546875" style="575" customWidth="1"/>
    <col min="4867" max="4867" width="11.140625" style="575" customWidth="1"/>
    <col min="4868" max="4868" width="15" style="575" bestFit="1" customWidth="1"/>
    <col min="4869" max="4869" width="13.5703125" style="575" customWidth="1"/>
    <col min="4870" max="4870" width="11.42578125" style="575" bestFit="1" customWidth="1"/>
    <col min="4871" max="4871" width="11.28515625" style="575" customWidth="1"/>
    <col min="4872" max="4872" width="15.28515625" style="575" bestFit="1" customWidth="1"/>
    <col min="4873" max="4875" width="11.85546875" style="575" customWidth="1"/>
    <col min="4876" max="4876" width="19.140625" style="575" customWidth="1"/>
    <col min="4877" max="4877" width="15" style="575" customWidth="1"/>
    <col min="4878" max="4878" width="15.28515625" style="575" customWidth="1"/>
    <col min="4879" max="4881" width="18.85546875" style="575" customWidth="1"/>
    <col min="4882" max="4882" width="12.7109375" style="575" customWidth="1"/>
    <col min="4883" max="4883" width="13.7109375" style="575" customWidth="1"/>
    <col min="4884" max="4884" width="16.140625" style="575" customWidth="1"/>
    <col min="4885" max="4885" width="17" style="575" customWidth="1"/>
    <col min="4886" max="4886" width="15" style="575" customWidth="1"/>
    <col min="4887" max="4887" width="14.28515625" style="575" customWidth="1"/>
    <col min="4888" max="4888" width="14.85546875" style="575" customWidth="1"/>
    <col min="4889" max="4889" width="17.140625" style="575" customWidth="1"/>
    <col min="4890" max="4890" width="13.5703125" style="575" customWidth="1"/>
    <col min="4891" max="4892" width="14.85546875" style="575" customWidth="1"/>
    <col min="4893" max="4893" width="18.85546875" style="575" customWidth="1"/>
    <col min="4894" max="4894" width="19.42578125" style="575" customWidth="1"/>
    <col min="4895" max="4895" width="16.140625" style="575" customWidth="1"/>
    <col min="4896" max="4896" width="14.5703125" style="575" customWidth="1"/>
    <col min="4897" max="4897" width="20.28515625" style="575" customWidth="1"/>
    <col min="4898" max="4898" width="13.85546875" style="575" customWidth="1"/>
    <col min="4899" max="4899" width="19.140625" style="575" customWidth="1"/>
    <col min="4900" max="4900" width="19.7109375" style="575" customWidth="1"/>
    <col min="4901" max="4901" width="16.5703125" style="575" customWidth="1"/>
    <col min="4902" max="4902" width="19.140625" style="575" customWidth="1"/>
    <col min="4903" max="4905" width="16.5703125" style="575" customWidth="1"/>
    <col min="4906" max="4906" width="15.7109375" style="575" customWidth="1"/>
    <col min="4907" max="4907" width="19.42578125" style="575" customWidth="1"/>
    <col min="4908" max="4908" width="14.85546875" style="575" bestFit="1" customWidth="1"/>
    <col min="4909" max="4909" width="13.7109375" style="575" bestFit="1" customWidth="1"/>
    <col min="4910" max="4910" width="13" style="575" customWidth="1"/>
    <col min="4911" max="4911" width="18.42578125" style="575" customWidth="1"/>
    <col min="4912" max="4914" width="13.140625" style="575" customWidth="1"/>
    <col min="4915" max="4915" width="16.42578125" style="575" customWidth="1"/>
    <col min="4916" max="4916" width="13.140625" style="575" customWidth="1"/>
    <col min="4917" max="4917" width="15.28515625" style="575" customWidth="1"/>
    <col min="4918" max="4918" width="14" style="575" bestFit="1" customWidth="1"/>
    <col min="4919" max="4919" width="17.140625" style="575" customWidth="1"/>
    <col min="4920" max="4941" width="16.5703125" style="575" customWidth="1"/>
    <col min="4942" max="4942" width="20.140625" style="575" customWidth="1"/>
    <col min="4943" max="4943" width="13.28515625" style="575" customWidth="1"/>
    <col min="4944" max="4944" width="14.85546875" style="575" customWidth="1"/>
    <col min="4945" max="4945" width="13.85546875" style="575" customWidth="1"/>
    <col min="4946" max="4946" width="13.5703125" style="575" customWidth="1"/>
    <col min="4947" max="4947" width="13" style="575" customWidth="1"/>
    <col min="4948" max="4948" width="13.5703125" style="575" customWidth="1"/>
    <col min="4949" max="4949" width="7.7109375" style="575" bestFit="1" customWidth="1"/>
    <col min="4950" max="5119" width="9.140625" style="575"/>
    <col min="5120" max="5120" width="4.28515625" style="575" customWidth="1"/>
    <col min="5121" max="5121" width="10.140625" style="575" customWidth="1"/>
    <col min="5122" max="5122" width="8.85546875" style="575" customWidth="1"/>
    <col min="5123" max="5123" width="11.140625" style="575" customWidth="1"/>
    <col min="5124" max="5124" width="15" style="575" bestFit="1" customWidth="1"/>
    <col min="5125" max="5125" width="13.5703125" style="575" customWidth="1"/>
    <col min="5126" max="5126" width="11.42578125" style="575" bestFit="1" customWidth="1"/>
    <col min="5127" max="5127" width="11.28515625" style="575" customWidth="1"/>
    <col min="5128" max="5128" width="15.28515625" style="575" bestFit="1" customWidth="1"/>
    <col min="5129" max="5131" width="11.85546875" style="575" customWidth="1"/>
    <col min="5132" max="5132" width="19.140625" style="575" customWidth="1"/>
    <col min="5133" max="5133" width="15" style="575" customWidth="1"/>
    <col min="5134" max="5134" width="15.28515625" style="575" customWidth="1"/>
    <col min="5135" max="5137" width="18.85546875" style="575" customWidth="1"/>
    <col min="5138" max="5138" width="12.7109375" style="575" customWidth="1"/>
    <col min="5139" max="5139" width="13.7109375" style="575" customWidth="1"/>
    <col min="5140" max="5140" width="16.140625" style="575" customWidth="1"/>
    <col min="5141" max="5141" width="17" style="575" customWidth="1"/>
    <col min="5142" max="5142" width="15" style="575" customWidth="1"/>
    <col min="5143" max="5143" width="14.28515625" style="575" customWidth="1"/>
    <col min="5144" max="5144" width="14.85546875" style="575" customWidth="1"/>
    <col min="5145" max="5145" width="17.140625" style="575" customWidth="1"/>
    <col min="5146" max="5146" width="13.5703125" style="575" customWidth="1"/>
    <col min="5147" max="5148" width="14.85546875" style="575" customWidth="1"/>
    <col min="5149" max="5149" width="18.85546875" style="575" customWidth="1"/>
    <col min="5150" max="5150" width="19.42578125" style="575" customWidth="1"/>
    <col min="5151" max="5151" width="16.140625" style="575" customWidth="1"/>
    <col min="5152" max="5152" width="14.5703125" style="575" customWidth="1"/>
    <col min="5153" max="5153" width="20.28515625" style="575" customWidth="1"/>
    <col min="5154" max="5154" width="13.85546875" style="575" customWidth="1"/>
    <col min="5155" max="5155" width="19.140625" style="575" customWidth="1"/>
    <col min="5156" max="5156" width="19.7109375" style="575" customWidth="1"/>
    <col min="5157" max="5157" width="16.5703125" style="575" customWidth="1"/>
    <col min="5158" max="5158" width="19.140625" style="575" customWidth="1"/>
    <col min="5159" max="5161" width="16.5703125" style="575" customWidth="1"/>
    <col min="5162" max="5162" width="15.7109375" style="575" customWidth="1"/>
    <col min="5163" max="5163" width="19.42578125" style="575" customWidth="1"/>
    <col min="5164" max="5164" width="14.85546875" style="575" bestFit="1" customWidth="1"/>
    <col min="5165" max="5165" width="13.7109375" style="575" bestFit="1" customWidth="1"/>
    <col min="5166" max="5166" width="13" style="575" customWidth="1"/>
    <col min="5167" max="5167" width="18.42578125" style="575" customWidth="1"/>
    <col min="5168" max="5170" width="13.140625" style="575" customWidth="1"/>
    <col min="5171" max="5171" width="16.42578125" style="575" customWidth="1"/>
    <col min="5172" max="5172" width="13.140625" style="575" customWidth="1"/>
    <col min="5173" max="5173" width="15.28515625" style="575" customWidth="1"/>
    <col min="5174" max="5174" width="14" style="575" bestFit="1" customWidth="1"/>
    <col min="5175" max="5175" width="17.140625" style="575" customWidth="1"/>
    <col min="5176" max="5197" width="16.5703125" style="575" customWidth="1"/>
    <col min="5198" max="5198" width="20.140625" style="575" customWidth="1"/>
    <col min="5199" max="5199" width="13.28515625" style="575" customWidth="1"/>
    <col min="5200" max="5200" width="14.85546875" style="575" customWidth="1"/>
    <col min="5201" max="5201" width="13.85546875" style="575" customWidth="1"/>
    <col min="5202" max="5202" width="13.5703125" style="575" customWidth="1"/>
    <col min="5203" max="5203" width="13" style="575" customWidth="1"/>
    <col min="5204" max="5204" width="13.5703125" style="575" customWidth="1"/>
    <col min="5205" max="5205" width="7.7109375" style="575" bestFit="1" customWidth="1"/>
    <col min="5206" max="5375" width="9.140625" style="575"/>
    <col min="5376" max="5376" width="4.28515625" style="575" customWidth="1"/>
    <col min="5377" max="5377" width="10.140625" style="575" customWidth="1"/>
    <col min="5378" max="5378" width="8.85546875" style="575" customWidth="1"/>
    <col min="5379" max="5379" width="11.140625" style="575" customWidth="1"/>
    <col min="5380" max="5380" width="15" style="575" bestFit="1" customWidth="1"/>
    <col min="5381" max="5381" width="13.5703125" style="575" customWidth="1"/>
    <col min="5382" max="5382" width="11.42578125" style="575" bestFit="1" customWidth="1"/>
    <col min="5383" max="5383" width="11.28515625" style="575" customWidth="1"/>
    <col min="5384" max="5384" width="15.28515625" style="575" bestFit="1" customWidth="1"/>
    <col min="5385" max="5387" width="11.85546875" style="575" customWidth="1"/>
    <col min="5388" max="5388" width="19.140625" style="575" customWidth="1"/>
    <col min="5389" max="5389" width="15" style="575" customWidth="1"/>
    <col min="5390" max="5390" width="15.28515625" style="575" customWidth="1"/>
    <col min="5391" max="5393" width="18.85546875" style="575" customWidth="1"/>
    <col min="5394" max="5394" width="12.7109375" style="575" customWidth="1"/>
    <col min="5395" max="5395" width="13.7109375" style="575" customWidth="1"/>
    <col min="5396" max="5396" width="16.140625" style="575" customWidth="1"/>
    <col min="5397" max="5397" width="17" style="575" customWidth="1"/>
    <col min="5398" max="5398" width="15" style="575" customWidth="1"/>
    <col min="5399" max="5399" width="14.28515625" style="575" customWidth="1"/>
    <col min="5400" max="5400" width="14.85546875" style="575" customWidth="1"/>
    <col min="5401" max="5401" width="17.140625" style="575" customWidth="1"/>
    <col min="5402" max="5402" width="13.5703125" style="575" customWidth="1"/>
    <col min="5403" max="5404" width="14.85546875" style="575" customWidth="1"/>
    <col min="5405" max="5405" width="18.85546875" style="575" customWidth="1"/>
    <col min="5406" max="5406" width="19.42578125" style="575" customWidth="1"/>
    <col min="5407" max="5407" width="16.140625" style="575" customWidth="1"/>
    <col min="5408" max="5408" width="14.5703125" style="575" customWidth="1"/>
    <col min="5409" max="5409" width="20.28515625" style="575" customWidth="1"/>
    <col min="5410" max="5410" width="13.85546875" style="575" customWidth="1"/>
    <col min="5411" max="5411" width="19.140625" style="575" customWidth="1"/>
    <col min="5412" max="5412" width="19.7109375" style="575" customWidth="1"/>
    <col min="5413" max="5413" width="16.5703125" style="575" customWidth="1"/>
    <col min="5414" max="5414" width="19.140625" style="575" customWidth="1"/>
    <col min="5415" max="5417" width="16.5703125" style="575" customWidth="1"/>
    <col min="5418" max="5418" width="15.7109375" style="575" customWidth="1"/>
    <col min="5419" max="5419" width="19.42578125" style="575" customWidth="1"/>
    <col min="5420" max="5420" width="14.85546875" style="575" bestFit="1" customWidth="1"/>
    <col min="5421" max="5421" width="13.7109375" style="575" bestFit="1" customWidth="1"/>
    <col min="5422" max="5422" width="13" style="575" customWidth="1"/>
    <col min="5423" max="5423" width="18.42578125" style="575" customWidth="1"/>
    <col min="5424" max="5426" width="13.140625" style="575" customWidth="1"/>
    <col min="5427" max="5427" width="16.42578125" style="575" customWidth="1"/>
    <col min="5428" max="5428" width="13.140625" style="575" customWidth="1"/>
    <col min="5429" max="5429" width="15.28515625" style="575" customWidth="1"/>
    <col min="5430" max="5430" width="14" style="575" bestFit="1" customWidth="1"/>
    <col min="5431" max="5431" width="17.140625" style="575" customWidth="1"/>
    <col min="5432" max="5453" width="16.5703125" style="575" customWidth="1"/>
    <col min="5454" max="5454" width="20.140625" style="575" customWidth="1"/>
    <col min="5455" max="5455" width="13.28515625" style="575" customWidth="1"/>
    <col min="5456" max="5456" width="14.85546875" style="575" customWidth="1"/>
    <col min="5457" max="5457" width="13.85546875" style="575" customWidth="1"/>
    <col min="5458" max="5458" width="13.5703125" style="575" customWidth="1"/>
    <col min="5459" max="5459" width="13" style="575" customWidth="1"/>
    <col min="5460" max="5460" width="13.5703125" style="575" customWidth="1"/>
    <col min="5461" max="5461" width="7.7109375" style="575" bestFit="1" customWidth="1"/>
    <col min="5462" max="5631" width="9.140625" style="575"/>
    <col min="5632" max="5632" width="4.28515625" style="575" customWidth="1"/>
    <col min="5633" max="5633" width="10.140625" style="575" customWidth="1"/>
    <col min="5634" max="5634" width="8.85546875" style="575" customWidth="1"/>
    <col min="5635" max="5635" width="11.140625" style="575" customWidth="1"/>
    <col min="5636" max="5636" width="15" style="575" bestFit="1" customWidth="1"/>
    <col min="5637" max="5637" width="13.5703125" style="575" customWidth="1"/>
    <col min="5638" max="5638" width="11.42578125" style="575" bestFit="1" customWidth="1"/>
    <col min="5639" max="5639" width="11.28515625" style="575" customWidth="1"/>
    <col min="5640" max="5640" width="15.28515625" style="575" bestFit="1" customWidth="1"/>
    <col min="5641" max="5643" width="11.85546875" style="575" customWidth="1"/>
    <col min="5644" max="5644" width="19.140625" style="575" customWidth="1"/>
    <col min="5645" max="5645" width="15" style="575" customWidth="1"/>
    <col min="5646" max="5646" width="15.28515625" style="575" customWidth="1"/>
    <col min="5647" max="5649" width="18.85546875" style="575" customWidth="1"/>
    <col min="5650" max="5650" width="12.7109375" style="575" customWidth="1"/>
    <col min="5651" max="5651" width="13.7109375" style="575" customWidth="1"/>
    <col min="5652" max="5652" width="16.140625" style="575" customWidth="1"/>
    <col min="5653" max="5653" width="17" style="575" customWidth="1"/>
    <col min="5654" max="5654" width="15" style="575" customWidth="1"/>
    <col min="5655" max="5655" width="14.28515625" style="575" customWidth="1"/>
    <col min="5656" max="5656" width="14.85546875" style="575" customWidth="1"/>
    <col min="5657" max="5657" width="17.140625" style="575" customWidth="1"/>
    <col min="5658" max="5658" width="13.5703125" style="575" customWidth="1"/>
    <col min="5659" max="5660" width="14.85546875" style="575" customWidth="1"/>
    <col min="5661" max="5661" width="18.85546875" style="575" customWidth="1"/>
    <col min="5662" max="5662" width="19.42578125" style="575" customWidth="1"/>
    <col min="5663" max="5663" width="16.140625" style="575" customWidth="1"/>
    <col min="5664" max="5664" width="14.5703125" style="575" customWidth="1"/>
    <col min="5665" max="5665" width="20.28515625" style="575" customWidth="1"/>
    <col min="5666" max="5666" width="13.85546875" style="575" customWidth="1"/>
    <col min="5667" max="5667" width="19.140625" style="575" customWidth="1"/>
    <col min="5668" max="5668" width="19.7109375" style="575" customWidth="1"/>
    <col min="5669" max="5669" width="16.5703125" style="575" customWidth="1"/>
    <col min="5670" max="5670" width="19.140625" style="575" customWidth="1"/>
    <col min="5671" max="5673" width="16.5703125" style="575" customWidth="1"/>
    <col min="5674" max="5674" width="15.7109375" style="575" customWidth="1"/>
    <col min="5675" max="5675" width="19.42578125" style="575" customWidth="1"/>
    <col min="5676" max="5676" width="14.85546875" style="575" bestFit="1" customWidth="1"/>
    <col min="5677" max="5677" width="13.7109375" style="575" bestFit="1" customWidth="1"/>
    <col min="5678" max="5678" width="13" style="575" customWidth="1"/>
    <col min="5679" max="5679" width="18.42578125" style="575" customWidth="1"/>
    <col min="5680" max="5682" width="13.140625" style="575" customWidth="1"/>
    <col min="5683" max="5683" width="16.42578125" style="575" customWidth="1"/>
    <col min="5684" max="5684" width="13.140625" style="575" customWidth="1"/>
    <col min="5685" max="5685" width="15.28515625" style="575" customWidth="1"/>
    <col min="5686" max="5686" width="14" style="575" bestFit="1" customWidth="1"/>
    <col min="5687" max="5687" width="17.140625" style="575" customWidth="1"/>
    <col min="5688" max="5709" width="16.5703125" style="575" customWidth="1"/>
    <col min="5710" max="5710" width="20.140625" style="575" customWidth="1"/>
    <col min="5711" max="5711" width="13.28515625" style="575" customWidth="1"/>
    <col min="5712" max="5712" width="14.85546875" style="575" customWidth="1"/>
    <col min="5713" max="5713" width="13.85546875" style="575" customWidth="1"/>
    <col min="5714" max="5714" width="13.5703125" style="575" customWidth="1"/>
    <col min="5715" max="5715" width="13" style="575" customWidth="1"/>
    <col min="5716" max="5716" width="13.5703125" style="575" customWidth="1"/>
    <col min="5717" max="5717" width="7.7109375" style="575" bestFit="1" customWidth="1"/>
    <col min="5718" max="5887" width="9.140625" style="575"/>
    <col min="5888" max="5888" width="4.28515625" style="575" customWidth="1"/>
    <col min="5889" max="5889" width="10.140625" style="575" customWidth="1"/>
    <col min="5890" max="5890" width="8.85546875" style="575" customWidth="1"/>
    <col min="5891" max="5891" width="11.140625" style="575" customWidth="1"/>
    <col min="5892" max="5892" width="15" style="575" bestFit="1" customWidth="1"/>
    <col min="5893" max="5893" width="13.5703125" style="575" customWidth="1"/>
    <col min="5894" max="5894" width="11.42578125" style="575" bestFit="1" customWidth="1"/>
    <col min="5895" max="5895" width="11.28515625" style="575" customWidth="1"/>
    <col min="5896" max="5896" width="15.28515625" style="575" bestFit="1" customWidth="1"/>
    <col min="5897" max="5899" width="11.85546875" style="575" customWidth="1"/>
    <col min="5900" max="5900" width="19.140625" style="575" customWidth="1"/>
    <col min="5901" max="5901" width="15" style="575" customWidth="1"/>
    <col min="5902" max="5902" width="15.28515625" style="575" customWidth="1"/>
    <col min="5903" max="5905" width="18.85546875" style="575" customWidth="1"/>
    <col min="5906" max="5906" width="12.7109375" style="575" customWidth="1"/>
    <col min="5907" max="5907" width="13.7109375" style="575" customWidth="1"/>
    <col min="5908" max="5908" width="16.140625" style="575" customWidth="1"/>
    <col min="5909" max="5909" width="17" style="575" customWidth="1"/>
    <col min="5910" max="5910" width="15" style="575" customWidth="1"/>
    <col min="5911" max="5911" width="14.28515625" style="575" customWidth="1"/>
    <col min="5912" max="5912" width="14.85546875" style="575" customWidth="1"/>
    <col min="5913" max="5913" width="17.140625" style="575" customWidth="1"/>
    <col min="5914" max="5914" width="13.5703125" style="575" customWidth="1"/>
    <col min="5915" max="5916" width="14.85546875" style="575" customWidth="1"/>
    <col min="5917" max="5917" width="18.85546875" style="575" customWidth="1"/>
    <col min="5918" max="5918" width="19.42578125" style="575" customWidth="1"/>
    <col min="5919" max="5919" width="16.140625" style="575" customWidth="1"/>
    <col min="5920" max="5920" width="14.5703125" style="575" customWidth="1"/>
    <col min="5921" max="5921" width="20.28515625" style="575" customWidth="1"/>
    <col min="5922" max="5922" width="13.85546875" style="575" customWidth="1"/>
    <col min="5923" max="5923" width="19.140625" style="575" customWidth="1"/>
    <col min="5924" max="5924" width="19.7109375" style="575" customWidth="1"/>
    <col min="5925" max="5925" width="16.5703125" style="575" customWidth="1"/>
    <col min="5926" max="5926" width="19.140625" style="575" customWidth="1"/>
    <col min="5927" max="5929" width="16.5703125" style="575" customWidth="1"/>
    <col min="5930" max="5930" width="15.7109375" style="575" customWidth="1"/>
    <col min="5931" max="5931" width="19.42578125" style="575" customWidth="1"/>
    <col min="5932" max="5932" width="14.85546875" style="575" bestFit="1" customWidth="1"/>
    <col min="5933" max="5933" width="13.7109375" style="575" bestFit="1" customWidth="1"/>
    <col min="5934" max="5934" width="13" style="575" customWidth="1"/>
    <col min="5935" max="5935" width="18.42578125" style="575" customWidth="1"/>
    <col min="5936" max="5938" width="13.140625" style="575" customWidth="1"/>
    <col min="5939" max="5939" width="16.42578125" style="575" customWidth="1"/>
    <col min="5940" max="5940" width="13.140625" style="575" customWidth="1"/>
    <col min="5941" max="5941" width="15.28515625" style="575" customWidth="1"/>
    <col min="5942" max="5942" width="14" style="575" bestFit="1" customWidth="1"/>
    <col min="5943" max="5943" width="17.140625" style="575" customWidth="1"/>
    <col min="5944" max="5965" width="16.5703125" style="575" customWidth="1"/>
    <col min="5966" max="5966" width="20.140625" style="575" customWidth="1"/>
    <col min="5967" max="5967" width="13.28515625" style="575" customWidth="1"/>
    <col min="5968" max="5968" width="14.85546875" style="575" customWidth="1"/>
    <col min="5969" max="5969" width="13.85546875" style="575" customWidth="1"/>
    <col min="5970" max="5970" width="13.5703125" style="575" customWidth="1"/>
    <col min="5971" max="5971" width="13" style="575" customWidth="1"/>
    <col min="5972" max="5972" width="13.5703125" style="575" customWidth="1"/>
    <col min="5973" max="5973" width="7.7109375" style="575" bestFit="1" customWidth="1"/>
    <col min="5974" max="6143" width="9.140625" style="575"/>
    <col min="6144" max="6144" width="4.28515625" style="575" customWidth="1"/>
    <col min="6145" max="6145" width="10.140625" style="575" customWidth="1"/>
    <col min="6146" max="6146" width="8.85546875" style="575" customWidth="1"/>
    <col min="6147" max="6147" width="11.140625" style="575" customWidth="1"/>
    <col min="6148" max="6148" width="15" style="575" bestFit="1" customWidth="1"/>
    <col min="6149" max="6149" width="13.5703125" style="575" customWidth="1"/>
    <col min="6150" max="6150" width="11.42578125" style="575" bestFit="1" customWidth="1"/>
    <col min="6151" max="6151" width="11.28515625" style="575" customWidth="1"/>
    <col min="6152" max="6152" width="15.28515625" style="575" bestFit="1" customWidth="1"/>
    <col min="6153" max="6155" width="11.85546875" style="575" customWidth="1"/>
    <col min="6156" max="6156" width="19.140625" style="575" customWidth="1"/>
    <col min="6157" max="6157" width="15" style="575" customWidth="1"/>
    <col min="6158" max="6158" width="15.28515625" style="575" customWidth="1"/>
    <col min="6159" max="6161" width="18.85546875" style="575" customWidth="1"/>
    <col min="6162" max="6162" width="12.7109375" style="575" customWidth="1"/>
    <col min="6163" max="6163" width="13.7109375" style="575" customWidth="1"/>
    <col min="6164" max="6164" width="16.140625" style="575" customWidth="1"/>
    <col min="6165" max="6165" width="17" style="575" customWidth="1"/>
    <col min="6166" max="6166" width="15" style="575" customWidth="1"/>
    <col min="6167" max="6167" width="14.28515625" style="575" customWidth="1"/>
    <col min="6168" max="6168" width="14.85546875" style="575" customWidth="1"/>
    <col min="6169" max="6169" width="17.140625" style="575" customWidth="1"/>
    <col min="6170" max="6170" width="13.5703125" style="575" customWidth="1"/>
    <col min="6171" max="6172" width="14.85546875" style="575" customWidth="1"/>
    <col min="6173" max="6173" width="18.85546875" style="575" customWidth="1"/>
    <col min="6174" max="6174" width="19.42578125" style="575" customWidth="1"/>
    <col min="6175" max="6175" width="16.140625" style="575" customWidth="1"/>
    <col min="6176" max="6176" width="14.5703125" style="575" customWidth="1"/>
    <col min="6177" max="6177" width="20.28515625" style="575" customWidth="1"/>
    <col min="6178" max="6178" width="13.85546875" style="575" customWidth="1"/>
    <col min="6179" max="6179" width="19.140625" style="575" customWidth="1"/>
    <col min="6180" max="6180" width="19.7109375" style="575" customWidth="1"/>
    <col min="6181" max="6181" width="16.5703125" style="575" customWidth="1"/>
    <col min="6182" max="6182" width="19.140625" style="575" customWidth="1"/>
    <col min="6183" max="6185" width="16.5703125" style="575" customWidth="1"/>
    <col min="6186" max="6186" width="15.7109375" style="575" customWidth="1"/>
    <col min="6187" max="6187" width="19.42578125" style="575" customWidth="1"/>
    <col min="6188" max="6188" width="14.85546875" style="575" bestFit="1" customWidth="1"/>
    <col min="6189" max="6189" width="13.7109375" style="575" bestFit="1" customWidth="1"/>
    <col min="6190" max="6190" width="13" style="575" customWidth="1"/>
    <col min="6191" max="6191" width="18.42578125" style="575" customWidth="1"/>
    <col min="6192" max="6194" width="13.140625" style="575" customWidth="1"/>
    <col min="6195" max="6195" width="16.42578125" style="575" customWidth="1"/>
    <col min="6196" max="6196" width="13.140625" style="575" customWidth="1"/>
    <col min="6197" max="6197" width="15.28515625" style="575" customWidth="1"/>
    <col min="6198" max="6198" width="14" style="575" bestFit="1" customWidth="1"/>
    <col min="6199" max="6199" width="17.140625" style="575" customWidth="1"/>
    <col min="6200" max="6221" width="16.5703125" style="575" customWidth="1"/>
    <col min="6222" max="6222" width="20.140625" style="575" customWidth="1"/>
    <col min="6223" max="6223" width="13.28515625" style="575" customWidth="1"/>
    <col min="6224" max="6224" width="14.85546875" style="575" customWidth="1"/>
    <col min="6225" max="6225" width="13.85546875" style="575" customWidth="1"/>
    <col min="6226" max="6226" width="13.5703125" style="575" customWidth="1"/>
    <col min="6227" max="6227" width="13" style="575" customWidth="1"/>
    <col min="6228" max="6228" width="13.5703125" style="575" customWidth="1"/>
    <col min="6229" max="6229" width="7.7109375" style="575" bestFit="1" customWidth="1"/>
    <col min="6230" max="6399" width="9.140625" style="575"/>
    <col min="6400" max="6400" width="4.28515625" style="575" customWidth="1"/>
    <col min="6401" max="6401" width="10.140625" style="575" customWidth="1"/>
    <col min="6402" max="6402" width="8.85546875" style="575" customWidth="1"/>
    <col min="6403" max="6403" width="11.140625" style="575" customWidth="1"/>
    <col min="6404" max="6404" width="15" style="575" bestFit="1" customWidth="1"/>
    <col min="6405" max="6405" width="13.5703125" style="575" customWidth="1"/>
    <col min="6406" max="6406" width="11.42578125" style="575" bestFit="1" customWidth="1"/>
    <col min="6407" max="6407" width="11.28515625" style="575" customWidth="1"/>
    <col min="6408" max="6408" width="15.28515625" style="575" bestFit="1" customWidth="1"/>
    <col min="6409" max="6411" width="11.85546875" style="575" customWidth="1"/>
    <col min="6412" max="6412" width="19.140625" style="575" customWidth="1"/>
    <col min="6413" max="6413" width="15" style="575" customWidth="1"/>
    <col min="6414" max="6414" width="15.28515625" style="575" customWidth="1"/>
    <col min="6415" max="6417" width="18.85546875" style="575" customWidth="1"/>
    <col min="6418" max="6418" width="12.7109375" style="575" customWidth="1"/>
    <col min="6419" max="6419" width="13.7109375" style="575" customWidth="1"/>
    <col min="6420" max="6420" width="16.140625" style="575" customWidth="1"/>
    <col min="6421" max="6421" width="17" style="575" customWidth="1"/>
    <col min="6422" max="6422" width="15" style="575" customWidth="1"/>
    <col min="6423" max="6423" width="14.28515625" style="575" customWidth="1"/>
    <col min="6424" max="6424" width="14.85546875" style="575" customWidth="1"/>
    <col min="6425" max="6425" width="17.140625" style="575" customWidth="1"/>
    <col min="6426" max="6426" width="13.5703125" style="575" customWidth="1"/>
    <col min="6427" max="6428" width="14.85546875" style="575" customWidth="1"/>
    <col min="6429" max="6429" width="18.85546875" style="575" customWidth="1"/>
    <col min="6430" max="6430" width="19.42578125" style="575" customWidth="1"/>
    <col min="6431" max="6431" width="16.140625" style="575" customWidth="1"/>
    <col min="6432" max="6432" width="14.5703125" style="575" customWidth="1"/>
    <col min="6433" max="6433" width="20.28515625" style="575" customWidth="1"/>
    <col min="6434" max="6434" width="13.85546875" style="575" customWidth="1"/>
    <col min="6435" max="6435" width="19.140625" style="575" customWidth="1"/>
    <col min="6436" max="6436" width="19.7109375" style="575" customWidth="1"/>
    <col min="6437" max="6437" width="16.5703125" style="575" customWidth="1"/>
    <col min="6438" max="6438" width="19.140625" style="575" customWidth="1"/>
    <col min="6439" max="6441" width="16.5703125" style="575" customWidth="1"/>
    <col min="6442" max="6442" width="15.7109375" style="575" customWidth="1"/>
    <col min="6443" max="6443" width="19.42578125" style="575" customWidth="1"/>
    <col min="6444" max="6444" width="14.85546875" style="575" bestFit="1" customWidth="1"/>
    <col min="6445" max="6445" width="13.7109375" style="575" bestFit="1" customWidth="1"/>
    <col min="6446" max="6446" width="13" style="575" customWidth="1"/>
    <col min="6447" max="6447" width="18.42578125" style="575" customWidth="1"/>
    <col min="6448" max="6450" width="13.140625" style="575" customWidth="1"/>
    <col min="6451" max="6451" width="16.42578125" style="575" customWidth="1"/>
    <col min="6452" max="6452" width="13.140625" style="575" customWidth="1"/>
    <col min="6453" max="6453" width="15.28515625" style="575" customWidth="1"/>
    <col min="6454" max="6454" width="14" style="575" bestFit="1" customWidth="1"/>
    <col min="6455" max="6455" width="17.140625" style="575" customWidth="1"/>
    <col min="6456" max="6477" width="16.5703125" style="575" customWidth="1"/>
    <col min="6478" max="6478" width="20.140625" style="575" customWidth="1"/>
    <col min="6479" max="6479" width="13.28515625" style="575" customWidth="1"/>
    <col min="6480" max="6480" width="14.85546875" style="575" customWidth="1"/>
    <col min="6481" max="6481" width="13.85546875" style="575" customWidth="1"/>
    <col min="6482" max="6482" width="13.5703125" style="575" customWidth="1"/>
    <col min="6483" max="6483" width="13" style="575" customWidth="1"/>
    <col min="6484" max="6484" width="13.5703125" style="575" customWidth="1"/>
    <col min="6485" max="6485" width="7.7109375" style="575" bestFit="1" customWidth="1"/>
    <col min="6486" max="6655" width="9.140625" style="575"/>
    <col min="6656" max="6656" width="4.28515625" style="575" customWidth="1"/>
    <col min="6657" max="6657" width="10.140625" style="575" customWidth="1"/>
    <col min="6658" max="6658" width="8.85546875" style="575" customWidth="1"/>
    <col min="6659" max="6659" width="11.140625" style="575" customWidth="1"/>
    <col min="6660" max="6660" width="15" style="575" bestFit="1" customWidth="1"/>
    <col min="6661" max="6661" width="13.5703125" style="575" customWidth="1"/>
    <col min="6662" max="6662" width="11.42578125" style="575" bestFit="1" customWidth="1"/>
    <col min="6663" max="6663" width="11.28515625" style="575" customWidth="1"/>
    <col min="6664" max="6664" width="15.28515625" style="575" bestFit="1" customWidth="1"/>
    <col min="6665" max="6667" width="11.85546875" style="575" customWidth="1"/>
    <col min="6668" max="6668" width="19.140625" style="575" customWidth="1"/>
    <col min="6669" max="6669" width="15" style="575" customWidth="1"/>
    <col min="6670" max="6670" width="15.28515625" style="575" customWidth="1"/>
    <col min="6671" max="6673" width="18.85546875" style="575" customWidth="1"/>
    <col min="6674" max="6674" width="12.7109375" style="575" customWidth="1"/>
    <col min="6675" max="6675" width="13.7109375" style="575" customWidth="1"/>
    <col min="6676" max="6676" width="16.140625" style="575" customWidth="1"/>
    <col min="6677" max="6677" width="17" style="575" customWidth="1"/>
    <col min="6678" max="6678" width="15" style="575" customWidth="1"/>
    <col min="6679" max="6679" width="14.28515625" style="575" customWidth="1"/>
    <col min="6680" max="6680" width="14.85546875" style="575" customWidth="1"/>
    <col min="6681" max="6681" width="17.140625" style="575" customWidth="1"/>
    <col min="6682" max="6682" width="13.5703125" style="575" customWidth="1"/>
    <col min="6683" max="6684" width="14.85546875" style="575" customWidth="1"/>
    <col min="6685" max="6685" width="18.85546875" style="575" customWidth="1"/>
    <col min="6686" max="6686" width="19.42578125" style="575" customWidth="1"/>
    <col min="6687" max="6687" width="16.140625" style="575" customWidth="1"/>
    <col min="6688" max="6688" width="14.5703125" style="575" customWidth="1"/>
    <col min="6689" max="6689" width="20.28515625" style="575" customWidth="1"/>
    <col min="6690" max="6690" width="13.85546875" style="575" customWidth="1"/>
    <col min="6691" max="6691" width="19.140625" style="575" customWidth="1"/>
    <col min="6692" max="6692" width="19.7109375" style="575" customWidth="1"/>
    <col min="6693" max="6693" width="16.5703125" style="575" customWidth="1"/>
    <col min="6694" max="6694" width="19.140625" style="575" customWidth="1"/>
    <col min="6695" max="6697" width="16.5703125" style="575" customWidth="1"/>
    <col min="6698" max="6698" width="15.7109375" style="575" customWidth="1"/>
    <col min="6699" max="6699" width="19.42578125" style="575" customWidth="1"/>
    <col min="6700" max="6700" width="14.85546875" style="575" bestFit="1" customWidth="1"/>
    <col min="6701" max="6701" width="13.7109375" style="575" bestFit="1" customWidth="1"/>
    <col min="6702" max="6702" width="13" style="575" customWidth="1"/>
    <col min="6703" max="6703" width="18.42578125" style="575" customWidth="1"/>
    <col min="6704" max="6706" width="13.140625" style="575" customWidth="1"/>
    <col min="6707" max="6707" width="16.42578125" style="575" customWidth="1"/>
    <col min="6708" max="6708" width="13.140625" style="575" customWidth="1"/>
    <col min="6709" max="6709" width="15.28515625" style="575" customWidth="1"/>
    <col min="6710" max="6710" width="14" style="575" bestFit="1" customWidth="1"/>
    <col min="6711" max="6711" width="17.140625" style="575" customWidth="1"/>
    <col min="6712" max="6733" width="16.5703125" style="575" customWidth="1"/>
    <col min="6734" max="6734" width="20.140625" style="575" customWidth="1"/>
    <col min="6735" max="6735" width="13.28515625" style="575" customWidth="1"/>
    <col min="6736" max="6736" width="14.85546875" style="575" customWidth="1"/>
    <col min="6737" max="6737" width="13.85546875" style="575" customWidth="1"/>
    <col min="6738" max="6738" width="13.5703125" style="575" customWidth="1"/>
    <col min="6739" max="6739" width="13" style="575" customWidth="1"/>
    <col min="6740" max="6740" width="13.5703125" style="575" customWidth="1"/>
    <col min="6741" max="6741" width="7.7109375" style="575" bestFit="1" customWidth="1"/>
    <col min="6742" max="6911" width="9.140625" style="575"/>
    <col min="6912" max="6912" width="4.28515625" style="575" customWidth="1"/>
    <col min="6913" max="6913" width="10.140625" style="575" customWidth="1"/>
    <col min="6914" max="6914" width="8.85546875" style="575" customWidth="1"/>
    <col min="6915" max="6915" width="11.140625" style="575" customWidth="1"/>
    <col min="6916" max="6916" width="15" style="575" bestFit="1" customWidth="1"/>
    <col min="6917" max="6917" width="13.5703125" style="575" customWidth="1"/>
    <col min="6918" max="6918" width="11.42578125" style="575" bestFit="1" customWidth="1"/>
    <col min="6919" max="6919" width="11.28515625" style="575" customWidth="1"/>
    <col min="6920" max="6920" width="15.28515625" style="575" bestFit="1" customWidth="1"/>
    <col min="6921" max="6923" width="11.85546875" style="575" customWidth="1"/>
    <col min="6924" max="6924" width="19.140625" style="575" customWidth="1"/>
    <col min="6925" max="6925" width="15" style="575" customWidth="1"/>
    <col min="6926" max="6926" width="15.28515625" style="575" customWidth="1"/>
    <col min="6927" max="6929" width="18.85546875" style="575" customWidth="1"/>
    <col min="6930" max="6930" width="12.7109375" style="575" customWidth="1"/>
    <col min="6931" max="6931" width="13.7109375" style="575" customWidth="1"/>
    <col min="6932" max="6932" width="16.140625" style="575" customWidth="1"/>
    <col min="6933" max="6933" width="17" style="575" customWidth="1"/>
    <col min="6934" max="6934" width="15" style="575" customWidth="1"/>
    <col min="6935" max="6935" width="14.28515625" style="575" customWidth="1"/>
    <col min="6936" max="6936" width="14.85546875" style="575" customWidth="1"/>
    <col min="6937" max="6937" width="17.140625" style="575" customWidth="1"/>
    <col min="6938" max="6938" width="13.5703125" style="575" customWidth="1"/>
    <col min="6939" max="6940" width="14.85546875" style="575" customWidth="1"/>
    <col min="6941" max="6941" width="18.85546875" style="575" customWidth="1"/>
    <col min="6942" max="6942" width="19.42578125" style="575" customWidth="1"/>
    <col min="6943" max="6943" width="16.140625" style="575" customWidth="1"/>
    <col min="6944" max="6944" width="14.5703125" style="575" customWidth="1"/>
    <col min="6945" max="6945" width="20.28515625" style="575" customWidth="1"/>
    <col min="6946" max="6946" width="13.85546875" style="575" customWidth="1"/>
    <col min="6947" max="6947" width="19.140625" style="575" customWidth="1"/>
    <col min="6948" max="6948" width="19.7109375" style="575" customWidth="1"/>
    <col min="6949" max="6949" width="16.5703125" style="575" customWidth="1"/>
    <col min="6950" max="6950" width="19.140625" style="575" customWidth="1"/>
    <col min="6951" max="6953" width="16.5703125" style="575" customWidth="1"/>
    <col min="6954" max="6954" width="15.7109375" style="575" customWidth="1"/>
    <col min="6955" max="6955" width="19.42578125" style="575" customWidth="1"/>
    <col min="6956" max="6956" width="14.85546875" style="575" bestFit="1" customWidth="1"/>
    <col min="6957" max="6957" width="13.7109375" style="575" bestFit="1" customWidth="1"/>
    <col min="6958" max="6958" width="13" style="575" customWidth="1"/>
    <col min="6959" max="6959" width="18.42578125" style="575" customWidth="1"/>
    <col min="6960" max="6962" width="13.140625" style="575" customWidth="1"/>
    <col min="6963" max="6963" width="16.42578125" style="575" customWidth="1"/>
    <col min="6964" max="6964" width="13.140625" style="575" customWidth="1"/>
    <col min="6965" max="6965" width="15.28515625" style="575" customWidth="1"/>
    <col min="6966" max="6966" width="14" style="575" bestFit="1" customWidth="1"/>
    <col min="6967" max="6967" width="17.140625" style="575" customWidth="1"/>
    <col min="6968" max="6989" width="16.5703125" style="575" customWidth="1"/>
    <col min="6990" max="6990" width="20.140625" style="575" customWidth="1"/>
    <col min="6991" max="6991" width="13.28515625" style="575" customWidth="1"/>
    <col min="6992" max="6992" width="14.85546875" style="575" customWidth="1"/>
    <col min="6993" max="6993" width="13.85546875" style="575" customWidth="1"/>
    <col min="6994" max="6994" width="13.5703125" style="575" customWidth="1"/>
    <col min="6995" max="6995" width="13" style="575" customWidth="1"/>
    <col min="6996" max="6996" width="13.5703125" style="575" customWidth="1"/>
    <col min="6997" max="6997" width="7.7109375" style="575" bestFit="1" customWidth="1"/>
    <col min="6998" max="7167" width="9.140625" style="575"/>
    <col min="7168" max="7168" width="4.28515625" style="575" customWidth="1"/>
    <col min="7169" max="7169" width="10.140625" style="575" customWidth="1"/>
    <col min="7170" max="7170" width="8.85546875" style="575" customWidth="1"/>
    <col min="7171" max="7171" width="11.140625" style="575" customWidth="1"/>
    <col min="7172" max="7172" width="15" style="575" bestFit="1" customWidth="1"/>
    <col min="7173" max="7173" width="13.5703125" style="575" customWidth="1"/>
    <col min="7174" max="7174" width="11.42578125" style="575" bestFit="1" customWidth="1"/>
    <col min="7175" max="7175" width="11.28515625" style="575" customWidth="1"/>
    <col min="7176" max="7176" width="15.28515625" style="575" bestFit="1" customWidth="1"/>
    <col min="7177" max="7179" width="11.85546875" style="575" customWidth="1"/>
    <col min="7180" max="7180" width="19.140625" style="575" customWidth="1"/>
    <col min="7181" max="7181" width="15" style="575" customWidth="1"/>
    <col min="7182" max="7182" width="15.28515625" style="575" customWidth="1"/>
    <col min="7183" max="7185" width="18.85546875" style="575" customWidth="1"/>
    <col min="7186" max="7186" width="12.7109375" style="575" customWidth="1"/>
    <col min="7187" max="7187" width="13.7109375" style="575" customWidth="1"/>
    <col min="7188" max="7188" width="16.140625" style="575" customWidth="1"/>
    <col min="7189" max="7189" width="17" style="575" customWidth="1"/>
    <col min="7190" max="7190" width="15" style="575" customWidth="1"/>
    <col min="7191" max="7191" width="14.28515625" style="575" customWidth="1"/>
    <col min="7192" max="7192" width="14.85546875" style="575" customWidth="1"/>
    <col min="7193" max="7193" width="17.140625" style="575" customWidth="1"/>
    <col min="7194" max="7194" width="13.5703125" style="575" customWidth="1"/>
    <col min="7195" max="7196" width="14.85546875" style="575" customWidth="1"/>
    <col min="7197" max="7197" width="18.85546875" style="575" customWidth="1"/>
    <col min="7198" max="7198" width="19.42578125" style="575" customWidth="1"/>
    <col min="7199" max="7199" width="16.140625" style="575" customWidth="1"/>
    <col min="7200" max="7200" width="14.5703125" style="575" customWidth="1"/>
    <col min="7201" max="7201" width="20.28515625" style="575" customWidth="1"/>
    <col min="7202" max="7202" width="13.85546875" style="575" customWidth="1"/>
    <col min="7203" max="7203" width="19.140625" style="575" customWidth="1"/>
    <col min="7204" max="7204" width="19.7109375" style="575" customWidth="1"/>
    <col min="7205" max="7205" width="16.5703125" style="575" customWidth="1"/>
    <col min="7206" max="7206" width="19.140625" style="575" customWidth="1"/>
    <col min="7207" max="7209" width="16.5703125" style="575" customWidth="1"/>
    <col min="7210" max="7210" width="15.7109375" style="575" customWidth="1"/>
    <col min="7211" max="7211" width="19.42578125" style="575" customWidth="1"/>
    <col min="7212" max="7212" width="14.85546875" style="575" bestFit="1" customWidth="1"/>
    <col min="7213" max="7213" width="13.7109375" style="575" bestFit="1" customWidth="1"/>
    <col min="7214" max="7214" width="13" style="575" customWidth="1"/>
    <col min="7215" max="7215" width="18.42578125" style="575" customWidth="1"/>
    <col min="7216" max="7218" width="13.140625" style="575" customWidth="1"/>
    <col min="7219" max="7219" width="16.42578125" style="575" customWidth="1"/>
    <col min="7220" max="7220" width="13.140625" style="575" customWidth="1"/>
    <col min="7221" max="7221" width="15.28515625" style="575" customWidth="1"/>
    <col min="7222" max="7222" width="14" style="575" bestFit="1" customWidth="1"/>
    <col min="7223" max="7223" width="17.140625" style="575" customWidth="1"/>
    <col min="7224" max="7245" width="16.5703125" style="575" customWidth="1"/>
    <col min="7246" max="7246" width="20.140625" style="575" customWidth="1"/>
    <col min="7247" max="7247" width="13.28515625" style="575" customWidth="1"/>
    <col min="7248" max="7248" width="14.85546875" style="575" customWidth="1"/>
    <col min="7249" max="7249" width="13.85546875" style="575" customWidth="1"/>
    <col min="7250" max="7250" width="13.5703125" style="575" customWidth="1"/>
    <col min="7251" max="7251" width="13" style="575" customWidth="1"/>
    <col min="7252" max="7252" width="13.5703125" style="575" customWidth="1"/>
    <col min="7253" max="7253" width="7.7109375" style="575" bestFit="1" customWidth="1"/>
    <col min="7254" max="7423" width="9.140625" style="575"/>
    <col min="7424" max="7424" width="4.28515625" style="575" customWidth="1"/>
    <col min="7425" max="7425" width="10.140625" style="575" customWidth="1"/>
    <col min="7426" max="7426" width="8.85546875" style="575" customWidth="1"/>
    <col min="7427" max="7427" width="11.140625" style="575" customWidth="1"/>
    <col min="7428" max="7428" width="15" style="575" bestFit="1" customWidth="1"/>
    <col min="7429" max="7429" width="13.5703125" style="575" customWidth="1"/>
    <col min="7430" max="7430" width="11.42578125" style="575" bestFit="1" customWidth="1"/>
    <col min="7431" max="7431" width="11.28515625" style="575" customWidth="1"/>
    <col min="7432" max="7432" width="15.28515625" style="575" bestFit="1" customWidth="1"/>
    <col min="7433" max="7435" width="11.85546875" style="575" customWidth="1"/>
    <col min="7436" max="7436" width="19.140625" style="575" customWidth="1"/>
    <col min="7437" max="7437" width="15" style="575" customWidth="1"/>
    <col min="7438" max="7438" width="15.28515625" style="575" customWidth="1"/>
    <col min="7439" max="7441" width="18.85546875" style="575" customWidth="1"/>
    <col min="7442" max="7442" width="12.7109375" style="575" customWidth="1"/>
    <col min="7443" max="7443" width="13.7109375" style="575" customWidth="1"/>
    <col min="7444" max="7444" width="16.140625" style="575" customWidth="1"/>
    <col min="7445" max="7445" width="17" style="575" customWidth="1"/>
    <col min="7446" max="7446" width="15" style="575" customWidth="1"/>
    <col min="7447" max="7447" width="14.28515625" style="575" customWidth="1"/>
    <col min="7448" max="7448" width="14.85546875" style="575" customWidth="1"/>
    <col min="7449" max="7449" width="17.140625" style="575" customWidth="1"/>
    <col min="7450" max="7450" width="13.5703125" style="575" customWidth="1"/>
    <col min="7451" max="7452" width="14.85546875" style="575" customWidth="1"/>
    <col min="7453" max="7453" width="18.85546875" style="575" customWidth="1"/>
    <col min="7454" max="7454" width="19.42578125" style="575" customWidth="1"/>
    <col min="7455" max="7455" width="16.140625" style="575" customWidth="1"/>
    <col min="7456" max="7456" width="14.5703125" style="575" customWidth="1"/>
    <col min="7457" max="7457" width="20.28515625" style="575" customWidth="1"/>
    <col min="7458" max="7458" width="13.85546875" style="575" customWidth="1"/>
    <col min="7459" max="7459" width="19.140625" style="575" customWidth="1"/>
    <col min="7460" max="7460" width="19.7109375" style="575" customWidth="1"/>
    <col min="7461" max="7461" width="16.5703125" style="575" customWidth="1"/>
    <col min="7462" max="7462" width="19.140625" style="575" customWidth="1"/>
    <col min="7463" max="7465" width="16.5703125" style="575" customWidth="1"/>
    <col min="7466" max="7466" width="15.7109375" style="575" customWidth="1"/>
    <col min="7467" max="7467" width="19.42578125" style="575" customWidth="1"/>
    <col min="7468" max="7468" width="14.85546875" style="575" bestFit="1" customWidth="1"/>
    <col min="7469" max="7469" width="13.7109375" style="575" bestFit="1" customWidth="1"/>
    <col min="7470" max="7470" width="13" style="575" customWidth="1"/>
    <col min="7471" max="7471" width="18.42578125" style="575" customWidth="1"/>
    <col min="7472" max="7474" width="13.140625" style="575" customWidth="1"/>
    <col min="7475" max="7475" width="16.42578125" style="575" customWidth="1"/>
    <col min="7476" max="7476" width="13.140625" style="575" customWidth="1"/>
    <col min="7477" max="7477" width="15.28515625" style="575" customWidth="1"/>
    <col min="7478" max="7478" width="14" style="575" bestFit="1" customWidth="1"/>
    <col min="7479" max="7479" width="17.140625" style="575" customWidth="1"/>
    <col min="7480" max="7501" width="16.5703125" style="575" customWidth="1"/>
    <col min="7502" max="7502" width="20.140625" style="575" customWidth="1"/>
    <col min="7503" max="7503" width="13.28515625" style="575" customWidth="1"/>
    <col min="7504" max="7504" width="14.85546875" style="575" customWidth="1"/>
    <col min="7505" max="7505" width="13.85546875" style="575" customWidth="1"/>
    <col min="7506" max="7506" width="13.5703125" style="575" customWidth="1"/>
    <col min="7507" max="7507" width="13" style="575" customWidth="1"/>
    <col min="7508" max="7508" width="13.5703125" style="575" customWidth="1"/>
    <col min="7509" max="7509" width="7.7109375" style="575" bestFit="1" customWidth="1"/>
    <col min="7510" max="7679" width="9.140625" style="575"/>
    <col min="7680" max="7680" width="4.28515625" style="575" customWidth="1"/>
    <col min="7681" max="7681" width="10.140625" style="575" customWidth="1"/>
    <col min="7682" max="7682" width="8.85546875" style="575" customWidth="1"/>
    <col min="7683" max="7683" width="11.140625" style="575" customWidth="1"/>
    <col min="7684" max="7684" width="15" style="575" bestFit="1" customWidth="1"/>
    <col min="7685" max="7685" width="13.5703125" style="575" customWidth="1"/>
    <col min="7686" max="7686" width="11.42578125" style="575" bestFit="1" customWidth="1"/>
    <col min="7687" max="7687" width="11.28515625" style="575" customWidth="1"/>
    <col min="7688" max="7688" width="15.28515625" style="575" bestFit="1" customWidth="1"/>
    <col min="7689" max="7691" width="11.85546875" style="575" customWidth="1"/>
    <col min="7692" max="7692" width="19.140625" style="575" customWidth="1"/>
    <col min="7693" max="7693" width="15" style="575" customWidth="1"/>
    <col min="7694" max="7694" width="15.28515625" style="575" customWidth="1"/>
    <col min="7695" max="7697" width="18.85546875" style="575" customWidth="1"/>
    <col min="7698" max="7698" width="12.7109375" style="575" customWidth="1"/>
    <col min="7699" max="7699" width="13.7109375" style="575" customWidth="1"/>
    <col min="7700" max="7700" width="16.140625" style="575" customWidth="1"/>
    <col min="7701" max="7701" width="17" style="575" customWidth="1"/>
    <col min="7702" max="7702" width="15" style="575" customWidth="1"/>
    <col min="7703" max="7703" width="14.28515625" style="575" customWidth="1"/>
    <col min="7704" max="7704" width="14.85546875" style="575" customWidth="1"/>
    <col min="7705" max="7705" width="17.140625" style="575" customWidth="1"/>
    <col min="7706" max="7706" width="13.5703125" style="575" customWidth="1"/>
    <col min="7707" max="7708" width="14.85546875" style="575" customWidth="1"/>
    <col min="7709" max="7709" width="18.85546875" style="575" customWidth="1"/>
    <col min="7710" max="7710" width="19.42578125" style="575" customWidth="1"/>
    <col min="7711" max="7711" width="16.140625" style="575" customWidth="1"/>
    <col min="7712" max="7712" width="14.5703125" style="575" customWidth="1"/>
    <col min="7713" max="7713" width="20.28515625" style="575" customWidth="1"/>
    <col min="7714" max="7714" width="13.85546875" style="575" customWidth="1"/>
    <col min="7715" max="7715" width="19.140625" style="575" customWidth="1"/>
    <col min="7716" max="7716" width="19.7109375" style="575" customWidth="1"/>
    <col min="7717" max="7717" width="16.5703125" style="575" customWidth="1"/>
    <col min="7718" max="7718" width="19.140625" style="575" customWidth="1"/>
    <col min="7719" max="7721" width="16.5703125" style="575" customWidth="1"/>
    <col min="7722" max="7722" width="15.7109375" style="575" customWidth="1"/>
    <col min="7723" max="7723" width="19.42578125" style="575" customWidth="1"/>
    <col min="7724" max="7724" width="14.85546875" style="575" bestFit="1" customWidth="1"/>
    <col min="7725" max="7725" width="13.7109375" style="575" bestFit="1" customWidth="1"/>
    <col min="7726" max="7726" width="13" style="575" customWidth="1"/>
    <col min="7727" max="7727" width="18.42578125" style="575" customWidth="1"/>
    <col min="7728" max="7730" width="13.140625" style="575" customWidth="1"/>
    <col min="7731" max="7731" width="16.42578125" style="575" customWidth="1"/>
    <col min="7732" max="7732" width="13.140625" style="575" customWidth="1"/>
    <col min="7733" max="7733" width="15.28515625" style="575" customWidth="1"/>
    <col min="7734" max="7734" width="14" style="575" bestFit="1" customWidth="1"/>
    <col min="7735" max="7735" width="17.140625" style="575" customWidth="1"/>
    <col min="7736" max="7757" width="16.5703125" style="575" customWidth="1"/>
    <col min="7758" max="7758" width="20.140625" style="575" customWidth="1"/>
    <col min="7759" max="7759" width="13.28515625" style="575" customWidth="1"/>
    <col min="7760" max="7760" width="14.85546875" style="575" customWidth="1"/>
    <col min="7761" max="7761" width="13.85546875" style="575" customWidth="1"/>
    <col min="7762" max="7762" width="13.5703125" style="575" customWidth="1"/>
    <col min="7763" max="7763" width="13" style="575" customWidth="1"/>
    <col min="7764" max="7764" width="13.5703125" style="575" customWidth="1"/>
    <col min="7765" max="7765" width="7.7109375" style="575" bestFit="1" customWidth="1"/>
    <col min="7766" max="7935" width="9.140625" style="575"/>
    <col min="7936" max="7936" width="4.28515625" style="575" customWidth="1"/>
    <col min="7937" max="7937" width="10.140625" style="575" customWidth="1"/>
    <col min="7938" max="7938" width="8.85546875" style="575" customWidth="1"/>
    <col min="7939" max="7939" width="11.140625" style="575" customWidth="1"/>
    <col min="7940" max="7940" width="15" style="575" bestFit="1" customWidth="1"/>
    <col min="7941" max="7941" width="13.5703125" style="575" customWidth="1"/>
    <col min="7942" max="7942" width="11.42578125" style="575" bestFit="1" customWidth="1"/>
    <col min="7943" max="7943" width="11.28515625" style="575" customWidth="1"/>
    <col min="7944" max="7944" width="15.28515625" style="575" bestFit="1" customWidth="1"/>
    <col min="7945" max="7947" width="11.85546875" style="575" customWidth="1"/>
    <col min="7948" max="7948" width="19.140625" style="575" customWidth="1"/>
    <col min="7949" max="7949" width="15" style="575" customWidth="1"/>
    <col min="7950" max="7950" width="15.28515625" style="575" customWidth="1"/>
    <col min="7951" max="7953" width="18.85546875" style="575" customWidth="1"/>
    <col min="7954" max="7954" width="12.7109375" style="575" customWidth="1"/>
    <col min="7955" max="7955" width="13.7109375" style="575" customWidth="1"/>
    <col min="7956" max="7956" width="16.140625" style="575" customWidth="1"/>
    <col min="7957" max="7957" width="17" style="575" customWidth="1"/>
    <col min="7958" max="7958" width="15" style="575" customWidth="1"/>
    <col min="7959" max="7959" width="14.28515625" style="575" customWidth="1"/>
    <col min="7960" max="7960" width="14.85546875" style="575" customWidth="1"/>
    <col min="7961" max="7961" width="17.140625" style="575" customWidth="1"/>
    <col min="7962" max="7962" width="13.5703125" style="575" customWidth="1"/>
    <col min="7963" max="7964" width="14.85546875" style="575" customWidth="1"/>
    <col min="7965" max="7965" width="18.85546875" style="575" customWidth="1"/>
    <col min="7966" max="7966" width="19.42578125" style="575" customWidth="1"/>
    <col min="7967" max="7967" width="16.140625" style="575" customWidth="1"/>
    <col min="7968" max="7968" width="14.5703125" style="575" customWidth="1"/>
    <col min="7969" max="7969" width="20.28515625" style="575" customWidth="1"/>
    <col min="7970" max="7970" width="13.85546875" style="575" customWidth="1"/>
    <col min="7971" max="7971" width="19.140625" style="575" customWidth="1"/>
    <col min="7972" max="7972" width="19.7109375" style="575" customWidth="1"/>
    <col min="7973" max="7973" width="16.5703125" style="575" customWidth="1"/>
    <col min="7974" max="7974" width="19.140625" style="575" customWidth="1"/>
    <col min="7975" max="7977" width="16.5703125" style="575" customWidth="1"/>
    <col min="7978" max="7978" width="15.7109375" style="575" customWidth="1"/>
    <col min="7979" max="7979" width="19.42578125" style="575" customWidth="1"/>
    <col min="7980" max="7980" width="14.85546875" style="575" bestFit="1" customWidth="1"/>
    <col min="7981" max="7981" width="13.7109375" style="575" bestFit="1" customWidth="1"/>
    <col min="7982" max="7982" width="13" style="575" customWidth="1"/>
    <col min="7983" max="7983" width="18.42578125" style="575" customWidth="1"/>
    <col min="7984" max="7986" width="13.140625" style="575" customWidth="1"/>
    <col min="7987" max="7987" width="16.42578125" style="575" customWidth="1"/>
    <col min="7988" max="7988" width="13.140625" style="575" customWidth="1"/>
    <col min="7989" max="7989" width="15.28515625" style="575" customWidth="1"/>
    <col min="7990" max="7990" width="14" style="575" bestFit="1" customWidth="1"/>
    <col min="7991" max="7991" width="17.140625" style="575" customWidth="1"/>
    <col min="7992" max="8013" width="16.5703125" style="575" customWidth="1"/>
    <col min="8014" max="8014" width="20.140625" style="575" customWidth="1"/>
    <col min="8015" max="8015" width="13.28515625" style="575" customWidth="1"/>
    <col min="8016" max="8016" width="14.85546875" style="575" customWidth="1"/>
    <col min="8017" max="8017" width="13.85546875" style="575" customWidth="1"/>
    <col min="8018" max="8018" width="13.5703125" style="575" customWidth="1"/>
    <col min="8019" max="8019" width="13" style="575" customWidth="1"/>
    <col min="8020" max="8020" width="13.5703125" style="575" customWidth="1"/>
    <col min="8021" max="8021" width="7.7109375" style="575" bestFit="1" customWidth="1"/>
    <col min="8022" max="8191" width="9.140625" style="575"/>
    <col min="8192" max="8192" width="4.28515625" style="575" customWidth="1"/>
    <col min="8193" max="8193" width="10.140625" style="575" customWidth="1"/>
    <col min="8194" max="8194" width="8.85546875" style="575" customWidth="1"/>
    <col min="8195" max="8195" width="11.140625" style="575" customWidth="1"/>
    <col min="8196" max="8196" width="15" style="575" bestFit="1" customWidth="1"/>
    <col min="8197" max="8197" width="13.5703125" style="575" customWidth="1"/>
    <col min="8198" max="8198" width="11.42578125" style="575" bestFit="1" customWidth="1"/>
    <col min="8199" max="8199" width="11.28515625" style="575" customWidth="1"/>
    <col min="8200" max="8200" width="15.28515625" style="575" bestFit="1" customWidth="1"/>
    <col min="8201" max="8203" width="11.85546875" style="575" customWidth="1"/>
    <col min="8204" max="8204" width="19.140625" style="575" customWidth="1"/>
    <col min="8205" max="8205" width="15" style="575" customWidth="1"/>
    <col min="8206" max="8206" width="15.28515625" style="575" customWidth="1"/>
    <col min="8207" max="8209" width="18.85546875" style="575" customWidth="1"/>
    <col min="8210" max="8210" width="12.7109375" style="575" customWidth="1"/>
    <col min="8211" max="8211" width="13.7109375" style="575" customWidth="1"/>
    <col min="8212" max="8212" width="16.140625" style="575" customWidth="1"/>
    <col min="8213" max="8213" width="17" style="575" customWidth="1"/>
    <col min="8214" max="8214" width="15" style="575" customWidth="1"/>
    <col min="8215" max="8215" width="14.28515625" style="575" customWidth="1"/>
    <col min="8216" max="8216" width="14.85546875" style="575" customWidth="1"/>
    <col min="8217" max="8217" width="17.140625" style="575" customWidth="1"/>
    <col min="8218" max="8218" width="13.5703125" style="575" customWidth="1"/>
    <col min="8219" max="8220" width="14.85546875" style="575" customWidth="1"/>
    <col min="8221" max="8221" width="18.85546875" style="575" customWidth="1"/>
    <col min="8222" max="8222" width="19.42578125" style="575" customWidth="1"/>
    <col min="8223" max="8223" width="16.140625" style="575" customWidth="1"/>
    <col min="8224" max="8224" width="14.5703125" style="575" customWidth="1"/>
    <col min="8225" max="8225" width="20.28515625" style="575" customWidth="1"/>
    <col min="8226" max="8226" width="13.85546875" style="575" customWidth="1"/>
    <col min="8227" max="8227" width="19.140625" style="575" customWidth="1"/>
    <col min="8228" max="8228" width="19.7109375" style="575" customWidth="1"/>
    <col min="8229" max="8229" width="16.5703125" style="575" customWidth="1"/>
    <col min="8230" max="8230" width="19.140625" style="575" customWidth="1"/>
    <col min="8231" max="8233" width="16.5703125" style="575" customWidth="1"/>
    <col min="8234" max="8234" width="15.7109375" style="575" customWidth="1"/>
    <col min="8235" max="8235" width="19.42578125" style="575" customWidth="1"/>
    <col min="8236" max="8236" width="14.85546875" style="575" bestFit="1" customWidth="1"/>
    <col min="8237" max="8237" width="13.7109375" style="575" bestFit="1" customWidth="1"/>
    <col min="8238" max="8238" width="13" style="575" customWidth="1"/>
    <col min="8239" max="8239" width="18.42578125" style="575" customWidth="1"/>
    <col min="8240" max="8242" width="13.140625" style="575" customWidth="1"/>
    <col min="8243" max="8243" width="16.42578125" style="575" customWidth="1"/>
    <col min="8244" max="8244" width="13.140625" style="575" customWidth="1"/>
    <col min="8245" max="8245" width="15.28515625" style="575" customWidth="1"/>
    <col min="8246" max="8246" width="14" style="575" bestFit="1" customWidth="1"/>
    <col min="8247" max="8247" width="17.140625" style="575" customWidth="1"/>
    <col min="8248" max="8269" width="16.5703125" style="575" customWidth="1"/>
    <col min="8270" max="8270" width="20.140625" style="575" customWidth="1"/>
    <col min="8271" max="8271" width="13.28515625" style="575" customWidth="1"/>
    <col min="8272" max="8272" width="14.85546875" style="575" customWidth="1"/>
    <col min="8273" max="8273" width="13.85546875" style="575" customWidth="1"/>
    <col min="8274" max="8274" width="13.5703125" style="575" customWidth="1"/>
    <col min="8275" max="8275" width="13" style="575" customWidth="1"/>
    <col min="8276" max="8276" width="13.5703125" style="575" customWidth="1"/>
    <col min="8277" max="8277" width="7.7109375" style="575" bestFit="1" customWidth="1"/>
    <col min="8278" max="8447" width="9.140625" style="575"/>
    <col min="8448" max="8448" width="4.28515625" style="575" customWidth="1"/>
    <col min="8449" max="8449" width="10.140625" style="575" customWidth="1"/>
    <col min="8450" max="8450" width="8.85546875" style="575" customWidth="1"/>
    <col min="8451" max="8451" width="11.140625" style="575" customWidth="1"/>
    <col min="8452" max="8452" width="15" style="575" bestFit="1" customWidth="1"/>
    <col min="8453" max="8453" width="13.5703125" style="575" customWidth="1"/>
    <col min="8454" max="8454" width="11.42578125" style="575" bestFit="1" customWidth="1"/>
    <col min="8455" max="8455" width="11.28515625" style="575" customWidth="1"/>
    <col min="8456" max="8456" width="15.28515625" style="575" bestFit="1" customWidth="1"/>
    <col min="8457" max="8459" width="11.85546875" style="575" customWidth="1"/>
    <col min="8460" max="8460" width="19.140625" style="575" customWidth="1"/>
    <col min="8461" max="8461" width="15" style="575" customWidth="1"/>
    <col min="8462" max="8462" width="15.28515625" style="575" customWidth="1"/>
    <col min="8463" max="8465" width="18.85546875" style="575" customWidth="1"/>
    <col min="8466" max="8466" width="12.7109375" style="575" customWidth="1"/>
    <col min="8467" max="8467" width="13.7109375" style="575" customWidth="1"/>
    <col min="8468" max="8468" width="16.140625" style="575" customWidth="1"/>
    <col min="8469" max="8469" width="17" style="575" customWidth="1"/>
    <col min="8470" max="8470" width="15" style="575" customWidth="1"/>
    <col min="8471" max="8471" width="14.28515625" style="575" customWidth="1"/>
    <col min="8472" max="8472" width="14.85546875" style="575" customWidth="1"/>
    <col min="8473" max="8473" width="17.140625" style="575" customWidth="1"/>
    <col min="8474" max="8474" width="13.5703125" style="575" customWidth="1"/>
    <col min="8475" max="8476" width="14.85546875" style="575" customWidth="1"/>
    <col min="8477" max="8477" width="18.85546875" style="575" customWidth="1"/>
    <col min="8478" max="8478" width="19.42578125" style="575" customWidth="1"/>
    <col min="8479" max="8479" width="16.140625" style="575" customWidth="1"/>
    <col min="8480" max="8480" width="14.5703125" style="575" customWidth="1"/>
    <col min="8481" max="8481" width="20.28515625" style="575" customWidth="1"/>
    <col min="8482" max="8482" width="13.85546875" style="575" customWidth="1"/>
    <col min="8483" max="8483" width="19.140625" style="575" customWidth="1"/>
    <col min="8484" max="8484" width="19.7109375" style="575" customWidth="1"/>
    <col min="8485" max="8485" width="16.5703125" style="575" customWidth="1"/>
    <col min="8486" max="8486" width="19.140625" style="575" customWidth="1"/>
    <col min="8487" max="8489" width="16.5703125" style="575" customWidth="1"/>
    <col min="8490" max="8490" width="15.7109375" style="575" customWidth="1"/>
    <col min="8491" max="8491" width="19.42578125" style="575" customWidth="1"/>
    <col min="8492" max="8492" width="14.85546875" style="575" bestFit="1" customWidth="1"/>
    <col min="8493" max="8493" width="13.7109375" style="575" bestFit="1" customWidth="1"/>
    <col min="8494" max="8494" width="13" style="575" customWidth="1"/>
    <col min="8495" max="8495" width="18.42578125" style="575" customWidth="1"/>
    <col min="8496" max="8498" width="13.140625" style="575" customWidth="1"/>
    <col min="8499" max="8499" width="16.42578125" style="575" customWidth="1"/>
    <col min="8500" max="8500" width="13.140625" style="575" customWidth="1"/>
    <col min="8501" max="8501" width="15.28515625" style="575" customWidth="1"/>
    <col min="8502" max="8502" width="14" style="575" bestFit="1" customWidth="1"/>
    <col min="8503" max="8503" width="17.140625" style="575" customWidth="1"/>
    <col min="8504" max="8525" width="16.5703125" style="575" customWidth="1"/>
    <col min="8526" max="8526" width="20.140625" style="575" customWidth="1"/>
    <col min="8527" max="8527" width="13.28515625" style="575" customWidth="1"/>
    <col min="8528" max="8528" width="14.85546875" style="575" customWidth="1"/>
    <col min="8529" max="8529" width="13.85546875" style="575" customWidth="1"/>
    <col min="8530" max="8530" width="13.5703125" style="575" customWidth="1"/>
    <col min="8531" max="8531" width="13" style="575" customWidth="1"/>
    <col min="8532" max="8532" width="13.5703125" style="575" customWidth="1"/>
    <col min="8533" max="8533" width="7.7109375" style="575" bestFit="1" customWidth="1"/>
    <col min="8534" max="8703" width="9.140625" style="575"/>
    <col min="8704" max="8704" width="4.28515625" style="575" customWidth="1"/>
    <col min="8705" max="8705" width="10.140625" style="575" customWidth="1"/>
    <col min="8706" max="8706" width="8.85546875" style="575" customWidth="1"/>
    <col min="8707" max="8707" width="11.140625" style="575" customWidth="1"/>
    <col min="8708" max="8708" width="15" style="575" bestFit="1" customWidth="1"/>
    <col min="8709" max="8709" width="13.5703125" style="575" customWidth="1"/>
    <col min="8710" max="8710" width="11.42578125" style="575" bestFit="1" customWidth="1"/>
    <col min="8711" max="8711" width="11.28515625" style="575" customWidth="1"/>
    <col min="8712" max="8712" width="15.28515625" style="575" bestFit="1" customWidth="1"/>
    <col min="8713" max="8715" width="11.85546875" style="575" customWidth="1"/>
    <col min="8716" max="8716" width="19.140625" style="575" customWidth="1"/>
    <col min="8717" max="8717" width="15" style="575" customWidth="1"/>
    <col min="8718" max="8718" width="15.28515625" style="575" customWidth="1"/>
    <col min="8719" max="8721" width="18.85546875" style="575" customWidth="1"/>
    <col min="8722" max="8722" width="12.7109375" style="575" customWidth="1"/>
    <col min="8723" max="8723" width="13.7109375" style="575" customWidth="1"/>
    <col min="8724" max="8724" width="16.140625" style="575" customWidth="1"/>
    <col min="8725" max="8725" width="17" style="575" customWidth="1"/>
    <col min="8726" max="8726" width="15" style="575" customWidth="1"/>
    <col min="8727" max="8727" width="14.28515625" style="575" customWidth="1"/>
    <col min="8728" max="8728" width="14.85546875" style="575" customWidth="1"/>
    <col min="8729" max="8729" width="17.140625" style="575" customWidth="1"/>
    <col min="8730" max="8730" width="13.5703125" style="575" customWidth="1"/>
    <col min="8731" max="8732" width="14.85546875" style="575" customWidth="1"/>
    <col min="8733" max="8733" width="18.85546875" style="575" customWidth="1"/>
    <col min="8734" max="8734" width="19.42578125" style="575" customWidth="1"/>
    <col min="8735" max="8735" width="16.140625" style="575" customWidth="1"/>
    <col min="8736" max="8736" width="14.5703125" style="575" customWidth="1"/>
    <col min="8737" max="8737" width="20.28515625" style="575" customWidth="1"/>
    <col min="8738" max="8738" width="13.85546875" style="575" customWidth="1"/>
    <col min="8739" max="8739" width="19.140625" style="575" customWidth="1"/>
    <col min="8740" max="8740" width="19.7109375" style="575" customWidth="1"/>
    <col min="8741" max="8741" width="16.5703125" style="575" customWidth="1"/>
    <col min="8742" max="8742" width="19.140625" style="575" customWidth="1"/>
    <col min="8743" max="8745" width="16.5703125" style="575" customWidth="1"/>
    <col min="8746" max="8746" width="15.7109375" style="575" customWidth="1"/>
    <col min="8747" max="8747" width="19.42578125" style="575" customWidth="1"/>
    <col min="8748" max="8748" width="14.85546875" style="575" bestFit="1" customWidth="1"/>
    <col min="8749" max="8749" width="13.7109375" style="575" bestFit="1" customWidth="1"/>
    <col min="8750" max="8750" width="13" style="575" customWidth="1"/>
    <col min="8751" max="8751" width="18.42578125" style="575" customWidth="1"/>
    <col min="8752" max="8754" width="13.140625" style="575" customWidth="1"/>
    <col min="8755" max="8755" width="16.42578125" style="575" customWidth="1"/>
    <col min="8756" max="8756" width="13.140625" style="575" customWidth="1"/>
    <col min="8757" max="8757" width="15.28515625" style="575" customWidth="1"/>
    <col min="8758" max="8758" width="14" style="575" bestFit="1" customWidth="1"/>
    <col min="8759" max="8759" width="17.140625" style="575" customWidth="1"/>
    <col min="8760" max="8781" width="16.5703125" style="575" customWidth="1"/>
    <col min="8782" max="8782" width="20.140625" style="575" customWidth="1"/>
    <col min="8783" max="8783" width="13.28515625" style="575" customWidth="1"/>
    <col min="8784" max="8784" width="14.85546875" style="575" customWidth="1"/>
    <col min="8785" max="8785" width="13.85546875" style="575" customWidth="1"/>
    <col min="8786" max="8786" width="13.5703125" style="575" customWidth="1"/>
    <col min="8787" max="8787" width="13" style="575" customWidth="1"/>
    <col min="8788" max="8788" width="13.5703125" style="575" customWidth="1"/>
    <col min="8789" max="8789" width="7.7109375" style="575" bestFit="1" customWidth="1"/>
    <col min="8790" max="8959" width="9.140625" style="575"/>
    <col min="8960" max="8960" width="4.28515625" style="575" customWidth="1"/>
    <col min="8961" max="8961" width="10.140625" style="575" customWidth="1"/>
    <col min="8962" max="8962" width="8.85546875" style="575" customWidth="1"/>
    <col min="8963" max="8963" width="11.140625" style="575" customWidth="1"/>
    <col min="8964" max="8964" width="15" style="575" bestFit="1" customWidth="1"/>
    <col min="8965" max="8965" width="13.5703125" style="575" customWidth="1"/>
    <col min="8966" max="8966" width="11.42578125" style="575" bestFit="1" customWidth="1"/>
    <col min="8967" max="8967" width="11.28515625" style="575" customWidth="1"/>
    <col min="8968" max="8968" width="15.28515625" style="575" bestFit="1" customWidth="1"/>
    <col min="8969" max="8971" width="11.85546875" style="575" customWidth="1"/>
    <col min="8972" max="8972" width="19.140625" style="575" customWidth="1"/>
    <col min="8973" max="8973" width="15" style="575" customWidth="1"/>
    <col min="8974" max="8974" width="15.28515625" style="575" customWidth="1"/>
    <col min="8975" max="8977" width="18.85546875" style="575" customWidth="1"/>
    <col min="8978" max="8978" width="12.7109375" style="575" customWidth="1"/>
    <col min="8979" max="8979" width="13.7109375" style="575" customWidth="1"/>
    <col min="8980" max="8980" width="16.140625" style="575" customWidth="1"/>
    <col min="8981" max="8981" width="17" style="575" customWidth="1"/>
    <col min="8982" max="8982" width="15" style="575" customWidth="1"/>
    <col min="8983" max="8983" width="14.28515625" style="575" customWidth="1"/>
    <col min="8984" max="8984" width="14.85546875" style="575" customWidth="1"/>
    <col min="8985" max="8985" width="17.140625" style="575" customWidth="1"/>
    <col min="8986" max="8986" width="13.5703125" style="575" customWidth="1"/>
    <col min="8987" max="8988" width="14.85546875" style="575" customWidth="1"/>
    <col min="8989" max="8989" width="18.85546875" style="575" customWidth="1"/>
    <col min="8990" max="8990" width="19.42578125" style="575" customWidth="1"/>
    <col min="8991" max="8991" width="16.140625" style="575" customWidth="1"/>
    <col min="8992" max="8992" width="14.5703125" style="575" customWidth="1"/>
    <col min="8993" max="8993" width="20.28515625" style="575" customWidth="1"/>
    <col min="8994" max="8994" width="13.85546875" style="575" customWidth="1"/>
    <col min="8995" max="8995" width="19.140625" style="575" customWidth="1"/>
    <col min="8996" max="8996" width="19.7109375" style="575" customWidth="1"/>
    <col min="8997" max="8997" width="16.5703125" style="575" customWidth="1"/>
    <col min="8998" max="8998" width="19.140625" style="575" customWidth="1"/>
    <col min="8999" max="9001" width="16.5703125" style="575" customWidth="1"/>
    <col min="9002" max="9002" width="15.7109375" style="575" customWidth="1"/>
    <col min="9003" max="9003" width="19.42578125" style="575" customWidth="1"/>
    <col min="9004" max="9004" width="14.85546875" style="575" bestFit="1" customWidth="1"/>
    <col min="9005" max="9005" width="13.7109375" style="575" bestFit="1" customWidth="1"/>
    <col min="9006" max="9006" width="13" style="575" customWidth="1"/>
    <col min="9007" max="9007" width="18.42578125" style="575" customWidth="1"/>
    <col min="9008" max="9010" width="13.140625" style="575" customWidth="1"/>
    <col min="9011" max="9011" width="16.42578125" style="575" customWidth="1"/>
    <col min="9012" max="9012" width="13.140625" style="575" customWidth="1"/>
    <col min="9013" max="9013" width="15.28515625" style="575" customWidth="1"/>
    <col min="9014" max="9014" width="14" style="575" bestFit="1" customWidth="1"/>
    <col min="9015" max="9015" width="17.140625" style="575" customWidth="1"/>
    <col min="9016" max="9037" width="16.5703125" style="575" customWidth="1"/>
    <col min="9038" max="9038" width="20.140625" style="575" customWidth="1"/>
    <col min="9039" max="9039" width="13.28515625" style="575" customWidth="1"/>
    <col min="9040" max="9040" width="14.85546875" style="575" customWidth="1"/>
    <col min="9041" max="9041" width="13.85546875" style="575" customWidth="1"/>
    <col min="9042" max="9042" width="13.5703125" style="575" customWidth="1"/>
    <col min="9043" max="9043" width="13" style="575" customWidth="1"/>
    <col min="9044" max="9044" width="13.5703125" style="575" customWidth="1"/>
    <col min="9045" max="9045" width="7.7109375" style="575" bestFit="1" customWidth="1"/>
    <col min="9046" max="9215" width="9.140625" style="575"/>
    <col min="9216" max="9216" width="4.28515625" style="575" customWidth="1"/>
    <col min="9217" max="9217" width="10.140625" style="575" customWidth="1"/>
    <col min="9218" max="9218" width="8.85546875" style="575" customWidth="1"/>
    <col min="9219" max="9219" width="11.140625" style="575" customWidth="1"/>
    <col min="9220" max="9220" width="15" style="575" bestFit="1" customWidth="1"/>
    <col min="9221" max="9221" width="13.5703125" style="575" customWidth="1"/>
    <col min="9222" max="9222" width="11.42578125" style="575" bestFit="1" customWidth="1"/>
    <col min="9223" max="9223" width="11.28515625" style="575" customWidth="1"/>
    <col min="9224" max="9224" width="15.28515625" style="575" bestFit="1" customWidth="1"/>
    <col min="9225" max="9227" width="11.85546875" style="575" customWidth="1"/>
    <col min="9228" max="9228" width="19.140625" style="575" customWidth="1"/>
    <col min="9229" max="9229" width="15" style="575" customWidth="1"/>
    <col min="9230" max="9230" width="15.28515625" style="575" customWidth="1"/>
    <col min="9231" max="9233" width="18.85546875" style="575" customWidth="1"/>
    <col min="9234" max="9234" width="12.7109375" style="575" customWidth="1"/>
    <col min="9235" max="9235" width="13.7109375" style="575" customWidth="1"/>
    <col min="9236" max="9236" width="16.140625" style="575" customWidth="1"/>
    <col min="9237" max="9237" width="17" style="575" customWidth="1"/>
    <col min="9238" max="9238" width="15" style="575" customWidth="1"/>
    <col min="9239" max="9239" width="14.28515625" style="575" customWidth="1"/>
    <col min="9240" max="9240" width="14.85546875" style="575" customWidth="1"/>
    <col min="9241" max="9241" width="17.140625" style="575" customWidth="1"/>
    <col min="9242" max="9242" width="13.5703125" style="575" customWidth="1"/>
    <col min="9243" max="9244" width="14.85546875" style="575" customWidth="1"/>
    <col min="9245" max="9245" width="18.85546875" style="575" customWidth="1"/>
    <col min="9246" max="9246" width="19.42578125" style="575" customWidth="1"/>
    <col min="9247" max="9247" width="16.140625" style="575" customWidth="1"/>
    <col min="9248" max="9248" width="14.5703125" style="575" customWidth="1"/>
    <col min="9249" max="9249" width="20.28515625" style="575" customWidth="1"/>
    <col min="9250" max="9250" width="13.85546875" style="575" customWidth="1"/>
    <col min="9251" max="9251" width="19.140625" style="575" customWidth="1"/>
    <col min="9252" max="9252" width="19.7109375" style="575" customWidth="1"/>
    <col min="9253" max="9253" width="16.5703125" style="575" customWidth="1"/>
    <col min="9254" max="9254" width="19.140625" style="575" customWidth="1"/>
    <col min="9255" max="9257" width="16.5703125" style="575" customWidth="1"/>
    <col min="9258" max="9258" width="15.7109375" style="575" customWidth="1"/>
    <col min="9259" max="9259" width="19.42578125" style="575" customWidth="1"/>
    <col min="9260" max="9260" width="14.85546875" style="575" bestFit="1" customWidth="1"/>
    <col min="9261" max="9261" width="13.7109375" style="575" bestFit="1" customWidth="1"/>
    <col min="9262" max="9262" width="13" style="575" customWidth="1"/>
    <col min="9263" max="9263" width="18.42578125" style="575" customWidth="1"/>
    <col min="9264" max="9266" width="13.140625" style="575" customWidth="1"/>
    <col min="9267" max="9267" width="16.42578125" style="575" customWidth="1"/>
    <col min="9268" max="9268" width="13.140625" style="575" customWidth="1"/>
    <col min="9269" max="9269" width="15.28515625" style="575" customWidth="1"/>
    <col min="9270" max="9270" width="14" style="575" bestFit="1" customWidth="1"/>
    <col min="9271" max="9271" width="17.140625" style="575" customWidth="1"/>
    <col min="9272" max="9293" width="16.5703125" style="575" customWidth="1"/>
    <col min="9294" max="9294" width="20.140625" style="575" customWidth="1"/>
    <col min="9295" max="9295" width="13.28515625" style="575" customWidth="1"/>
    <col min="9296" max="9296" width="14.85546875" style="575" customWidth="1"/>
    <col min="9297" max="9297" width="13.85546875" style="575" customWidth="1"/>
    <col min="9298" max="9298" width="13.5703125" style="575" customWidth="1"/>
    <col min="9299" max="9299" width="13" style="575" customWidth="1"/>
    <col min="9300" max="9300" width="13.5703125" style="575" customWidth="1"/>
    <col min="9301" max="9301" width="7.7109375" style="575" bestFit="1" customWidth="1"/>
    <col min="9302" max="9471" width="9.140625" style="575"/>
    <col min="9472" max="9472" width="4.28515625" style="575" customWidth="1"/>
    <col min="9473" max="9473" width="10.140625" style="575" customWidth="1"/>
    <col min="9474" max="9474" width="8.85546875" style="575" customWidth="1"/>
    <col min="9475" max="9475" width="11.140625" style="575" customWidth="1"/>
    <col min="9476" max="9476" width="15" style="575" bestFit="1" customWidth="1"/>
    <col min="9477" max="9477" width="13.5703125" style="575" customWidth="1"/>
    <col min="9478" max="9478" width="11.42578125" style="575" bestFit="1" customWidth="1"/>
    <col min="9479" max="9479" width="11.28515625" style="575" customWidth="1"/>
    <col min="9480" max="9480" width="15.28515625" style="575" bestFit="1" customWidth="1"/>
    <col min="9481" max="9483" width="11.85546875" style="575" customWidth="1"/>
    <col min="9484" max="9484" width="19.140625" style="575" customWidth="1"/>
    <col min="9485" max="9485" width="15" style="575" customWidth="1"/>
    <col min="9486" max="9486" width="15.28515625" style="575" customWidth="1"/>
    <col min="9487" max="9489" width="18.85546875" style="575" customWidth="1"/>
    <col min="9490" max="9490" width="12.7109375" style="575" customWidth="1"/>
    <col min="9491" max="9491" width="13.7109375" style="575" customWidth="1"/>
    <col min="9492" max="9492" width="16.140625" style="575" customWidth="1"/>
    <col min="9493" max="9493" width="17" style="575" customWidth="1"/>
    <col min="9494" max="9494" width="15" style="575" customWidth="1"/>
    <col min="9495" max="9495" width="14.28515625" style="575" customWidth="1"/>
    <col min="9496" max="9496" width="14.85546875" style="575" customWidth="1"/>
    <col min="9497" max="9497" width="17.140625" style="575" customWidth="1"/>
    <col min="9498" max="9498" width="13.5703125" style="575" customWidth="1"/>
    <col min="9499" max="9500" width="14.85546875" style="575" customWidth="1"/>
    <col min="9501" max="9501" width="18.85546875" style="575" customWidth="1"/>
    <col min="9502" max="9502" width="19.42578125" style="575" customWidth="1"/>
    <col min="9503" max="9503" width="16.140625" style="575" customWidth="1"/>
    <col min="9504" max="9504" width="14.5703125" style="575" customWidth="1"/>
    <col min="9505" max="9505" width="20.28515625" style="575" customWidth="1"/>
    <col min="9506" max="9506" width="13.85546875" style="575" customWidth="1"/>
    <col min="9507" max="9507" width="19.140625" style="575" customWidth="1"/>
    <col min="9508" max="9508" width="19.7109375" style="575" customWidth="1"/>
    <col min="9509" max="9509" width="16.5703125" style="575" customWidth="1"/>
    <col min="9510" max="9510" width="19.140625" style="575" customWidth="1"/>
    <col min="9511" max="9513" width="16.5703125" style="575" customWidth="1"/>
    <col min="9514" max="9514" width="15.7109375" style="575" customWidth="1"/>
    <col min="9515" max="9515" width="19.42578125" style="575" customWidth="1"/>
    <col min="9516" max="9516" width="14.85546875" style="575" bestFit="1" customWidth="1"/>
    <col min="9517" max="9517" width="13.7109375" style="575" bestFit="1" customWidth="1"/>
    <col min="9518" max="9518" width="13" style="575" customWidth="1"/>
    <col min="9519" max="9519" width="18.42578125" style="575" customWidth="1"/>
    <col min="9520" max="9522" width="13.140625" style="575" customWidth="1"/>
    <col min="9523" max="9523" width="16.42578125" style="575" customWidth="1"/>
    <col min="9524" max="9524" width="13.140625" style="575" customWidth="1"/>
    <col min="9525" max="9525" width="15.28515625" style="575" customWidth="1"/>
    <col min="9526" max="9526" width="14" style="575" bestFit="1" customWidth="1"/>
    <col min="9527" max="9527" width="17.140625" style="575" customWidth="1"/>
    <col min="9528" max="9549" width="16.5703125" style="575" customWidth="1"/>
    <col min="9550" max="9550" width="20.140625" style="575" customWidth="1"/>
    <col min="9551" max="9551" width="13.28515625" style="575" customWidth="1"/>
    <col min="9552" max="9552" width="14.85546875" style="575" customWidth="1"/>
    <col min="9553" max="9553" width="13.85546875" style="575" customWidth="1"/>
    <col min="9554" max="9554" width="13.5703125" style="575" customWidth="1"/>
    <col min="9555" max="9555" width="13" style="575" customWidth="1"/>
    <col min="9556" max="9556" width="13.5703125" style="575" customWidth="1"/>
    <col min="9557" max="9557" width="7.7109375" style="575" bestFit="1" customWidth="1"/>
    <col min="9558" max="9727" width="9.140625" style="575"/>
    <col min="9728" max="9728" width="4.28515625" style="575" customWidth="1"/>
    <col min="9729" max="9729" width="10.140625" style="575" customWidth="1"/>
    <col min="9730" max="9730" width="8.85546875" style="575" customWidth="1"/>
    <col min="9731" max="9731" width="11.140625" style="575" customWidth="1"/>
    <col min="9732" max="9732" width="15" style="575" bestFit="1" customWidth="1"/>
    <col min="9733" max="9733" width="13.5703125" style="575" customWidth="1"/>
    <col min="9734" max="9734" width="11.42578125" style="575" bestFit="1" customWidth="1"/>
    <col min="9735" max="9735" width="11.28515625" style="575" customWidth="1"/>
    <col min="9736" max="9736" width="15.28515625" style="575" bestFit="1" customWidth="1"/>
    <col min="9737" max="9739" width="11.85546875" style="575" customWidth="1"/>
    <col min="9740" max="9740" width="19.140625" style="575" customWidth="1"/>
    <col min="9741" max="9741" width="15" style="575" customWidth="1"/>
    <col min="9742" max="9742" width="15.28515625" style="575" customWidth="1"/>
    <col min="9743" max="9745" width="18.85546875" style="575" customWidth="1"/>
    <col min="9746" max="9746" width="12.7109375" style="575" customWidth="1"/>
    <col min="9747" max="9747" width="13.7109375" style="575" customWidth="1"/>
    <col min="9748" max="9748" width="16.140625" style="575" customWidth="1"/>
    <col min="9749" max="9749" width="17" style="575" customWidth="1"/>
    <col min="9750" max="9750" width="15" style="575" customWidth="1"/>
    <col min="9751" max="9751" width="14.28515625" style="575" customWidth="1"/>
    <col min="9752" max="9752" width="14.85546875" style="575" customWidth="1"/>
    <col min="9753" max="9753" width="17.140625" style="575" customWidth="1"/>
    <col min="9754" max="9754" width="13.5703125" style="575" customWidth="1"/>
    <col min="9755" max="9756" width="14.85546875" style="575" customWidth="1"/>
    <col min="9757" max="9757" width="18.85546875" style="575" customWidth="1"/>
    <col min="9758" max="9758" width="19.42578125" style="575" customWidth="1"/>
    <col min="9759" max="9759" width="16.140625" style="575" customWidth="1"/>
    <col min="9760" max="9760" width="14.5703125" style="575" customWidth="1"/>
    <col min="9761" max="9761" width="20.28515625" style="575" customWidth="1"/>
    <col min="9762" max="9762" width="13.85546875" style="575" customWidth="1"/>
    <col min="9763" max="9763" width="19.140625" style="575" customWidth="1"/>
    <col min="9764" max="9764" width="19.7109375" style="575" customWidth="1"/>
    <col min="9765" max="9765" width="16.5703125" style="575" customWidth="1"/>
    <col min="9766" max="9766" width="19.140625" style="575" customWidth="1"/>
    <col min="9767" max="9769" width="16.5703125" style="575" customWidth="1"/>
    <col min="9770" max="9770" width="15.7109375" style="575" customWidth="1"/>
    <col min="9771" max="9771" width="19.42578125" style="575" customWidth="1"/>
    <col min="9772" max="9772" width="14.85546875" style="575" bestFit="1" customWidth="1"/>
    <col min="9773" max="9773" width="13.7109375" style="575" bestFit="1" customWidth="1"/>
    <col min="9774" max="9774" width="13" style="575" customWidth="1"/>
    <col min="9775" max="9775" width="18.42578125" style="575" customWidth="1"/>
    <col min="9776" max="9778" width="13.140625" style="575" customWidth="1"/>
    <col min="9779" max="9779" width="16.42578125" style="575" customWidth="1"/>
    <col min="9780" max="9780" width="13.140625" style="575" customWidth="1"/>
    <col min="9781" max="9781" width="15.28515625" style="575" customWidth="1"/>
    <col min="9782" max="9782" width="14" style="575" bestFit="1" customWidth="1"/>
    <col min="9783" max="9783" width="17.140625" style="575" customWidth="1"/>
    <col min="9784" max="9805" width="16.5703125" style="575" customWidth="1"/>
    <col min="9806" max="9806" width="20.140625" style="575" customWidth="1"/>
    <col min="9807" max="9807" width="13.28515625" style="575" customWidth="1"/>
    <col min="9808" max="9808" width="14.85546875" style="575" customWidth="1"/>
    <col min="9809" max="9809" width="13.85546875" style="575" customWidth="1"/>
    <col min="9810" max="9810" width="13.5703125" style="575" customWidth="1"/>
    <col min="9811" max="9811" width="13" style="575" customWidth="1"/>
    <col min="9812" max="9812" width="13.5703125" style="575" customWidth="1"/>
    <col min="9813" max="9813" width="7.7109375" style="575" bestFit="1" customWidth="1"/>
    <col min="9814" max="9983" width="9.140625" style="575"/>
    <col min="9984" max="9984" width="4.28515625" style="575" customWidth="1"/>
    <col min="9985" max="9985" width="10.140625" style="575" customWidth="1"/>
    <col min="9986" max="9986" width="8.85546875" style="575" customWidth="1"/>
    <col min="9987" max="9987" width="11.140625" style="575" customWidth="1"/>
    <col min="9988" max="9988" width="15" style="575" bestFit="1" customWidth="1"/>
    <col min="9989" max="9989" width="13.5703125" style="575" customWidth="1"/>
    <col min="9990" max="9990" width="11.42578125" style="575" bestFit="1" customWidth="1"/>
    <col min="9991" max="9991" width="11.28515625" style="575" customWidth="1"/>
    <col min="9992" max="9992" width="15.28515625" style="575" bestFit="1" customWidth="1"/>
    <col min="9993" max="9995" width="11.85546875" style="575" customWidth="1"/>
    <col min="9996" max="9996" width="19.140625" style="575" customWidth="1"/>
    <col min="9997" max="9997" width="15" style="575" customWidth="1"/>
    <col min="9998" max="9998" width="15.28515625" style="575" customWidth="1"/>
    <col min="9999" max="10001" width="18.85546875" style="575" customWidth="1"/>
    <col min="10002" max="10002" width="12.7109375" style="575" customWidth="1"/>
    <col min="10003" max="10003" width="13.7109375" style="575" customWidth="1"/>
    <col min="10004" max="10004" width="16.140625" style="575" customWidth="1"/>
    <col min="10005" max="10005" width="17" style="575" customWidth="1"/>
    <col min="10006" max="10006" width="15" style="575" customWidth="1"/>
    <col min="10007" max="10007" width="14.28515625" style="575" customWidth="1"/>
    <col min="10008" max="10008" width="14.85546875" style="575" customWidth="1"/>
    <col min="10009" max="10009" width="17.140625" style="575" customWidth="1"/>
    <col min="10010" max="10010" width="13.5703125" style="575" customWidth="1"/>
    <col min="10011" max="10012" width="14.85546875" style="575" customWidth="1"/>
    <col min="10013" max="10013" width="18.85546875" style="575" customWidth="1"/>
    <col min="10014" max="10014" width="19.42578125" style="575" customWidth="1"/>
    <col min="10015" max="10015" width="16.140625" style="575" customWidth="1"/>
    <col min="10016" max="10016" width="14.5703125" style="575" customWidth="1"/>
    <col min="10017" max="10017" width="20.28515625" style="575" customWidth="1"/>
    <col min="10018" max="10018" width="13.85546875" style="575" customWidth="1"/>
    <col min="10019" max="10019" width="19.140625" style="575" customWidth="1"/>
    <col min="10020" max="10020" width="19.7109375" style="575" customWidth="1"/>
    <col min="10021" max="10021" width="16.5703125" style="575" customWidth="1"/>
    <col min="10022" max="10022" width="19.140625" style="575" customWidth="1"/>
    <col min="10023" max="10025" width="16.5703125" style="575" customWidth="1"/>
    <col min="10026" max="10026" width="15.7109375" style="575" customWidth="1"/>
    <col min="10027" max="10027" width="19.42578125" style="575" customWidth="1"/>
    <col min="10028" max="10028" width="14.85546875" style="575" bestFit="1" customWidth="1"/>
    <col min="10029" max="10029" width="13.7109375" style="575" bestFit="1" customWidth="1"/>
    <col min="10030" max="10030" width="13" style="575" customWidth="1"/>
    <col min="10031" max="10031" width="18.42578125" style="575" customWidth="1"/>
    <col min="10032" max="10034" width="13.140625" style="575" customWidth="1"/>
    <col min="10035" max="10035" width="16.42578125" style="575" customWidth="1"/>
    <col min="10036" max="10036" width="13.140625" style="575" customWidth="1"/>
    <col min="10037" max="10037" width="15.28515625" style="575" customWidth="1"/>
    <col min="10038" max="10038" width="14" style="575" bestFit="1" customWidth="1"/>
    <col min="10039" max="10039" width="17.140625" style="575" customWidth="1"/>
    <col min="10040" max="10061" width="16.5703125" style="575" customWidth="1"/>
    <col min="10062" max="10062" width="20.140625" style="575" customWidth="1"/>
    <col min="10063" max="10063" width="13.28515625" style="575" customWidth="1"/>
    <col min="10064" max="10064" width="14.85546875" style="575" customWidth="1"/>
    <col min="10065" max="10065" width="13.85546875" style="575" customWidth="1"/>
    <col min="10066" max="10066" width="13.5703125" style="575" customWidth="1"/>
    <col min="10067" max="10067" width="13" style="575" customWidth="1"/>
    <col min="10068" max="10068" width="13.5703125" style="575" customWidth="1"/>
    <col min="10069" max="10069" width="7.7109375" style="575" bestFit="1" customWidth="1"/>
    <col min="10070" max="10239" width="9.140625" style="575"/>
    <col min="10240" max="10240" width="4.28515625" style="575" customWidth="1"/>
    <col min="10241" max="10241" width="10.140625" style="575" customWidth="1"/>
    <col min="10242" max="10242" width="8.85546875" style="575" customWidth="1"/>
    <col min="10243" max="10243" width="11.140625" style="575" customWidth="1"/>
    <col min="10244" max="10244" width="15" style="575" bestFit="1" customWidth="1"/>
    <col min="10245" max="10245" width="13.5703125" style="575" customWidth="1"/>
    <col min="10246" max="10246" width="11.42578125" style="575" bestFit="1" customWidth="1"/>
    <col min="10247" max="10247" width="11.28515625" style="575" customWidth="1"/>
    <col min="10248" max="10248" width="15.28515625" style="575" bestFit="1" customWidth="1"/>
    <col min="10249" max="10251" width="11.85546875" style="575" customWidth="1"/>
    <col min="10252" max="10252" width="19.140625" style="575" customWidth="1"/>
    <col min="10253" max="10253" width="15" style="575" customWidth="1"/>
    <col min="10254" max="10254" width="15.28515625" style="575" customWidth="1"/>
    <col min="10255" max="10257" width="18.85546875" style="575" customWidth="1"/>
    <col min="10258" max="10258" width="12.7109375" style="575" customWidth="1"/>
    <col min="10259" max="10259" width="13.7109375" style="575" customWidth="1"/>
    <col min="10260" max="10260" width="16.140625" style="575" customWidth="1"/>
    <col min="10261" max="10261" width="17" style="575" customWidth="1"/>
    <col min="10262" max="10262" width="15" style="575" customWidth="1"/>
    <col min="10263" max="10263" width="14.28515625" style="575" customWidth="1"/>
    <col min="10264" max="10264" width="14.85546875" style="575" customWidth="1"/>
    <col min="10265" max="10265" width="17.140625" style="575" customWidth="1"/>
    <col min="10266" max="10266" width="13.5703125" style="575" customWidth="1"/>
    <col min="10267" max="10268" width="14.85546875" style="575" customWidth="1"/>
    <col min="10269" max="10269" width="18.85546875" style="575" customWidth="1"/>
    <col min="10270" max="10270" width="19.42578125" style="575" customWidth="1"/>
    <col min="10271" max="10271" width="16.140625" style="575" customWidth="1"/>
    <col min="10272" max="10272" width="14.5703125" style="575" customWidth="1"/>
    <col min="10273" max="10273" width="20.28515625" style="575" customWidth="1"/>
    <col min="10274" max="10274" width="13.85546875" style="575" customWidth="1"/>
    <col min="10275" max="10275" width="19.140625" style="575" customWidth="1"/>
    <col min="10276" max="10276" width="19.7109375" style="575" customWidth="1"/>
    <col min="10277" max="10277" width="16.5703125" style="575" customWidth="1"/>
    <col min="10278" max="10278" width="19.140625" style="575" customWidth="1"/>
    <col min="10279" max="10281" width="16.5703125" style="575" customWidth="1"/>
    <col min="10282" max="10282" width="15.7109375" style="575" customWidth="1"/>
    <col min="10283" max="10283" width="19.42578125" style="575" customWidth="1"/>
    <col min="10284" max="10284" width="14.85546875" style="575" bestFit="1" customWidth="1"/>
    <col min="10285" max="10285" width="13.7109375" style="575" bestFit="1" customWidth="1"/>
    <col min="10286" max="10286" width="13" style="575" customWidth="1"/>
    <col min="10287" max="10287" width="18.42578125" style="575" customWidth="1"/>
    <col min="10288" max="10290" width="13.140625" style="575" customWidth="1"/>
    <col min="10291" max="10291" width="16.42578125" style="575" customWidth="1"/>
    <col min="10292" max="10292" width="13.140625" style="575" customWidth="1"/>
    <col min="10293" max="10293" width="15.28515625" style="575" customWidth="1"/>
    <col min="10294" max="10294" width="14" style="575" bestFit="1" customWidth="1"/>
    <col min="10295" max="10295" width="17.140625" style="575" customWidth="1"/>
    <col min="10296" max="10317" width="16.5703125" style="575" customWidth="1"/>
    <col min="10318" max="10318" width="20.140625" style="575" customWidth="1"/>
    <col min="10319" max="10319" width="13.28515625" style="575" customWidth="1"/>
    <col min="10320" max="10320" width="14.85546875" style="575" customWidth="1"/>
    <col min="10321" max="10321" width="13.85546875" style="575" customWidth="1"/>
    <col min="10322" max="10322" width="13.5703125" style="575" customWidth="1"/>
    <col min="10323" max="10323" width="13" style="575" customWidth="1"/>
    <col min="10324" max="10324" width="13.5703125" style="575" customWidth="1"/>
    <col min="10325" max="10325" width="7.7109375" style="575" bestFit="1" customWidth="1"/>
    <col min="10326" max="10495" width="9.140625" style="575"/>
    <col min="10496" max="10496" width="4.28515625" style="575" customWidth="1"/>
    <col min="10497" max="10497" width="10.140625" style="575" customWidth="1"/>
    <col min="10498" max="10498" width="8.85546875" style="575" customWidth="1"/>
    <col min="10499" max="10499" width="11.140625" style="575" customWidth="1"/>
    <col min="10500" max="10500" width="15" style="575" bestFit="1" customWidth="1"/>
    <col min="10501" max="10501" width="13.5703125" style="575" customWidth="1"/>
    <col min="10502" max="10502" width="11.42578125" style="575" bestFit="1" customWidth="1"/>
    <col min="10503" max="10503" width="11.28515625" style="575" customWidth="1"/>
    <col min="10504" max="10504" width="15.28515625" style="575" bestFit="1" customWidth="1"/>
    <col min="10505" max="10507" width="11.85546875" style="575" customWidth="1"/>
    <col min="10508" max="10508" width="19.140625" style="575" customWidth="1"/>
    <col min="10509" max="10509" width="15" style="575" customWidth="1"/>
    <col min="10510" max="10510" width="15.28515625" style="575" customWidth="1"/>
    <col min="10511" max="10513" width="18.85546875" style="575" customWidth="1"/>
    <col min="10514" max="10514" width="12.7109375" style="575" customWidth="1"/>
    <col min="10515" max="10515" width="13.7109375" style="575" customWidth="1"/>
    <col min="10516" max="10516" width="16.140625" style="575" customWidth="1"/>
    <col min="10517" max="10517" width="17" style="575" customWidth="1"/>
    <col min="10518" max="10518" width="15" style="575" customWidth="1"/>
    <col min="10519" max="10519" width="14.28515625" style="575" customWidth="1"/>
    <col min="10520" max="10520" width="14.85546875" style="575" customWidth="1"/>
    <col min="10521" max="10521" width="17.140625" style="575" customWidth="1"/>
    <col min="10522" max="10522" width="13.5703125" style="575" customWidth="1"/>
    <col min="10523" max="10524" width="14.85546875" style="575" customWidth="1"/>
    <col min="10525" max="10525" width="18.85546875" style="575" customWidth="1"/>
    <col min="10526" max="10526" width="19.42578125" style="575" customWidth="1"/>
    <col min="10527" max="10527" width="16.140625" style="575" customWidth="1"/>
    <col min="10528" max="10528" width="14.5703125" style="575" customWidth="1"/>
    <col min="10529" max="10529" width="20.28515625" style="575" customWidth="1"/>
    <col min="10530" max="10530" width="13.85546875" style="575" customWidth="1"/>
    <col min="10531" max="10531" width="19.140625" style="575" customWidth="1"/>
    <col min="10532" max="10532" width="19.7109375" style="575" customWidth="1"/>
    <col min="10533" max="10533" width="16.5703125" style="575" customWidth="1"/>
    <col min="10534" max="10534" width="19.140625" style="575" customWidth="1"/>
    <col min="10535" max="10537" width="16.5703125" style="575" customWidth="1"/>
    <col min="10538" max="10538" width="15.7109375" style="575" customWidth="1"/>
    <col min="10539" max="10539" width="19.42578125" style="575" customWidth="1"/>
    <col min="10540" max="10540" width="14.85546875" style="575" bestFit="1" customWidth="1"/>
    <col min="10541" max="10541" width="13.7109375" style="575" bestFit="1" customWidth="1"/>
    <col min="10542" max="10542" width="13" style="575" customWidth="1"/>
    <col min="10543" max="10543" width="18.42578125" style="575" customWidth="1"/>
    <col min="10544" max="10546" width="13.140625" style="575" customWidth="1"/>
    <col min="10547" max="10547" width="16.42578125" style="575" customWidth="1"/>
    <col min="10548" max="10548" width="13.140625" style="575" customWidth="1"/>
    <col min="10549" max="10549" width="15.28515625" style="575" customWidth="1"/>
    <col min="10550" max="10550" width="14" style="575" bestFit="1" customWidth="1"/>
    <col min="10551" max="10551" width="17.140625" style="575" customWidth="1"/>
    <col min="10552" max="10573" width="16.5703125" style="575" customWidth="1"/>
    <col min="10574" max="10574" width="20.140625" style="575" customWidth="1"/>
    <col min="10575" max="10575" width="13.28515625" style="575" customWidth="1"/>
    <col min="10576" max="10576" width="14.85546875" style="575" customWidth="1"/>
    <col min="10577" max="10577" width="13.85546875" style="575" customWidth="1"/>
    <col min="10578" max="10578" width="13.5703125" style="575" customWidth="1"/>
    <col min="10579" max="10579" width="13" style="575" customWidth="1"/>
    <col min="10580" max="10580" width="13.5703125" style="575" customWidth="1"/>
    <col min="10581" max="10581" width="7.7109375" style="575" bestFit="1" customWidth="1"/>
    <col min="10582" max="10751" width="9.140625" style="575"/>
    <col min="10752" max="10752" width="4.28515625" style="575" customWidth="1"/>
    <col min="10753" max="10753" width="10.140625" style="575" customWidth="1"/>
    <col min="10754" max="10754" width="8.85546875" style="575" customWidth="1"/>
    <col min="10755" max="10755" width="11.140625" style="575" customWidth="1"/>
    <col min="10756" max="10756" width="15" style="575" bestFit="1" customWidth="1"/>
    <col min="10757" max="10757" width="13.5703125" style="575" customWidth="1"/>
    <col min="10758" max="10758" width="11.42578125" style="575" bestFit="1" customWidth="1"/>
    <col min="10759" max="10759" width="11.28515625" style="575" customWidth="1"/>
    <col min="10760" max="10760" width="15.28515625" style="575" bestFit="1" customWidth="1"/>
    <col min="10761" max="10763" width="11.85546875" style="575" customWidth="1"/>
    <col min="10764" max="10764" width="19.140625" style="575" customWidth="1"/>
    <col min="10765" max="10765" width="15" style="575" customWidth="1"/>
    <col min="10766" max="10766" width="15.28515625" style="575" customWidth="1"/>
    <col min="10767" max="10769" width="18.85546875" style="575" customWidth="1"/>
    <col min="10770" max="10770" width="12.7109375" style="575" customWidth="1"/>
    <col min="10771" max="10771" width="13.7109375" style="575" customWidth="1"/>
    <col min="10772" max="10772" width="16.140625" style="575" customWidth="1"/>
    <col min="10773" max="10773" width="17" style="575" customWidth="1"/>
    <col min="10774" max="10774" width="15" style="575" customWidth="1"/>
    <col min="10775" max="10775" width="14.28515625" style="575" customWidth="1"/>
    <col min="10776" max="10776" width="14.85546875" style="575" customWidth="1"/>
    <col min="10777" max="10777" width="17.140625" style="575" customWidth="1"/>
    <col min="10778" max="10778" width="13.5703125" style="575" customWidth="1"/>
    <col min="10779" max="10780" width="14.85546875" style="575" customWidth="1"/>
    <col min="10781" max="10781" width="18.85546875" style="575" customWidth="1"/>
    <col min="10782" max="10782" width="19.42578125" style="575" customWidth="1"/>
    <col min="10783" max="10783" width="16.140625" style="575" customWidth="1"/>
    <col min="10784" max="10784" width="14.5703125" style="575" customWidth="1"/>
    <col min="10785" max="10785" width="20.28515625" style="575" customWidth="1"/>
    <col min="10786" max="10786" width="13.85546875" style="575" customWidth="1"/>
    <col min="10787" max="10787" width="19.140625" style="575" customWidth="1"/>
    <col min="10788" max="10788" width="19.7109375" style="575" customWidth="1"/>
    <col min="10789" max="10789" width="16.5703125" style="575" customWidth="1"/>
    <col min="10790" max="10790" width="19.140625" style="575" customWidth="1"/>
    <col min="10791" max="10793" width="16.5703125" style="575" customWidth="1"/>
    <col min="10794" max="10794" width="15.7109375" style="575" customWidth="1"/>
    <col min="10795" max="10795" width="19.42578125" style="575" customWidth="1"/>
    <col min="10796" max="10796" width="14.85546875" style="575" bestFit="1" customWidth="1"/>
    <col min="10797" max="10797" width="13.7109375" style="575" bestFit="1" customWidth="1"/>
    <col min="10798" max="10798" width="13" style="575" customWidth="1"/>
    <col min="10799" max="10799" width="18.42578125" style="575" customWidth="1"/>
    <col min="10800" max="10802" width="13.140625" style="575" customWidth="1"/>
    <col min="10803" max="10803" width="16.42578125" style="575" customWidth="1"/>
    <col min="10804" max="10804" width="13.140625" style="575" customWidth="1"/>
    <col min="10805" max="10805" width="15.28515625" style="575" customWidth="1"/>
    <col min="10806" max="10806" width="14" style="575" bestFit="1" customWidth="1"/>
    <col min="10807" max="10807" width="17.140625" style="575" customWidth="1"/>
    <col min="10808" max="10829" width="16.5703125" style="575" customWidth="1"/>
    <col min="10830" max="10830" width="20.140625" style="575" customWidth="1"/>
    <col min="10831" max="10831" width="13.28515625" style="575" customWidth="1"/>
    <col min="10832" max="10832" width="14.85546875" style="575" customWidth="1"/>
    <col min="10833" max="10833" width="13.85546875" style="575" customWidth="1"/>
    <col min="10834" max="10834" width="13.5703125" style="575" customWidth="1"/>
    <col min="10835" max="10835" width="13" style="575" customWidth="1"/>
    <col min="10836" max="10836" width="13.5703125" style="575" customWidth="1"/>
    <col min="10837" max="10837" width="7.7109375" style="575" bestFit="1" customWidth="1"/>
    <col min="10838" max="11007" width="9.140625" style="575"/>
    <col min="11008" max="11008" width="4.28515625" style="575" customWidth="1"/>
    <col min="11009" max="11009" width="10.140625" style="575" customWidth="1"/>
    <col min="11010" max="11010" width="8.85546875" style="575" customWidth="1"/>
    <col min="11011" max="11011" width="11.140625" style="575" customWidth="1"/>
    <col min="11012" max="11012" width="15" style="575" bestFit="1" customWidth="1"/>
    <col min="11013" max="11013" width="13.5703125" style="575" customWidth="1"/>
    <col min="11014" max="11014" width="11.42578125" style="575" bestFit="1" customWidth="1"/>
    <col min="11015" max="11015" width="11.28515625" style="575" customWidth="1"/>
    <col min="11016" max="11016" width="15.28515625" style="575" bestFit="1" customWidth="1"/>
    <col min="11017" max="11019" width="11.85546875" style="575" customWidth="1"/>
    <col min="11020" max="11020" width="19.140625" style="575" customWidth="1"/>
    <col min="11021" max="11021" width="15" style="575" customWidth="1"/>
    <col min="11022" max="11022" width="15.28515625" style="575" customWidth="1"/>
    <col min="11023" max="11025" width="18.85546875" style="575" customWidth="1"/>
    <col min="11026" max="11026" width="12.7109375" style="575" customWidth="1"/>
    <col min="11027" max="11027" width="13.7109375" style="575" customWidth="1"/>
    <col min="11028" max="11028" width="16.140625" style="575" customWidth="1"/>
    <col min="11029" max="11029" width="17" style="575" customWidth="1"/>
    <col min="11030" max="11030" width="15" style="575" customWidth="1"/>
    <col min="11031" max="11031" width="14.28515625" style="575" customWidth="1"/>
    <col min="11032" max="11032" width="14.85546875" style="575" customWidth="1"/>
    <col min="11033" max="11033" width="17.140625" style="575" customWidth="1"/>
    <col min="11034" max="11034" width="13.5703125" style="575" customWidth="1"/>
    <col min="11035" max="11036" width="14.85546875" style="575" customWidth="1"/>
    <col min="11037" max="11037" width="18.85546875" style="575" customWidth="1"/>
    <col min="11038" max="11038" width="19.42578125" style="575" customWidth="1"/>
    <col min="11039" max="11039" width="16.140625" style="575" customWidth="1"/>
    <col min="11040" max="11040" width="14.5703125" style="575" customWidth="1"/>
    <col min="11041" max="11041" width="20.28515625" style="575" customWidth="1"/>
    <col min="11042" max="11042" width="13.85546875" style="575" customWidth="1"/>
    <col min="11043" max="11043" width="19.140625" style="575" customWidth="1"/>
    <col min="11044" max="11044" width="19.7109375" style="575" customWidth="1"/>
    <col min="11045" max="11045" width="16.5703125" style="575" customWidth="1"/>
    <col min="11046" max="11046" width="19.140625" style="575" customWidth="1"/>
    <col min="11047" max="11049" width="16.5703125" style="575" customWidth="1"/>
    <col min="11050" max="11050" width="15.7109375" style="575" customWidth="1"/>
    <col min="11051" max="11051" width="19.42578125" style="575" customWidth="1"/>
    <col min="11052" max="11052" width="14.85546875" style="575" bestFit="1" customWidth="1"/>
    <col min="11053" max="11053" width="13.7109375" style="575" bestFit="1" customWidth="1"/>
    <col min="11054" max="11054" width="13" style="575" customWidth="1"/>
    <col min="11055" max="11055" width="18.42578125" style="575" customWidth="1"/>
    <col min="11056" max="11058" width="13.140625" style="575" customWidth="1"/>
    <col min="11059" max="11059" width="16.42578125" style="575" customWidth="1"/>
    <col min="11060" max="11060" width="13.140625" style="575" customWidth="1"/>
    <col min="11061" max="11061" width="15.28515625" style="575" customWidth="1"/>
    <col min="11062" max="11062" width="14" style="575" bestFit="1" customWidth="1"/>
    <col min="11063" max="11063" width="17.140625" style="575" customWidth="1"/>
    <col min="11064" max="11085" width="16.5703125" style="575" customWidth="1"/>
    <col min="11086" max="11086" width="20.140625" style="575" customWidth="1"/>
    <col min="11087" max="11087" width="13.28515625" style="575" customWidth="1"/>
    <col min="11088" max="11088" width="14.85546875" style="575" customWidth="1"/>
    <col min="11089" max="11089" width="13.85546875" style="575" customWidth="1"/>
    <col min="11090" max="11090" width="13.5703125" style="575" customWidth="1"/>
    <col min="11091" max="11091" width="13" style="575" customWidth="1"/>
    <col min="11092" max="11092" width="13.5703125" style="575" customWidth="1"/>
    <col min="11093" max="11093" width="7.7109375" style="575" bestFit="1" customWidth="1"/>
    <col min="11094" max="11263" width="9.140625" style="575"/>
    <col min="11264" max="11264" width="4.28515625" style="575" customWidth="1"/>
    <col min="11265" max="11265" width="10.140625" style="575" customWidth="1"/>
    <col min="11266" max="11266" width="8.85546875" style="575" customWidth="1"/>
    <col min="11267" max="11267" width="11.140625" style="575" customWidth="1"/>
    <col min="11268" max="11268" width="15" style="575" bestFit="1" customWidth="1"/>
    <col min="11269" max="11269" width="13.5703125" style="575" customWidth="1"/>
    <col min="11270" max="11270" width="11.42578125" style="575" bestFit="1" customWidth="1"/>
    <col min="11271" max="11271" width="11.28515625" style="575" customWidth="1"/>
    <col min="11272" max="11272" width="15.28515625" style="575" bestFit="1" customWidth="1"/>
    <col min="11273" max="11275" width="11.85546875" style="575" customWidth="1"/>
    <col min="11276" max="11276" width="19.140625" style="575" customWidth="1"/>
    <col min="11277" max="11277" width="15" style="575" customWidth="1"/>
    <col min="11278" max="11278" width="15.28515625" style="575" customWidth="1"/>
    <col min="11279" max="11281" width="18.85546875" style="575" customWidth="1"/>
    <col min="11282" max="11282" width="12.7109375" style="575" customWidth="1"/>
    <col min="11283" max="11283" width="13.7109375" style="575" customWidth="1"/>
    <col min="11284" max="11284" width="16.140625" style="575" customWidth="1"/>
    <col min="11285" max="11285" width="17" style="575" customWidth="1"/>
    <col min="11286" max="11286" width="15" style="575" customWidth="1"/>
    <col min="11287" max="11287" width="14.28515625" style="575" customWidth="1"/>
    <col min="11288" max="11288" width="14.85546875" style="575" customWidth="1"/>
    <col min="11289" max="11289" width="17.140625" style="575" customWidth="1"/>
    <col min="11290" max="11290" width="13.5703125" style="575" customWidth="1"/>
    <col min="11291" max="11292" width="14.85546875" style="575" customWidth="1"/>
    <col min="11293" max="11293" width="18.85546875" style="575" customWidth="1"/>
    <col min="11294" max="11294" width="19.42578125" style="575" customWidth="1"/>
    <col min="11295" max="11295" width="16.140625" style="575" customWidth="1"/>
    <col min="11296" max="11296" width="14.5703125" style="575" customWidth="1"/>
    <col min="11297" max="11297" width="20.28515625" style="575" customWidth="1"/>
    <col min="11298" max="11298" width="13.85546875" style="575" customWidth="1"/>
    <col min="11299" max="11299" width="19.140625" style="575" customWidth="1"/>
    <col min="11300" max="11300" width="19.7109375" style="575" customWidth="1"/>
    <col min="11301" max="11301" width="16.5703125" style="575" customWidth="1"/>
    <col min="11302" max="11302" width="19.140625" style="575" customWidth="1"/>
    <col min="11303" max="11305" width="16.5703125" style="575" customWidth="1"/>
    <col min="11306" max="11306" width="15.7109375" style="575" customWidth="1"/>
    <col min="11307" max="11307" width="19.42578125" style="575" customWidth="1"/>
    <col min="11308" max="11308" width="14.85546875" style="575" bestFit="1" customWidth="1"/>
    <col min="11309" max="11309" width="13.7109375" style="575" bestFit="1" customWidth="1"/>
    <col min="11310" max="11310" width="13" style="575" customWidth="1"/>
    <col min="11311" max="11311" width="18.42578125" style="575" customWidth="1"/>
    <col min="11312" max="11314" width="13.140625" style="575" customWidth="1"/>
    <col min="11315" max="11315" width="16.42578125" style="575" customWidth="1"/>
    <col min="11316" max="11316" width="13.140625" style="575" customWidth="1"/>
    <col min="11317" max="11317" width="15.28515625" style="575" customWidth="1"/>
    <col min="11318" max="11318" width="14" style="575" bestFit="1" customWidth="1"/>
    <col min="11319" max="11319" width="17.140625" style="575" customWidth="1"/>
    <col min="11320" max="11341" width="16.5703125" style="575" customWidth="1"/>
    <col min="11342" max="11342" width="20.140625" style="575" customWidth="1"/>
    <col min="11343" max="11343" width="13.28515625" style="575" customWidth="1"/>
    <col min="11344" max="11344" width="14.85546875" style="575" customWidth="1"/>
    <col min="11345" max="11345" width="13.85546875" style="575" customWidth="1"/>
    <col min="11346" max="11346" width="13.5703125" style="575" customWidth="1"/>
    <col min="11347" max="11347" width="13" style="575" customWidth="1"/>
    <col min="11348" max="11348" width="13.5703125" style="575" customWidth="1"/>
    <col min="11349" max="11349" width="7.7109375" style="575" bestFit="1" customWidth="1"/>
    <col min="11350" max="11519" width="9.140625" style="575"/>
    <col min="11520" max="11520" width="4.28515625" style="575" customWidth="1"/>
    <col min="11521" max="11521" width="10.140625" style="575" customWidth="1"/>
    <col min="11522" max="11522" width="8.85546875" style="575" customWidth="1"/>
    <col min="11523" max="11523" width="11.140625" style="575" customWidth="1"/>
    <col min="11524" max="11524" width="15" style="575" bestFit="1" customWidth="1"/>
    <col min="11525" max="11525" width="13.5703125" style="575" customWidth="1"/>
    <col min="11526" max="11526" width="11.42578125" style="575" bestFit="1" customWidth="1"/>
    <col min="11527" max="11527" width="11.28515625" style="575" customWidth="1"/>
    <col min="11528" max="11528" width="15.28515625" style="575" bestFit="1" customWidth="1"/>
    <col min="11529" max="11531" width="11.85546875" style="575" customWidth="1"/>
    <col min="11532" max="11532" width="19.140625" style="575" customWidth="1"/>
    <col min="11533" max="11533" width="15" style="575" customWidth="1"/>
    <col min="11534" max="11534" width="15.28515625" style="575" customWidth="1"/>
    <col min="11535" max="11537" width="18.85546875" style="575" customWidth="1"/>
    <col min="11538" max="11538" width="12.7109375" style="575" customWidth="1"/>
    <col min="11539" max="11539" width="13.7109375" style="575" customWidth="1"/>
    <col min="11540" max="11540" width="16.140625" style="575" customWidth="1"/>
    <col min="11541" max="11541" width="17" style="575" customWidth="1"/>
    <col min="11542" max="11542" width="15" style="575" customWidth="1"/>
    <col min="11543" max="11543" width="14.28515625" style="575" customWidth="1"/>
    <col min="11544" max="11544" width="14.85546875" style="575" customWidth="1"/>
    <col min="11545" max="11545" width="17.140625" style="575" customWidth="1"/>
    <col min="11546" max="11546" width="13.5703125" style="575" customWidth="1"/>
    <col min="11547" max="11548" width="14.85546875" style="575" customWidth="1"/>
    <col min="11549" max="11549" width="18.85546875" style="575" customWidth="1"/>
    <col min="11550" max="11550" width="19.42578125" style="575" customWidth="1"/>
    <col min="11551" max="11551" width="16.140625" style="575" customWidth="1"/>
    <col min="11552" max="11552" width="14.5703125" style="575" customWidth="1"/>
    <col min="11553" max="11553" width="20.28515625" style="575" customWidth="1"/>
    <col min="11554" max="11554" width="13.85546875" style="575" customWidth="1"/>
    <col min="11555" max="11555" width="19.140625" style="575" customWidth="1"/>
    <col min="11556" max="11556" width="19.7109375" style="575" customWidth="1"/>
    <col min="11557" max="11557" width="16.5703125" style="575" customWidth="1"/>
    <col min="11558" max="11558" width="19.140625" style="575" customWidth="1"/>
    <col min="11559" max="11561" width="16.5703125" style="575" customWidth="1"/>
    <col min="11562" max="11562" width="15.7109375" style="575" customWidth="1"/>
    <col min="11563" max="11563" width="19.42578125" style="575" customWidth="1"/>
    <col min="11564" max="11564" width="14.85546875" style="575" bestFit="1" customWidth="1"/>
    <col min="11565" max="11565" width="13.7109375" style="575" bestFit="1" customWidth="1"/>
    <col min="11566" max="11566" width="13" style="575" customWidth="1"/>
    <col min="11567" max="11567" width="18.42578125" style="575" customWidth="1"/>
    <col min="11568" max="11570" width="13.140625" style="575" customWidth="1"/>
    <col min="11571" max="11571" width="16.42578125" style="575" customWidth="1"/>
    <col min="11572" max="11572" width="13.140625" style="575" customWidth="1"/>
    <col min="11573" max="11573" width="15.28515625" style="575" customWidth="1"/>
    <col min="11574" max="11574" width="14" style="575" bestFit="1" customWidth="1"/>
    <col min="11575" max="11575" width="17.140625" style="575" customWidth="1"/>
    <col min="11576" max="11597" width="16.5703125" style="575" customWidth="1"/>
    <col min="11598" max="11598" width="20.140625" style="575" customWidth="1"/>
    <col min="11599" max="11599" width="13.28515625" style="575" customWidth="1"/>
    <col min="11600" max="11600" width="14.85546875" style="575" customWidth="1"/>
    <col min="11601" max="11601" width="13.85546875" style="575" customWidth="1"/>
    <col min="11602" max="11602" width="13.5703125" style="575" customWidth="1"/>
    <col min="11603" max="11603" width="13" style="575" customWidth="1"/>
    <col min="11604" max="11604" width="13.5703125" style="575" customWidth="1"/>
    <col min="11605" max="11605" width="7.7109375" style="575" bestFit="1" customWidth="1"/>
    <col min="11606" max="11775" width="9.140625" style="575"/>
    <col min="11776" max="11776" width="4.28515625" style="575" customWidth="1"/>
    <col min="11777" max="11777" width="10.140625" style="575" customWidth="1"/>
    <col min="11778" max="11778" width="8.85546875" style="575" customWidth="1"/>
    <col min="11779" max="11779" width="11.140625" style="575" customWidth="1"/>
    <col min="11780" max="11780" width="15" style="575" bestFit="1" customWidth="1"/>
    <col min="11781" max="11781" width="13.5703125" style="575" customWidth="1"/>
    <col min="11782" max="11782" width="11.42578125" style="575" bestFit="1" customWidth="1"/>
    <col min="11783" max="11783" width="11.28515625" style="575" customWidth="1"/>
    <col min="11784" max="11784" width="15.28515625" style="575" bestFit="1" customWidth="1"/>
    <col min="11785" max="11787" width="11.85546875" style="575" customWidth="1"/>
    <col min="11788" max="11788" width="19.140625" style="575" customWidth="1"/>
    <col min="11789" max="11789" width="15" style="575" customWidth="1"/>
    <col min="11790" max="11790" width="15.28515625" style="575" customWidth="1"/>
    <col min="11791" max="11793" width="18.85546875" style="575" customWidth="1"/>
    <col min="11794" max="11794" width="12.7109375" style="575" customWidth="1"/>
    <col min="11795" max="11795" width="13.7109375" style="575" customWidth="1"/>
    <col min="11796" max="11796" width="16.140625" style="575" customWidth="1"/>
    <col min="11797" max="11797" width="17" style="575" customWidth="1"/>
    <col min="11798" max="11798" width="15" style="575" customWidth="1"/>
    <col min="11799" max="11799" width="14.28515625" style="575" customWidth="1"/>
    <col min="11800" max="11800" width="14.85546875" style="575" customWidth="1"/>
    <col min="11801" max="11801" width="17.140625" style="575" customWidth="1"/>
    <col min="11802" max="11802" width="13.5703125" style="575" customWidth="1"/>
    <col min="11803" max="11804" width="14.85546875" style="575" customWidth="1"/>
    <col min="11805" max="11805" width="18.85546875" style="575" customWidth="1"/>
    <col min="11806" max="11806" width="19.42578125" style="575" customWidth="1"/>
    <col min="11807" max="11807" width="16.140625" style="575" customWidth="1"/>
    <col min="11808" max="11808" width="14.5703125" style="575" customWidth="1"/>
    <col min="11809" max="11809" width="20.28515625" style="575" customWidth="1"/>
    <col min="11810" max="11810" width="13.85546875" style="575" customWidth="1"/>
    <col min="11811" max="11811" width="19.140625" style="575" customWidth="1"/>
    <col min="11812" max="11812" width="19.7109375" style="575" customWidth="1"/>
    <col min="11813" max="11813" width="16.5703125" style="575" customWidth="1"/>
    <col min="11814" max="11814" width="19.140625" style="575" customWidth="1"/>
    <col min="11815" max="11817" width="16.5703125" style="575" customWidth="1"/>
    <col min="11818" max="11818" width="15.7109375" style="575" customWidth="1"/>
    <col min="11819" max="11819" width="19.42578125" style="575" customWidth="1"/>
    <col min="11820" max="11820" width="14.85546875" style="575" bestFit="1" customWidth="1"/>
    <col min="11821" max="11821" width="13.7109375" style="575" bestFit="1" customWidth="1"/>
    <col min="11822" max="11822" width="13" style="575" customWidth="1"/>
    <col min="11823" max="11823" width="18.42578125" style="575" customWidth="1"/>
    <col min="11824" max="11826" width="13.140625" style="575" customWidth="1"/>
    <col min="11827" max="11827" width="16.42578125" style="575" customWidth="1"/>
    <col min="11828" max="11828" width="13.140625" style="575" customWidth="1"/>
    <col min="11829" max="11829" width="15.28515625" style="575" customWidth="1"/>
    <col min="11830" max="11830" width="14" style="575" bestFit="1" customWidth="1"/>
    <col min="11831" max="11831" width="17.140625" style="575" customWidth="1"/>
    <col min="11832" max="11853" width="16.5703125" style="575" customWidth="1"/>
    <col min="11854" max="11854" width="20.140625" style="575" customWidth="1"/>
    <col min="11855" max="11855" width="13.28515625" style="575" customWidth="1"/>
    <col min="11856" max="11856" width="14.85546875" style="575" customWidth="1"/>
    <col min="11857" max="11857" width="13.85546875" style="575" customWidth="1"/>
    <col min="11858" max="11858" width="13.5703125" style="575" customWidth="1"/>
    <col min="11859" max="11859" width="13" style="575" customWidth="1"/>
    <col min="11860" max="11860" width="13.5703125" style="575" customWidth="1"/>
    <col min="11861" max="11861" width="7.7109375" style="575" bestFit="1" customWidth="1"/>
    <col min="11862" max="12031" width="9.140625" style="575"/>
    <col min="12032" max="12032" width="4.28515625" style="575" customWidth="1"/>
    <col min="12033" max="12033" width="10.140625" style="575" customWidth="1"/>
    <col min="12034" max="12034" width="8.85546875" style="575" customWidth="1"/>
    <col min="12035" max="12035" width="11.140625" style="575" customWidth="1"/>
    <col min="12036" max="12036" width="15" style="575" bestFit="1" customWidth="1"/>
    <col min="12037" max="12037" width="13.5703125" style="575" customWidth="1"/>
    <col min="12038" max="12038" width="11.42578125" style="575" bestFit="1" customWidth="1"/>
    <col min="12039" max="12039" width="11.28515625" style="575" customWidth="1"/>
    <col min="12040" max="12040" width="15.28515625" style="575" bestFit="1" customWidth="1"/>
    <col min="12041" max="12043" width="11.85546875" style="575" customWidth="1"/>
    <col min="12044" max="12044" width="19.140625" style="575" customWidth="1"/>
    <col min="12045" max="12045" width="15" style="575" customWidth="1"/>
    <col min="12046" max="12046" width="15.28515625" style="575" customWidth="1"/>
    <col min="12047" max="12049" width="18.85546875" style="575" customWidth="1"/>
    <col min="12050" max="12050" width="12.7109375" style="575" customWidth="1"/>
    <col min="12051" max="12051" width="13.7109375" style="575" customWidth="1"/>
    <col min="12052" max="12052" width="16.140625" style="575" customWidth="1"/>
    <col min="12053" max="12053" width="17" style="575" customWidth="1"/>
    <col min="12054" max="12054" width="15" style="575" customWidth="1"/>
    <col min="12055" max="12055" width="14.28515625" style="575" customWidth="1"/>
    <col min="12056" max="12056" width="14.85546875" style="575" customWidth="1"/>
    <col min="12057" max="12057" width="17.140625" style="575" customWidth="1"/>
    <col min="12058" max="12058" width="13.5703125" style="575" customWidth="1"/>
    <col min="12059" max="12060" width="14.85546875" style="575" customWidth="1"/>
    <col min="12061" max="12061" width="18.85546875" style="575" customWidth="1"/>
    <col min="12062" max="12062" width="19.42578125" style="575" customWidth="1"/>
    <col min="12063" max="12063" width="16.140625" style="575" customWidth="1"/>
    <col min="12064" max="12064" width="14.5703125" style="575" customWidth="1"/>
    <col min="12065" max="12065" width="20.28515625" style="575" customWidth="1"/>
    <col min="12066" max="12066" width="13.85546875" style="575" customWidth="1"/>
    <col min="12067" max="12067" width="19.140625" style="575" customWidth="1"/>
    <col min="12068" max="12068" width="19.7109375" style="575" customWidth="1"/>
    <col min="12069" max="12069" width="16.5703125" style="575" customWidth="1"/>
    <col min="12070" max="12070" width="19.140625" style="575" customWidth="1"/>
    <col min="12071" max="12073" width="16.5703125" style="575" customWidth="1"/>
    <col min="12074" max="12074" width="15.7109375" style="575" customWidth="1"/>
    <col min="12075" max="12075" width="19.42578125" style="575" customWidth="1"/>
    <col min="12076" max="12076" width="14.85546875" style="575" bestFit="1" customWidth="1"/>
    <col min="12077" max="12077" width="13.7109375" style="575" bestFit="1" customWidth="1"/>
    <col min="12078" max="12078" width="13" style="575" customWidth="1"/>
    <col min="12079" max="12079" width="18.42578125" style="575" customWidth="1"/>
    <col min="12080" max="12082" width="13.140625" style="575" customWidth="1"/>
    <col min="12083" max="12083" width="16.42578125" style="575" customWidth="1"/>
    <col min="12084" max="12084" width="13.140625" style="575" customWidth="1"/>
    <col min="12085" max="12085" width="15.28515625" style="575" customWidth="1"/>
    <col min="12086" max="12086" width="14" style="575" bestFit="1" customWidth="1"/>
    <col min="12087" max="12087" width="17.140625" style="575" customWidth="1"/>
    <col min="12088" max="12109" width="16.5703125" style="575" customWidth="1"/>
    <col min="12110" max="12110" width="20.140625" style="575" customWidth="1"/>
    <col min="12111" max="12111" width="13.28515625" style="575" customWidth="1"/>
    <col min="12112" max="12112" width="14.85546875" style="575" customWidth="1"/>
    <col min="12113" max="12113" width="13.85546875" style="575" customWidth="1"/>
    <col min="12114" max="12114" width="13.5703125" style="575" customWidth="1"/>
    <col min="12115" max="12115" width="13" style="575" customWidth="1"/>
    <col min="12116" max="12116" width="13.5703125" style="575" customWidth="1"/>
    <col min="12117" max="12117" width="7.7109375" style="575" bestFit="1" customWidth="1"/>
    <col min="12118" max="12287" width="9.140625" style="575"/>
    <col min="12288" max="12288" width="4.28515625" style="575" customWidth="1"/>
    <col min="12289" max="12289" width="10.140625" style="575" customWidth="1"/>
    <col min="12290" max="12290" width="8.85546875" style="575" customWidth="1"/>
    <col min="12291" max="12291" width="11.140625" style="575" customWidth="1"/>
    <col min="12292" max="12292" width="15" style="575" bestFit="1" customWidth="1"/>
    <col min="12293" max="12293" width="13.5703125" style="575" customWidth="1"/>
    <col min="12294" max="12294" width="11.42578125" style="575" bestFit="1" customWidth="1"/>
    <col min="12295" max="12295" width="11.28515625" style="575" customWidth="1"/>
    <col min="12296" max="12296" width="15.28515625" style="575" bestFit="1" customWidth="1"/>
    <col min="12297" max="12299" width="11.85546875" style="575" customWidth="1"/>
    <col min="12300" max="12300" width="19.140625" style="575" customWidth="1"/>
    <col min="12301" max="12301" width="15" style="575" customWidth="1"/>
    <col min="12302" max="12302" width="15.28515625" style="575" customWidth="1"/>
    <col min="12303" max="12305" width="18.85546875" style="575" customWidth="1"/>
    <col min="12306" max="12306" width="12.7109375" style="575" customWidth="1"/>
    <col min="12307" max="12307" width="13.7109375" style="575" customWidth="1"/>
    <col min="12308" max="12308" width="16.140625" style="575" customWidth="1"/>
    <col min="12309" max="12309" width="17" style="575" customWidth="1"/>
    <col min="12310" max="12310" width="15" style="575" customWidth="1"/>
    <col min="12311" max="12311" width="14.28515625" style="575" customWidth="1"/>
    <col min="12312" max="12312" width="14.85546875" style="575" customWidth="1"/>
    <col min="12313" max="12313" width="17.140625" style="575" customWidth="1"/>
    <col min="12314" max="12314" width="13.5703125" style="575" customWidth="1"/>
    <col min="12315" max="12316" width="14.85546875" style="575" customWidth="1"/>
    <col min="12317" max="12317" width="18.85546875" style="575" customWidth="1"/>
    <col min="12318" max="12318" width="19.42578125" style="575" customWidth="1"/>
    <col min="12319" max="12319" width="16.140625" style="575" customWidth="1"/>
    <col min="12320" max="12320" width="14.5703125" style="575" customWidth="1"/>
    <col min="12321" max="12321" width="20.28515625" style="575" customWidth="1"/>
    <col min="12322" max="12322" width="13.85546875" style="575" customWidth="1"/>
    <col min="12323" max="12323" width="19.140625" style="575" customWidth="1"/>
    <col min="12324" max="12324" width="19.7109375" style="575" customWidth="1"/>
    <col min="12325" max="12325" width="16.5703125" style="575" customWidth="1"/>
    <col min="12326" max="12326" width="19.140625" style="575" customWidth="1"/>
    <col min="12327" max="12329" width="16.5703125" style="575" customWidth="1"/>
    <col min="12330" max="12330" width="15.7109375" style="575" customWidth="1"/>
    <col min="12331" max="12331" width="19.42578125" style="575" customWidth="1"/>
    <col min="12332" max="12332" width="14.85546875" style="575" bestFit="1" customWidth="1"/>
    <col min="12333" max="12333" width="13.7109375" style="575" bestFit="1" customWidth="1"/>
    <col min="12334" max="12334" width="13" style="575" customWidth="1"/>
    <col min="12335" max="12335" width="18.42578125" style="575" customWidth="1"/>
    <col min="12336" max="12338" width="13.140625" style="575" customWidth="1"/>
    <col min="12339" max="12339" width="16.42578125" style="575" customWidth="1"/>
    <col min="12340" max="12340" width="13.140625" style="575" customWidth="1"/>
    <col min="12341" max="12341" width="15.28515625" style="575" customWidth="1"/>
    <col min="12342" max="12342" width="14" style="575" bestFit="1" customWidth="1"/>
    <col min="12343" max="12343" width="17.140625" style="575" customWidth="1"/>
    <col min="12344" max="12365" width="16.5703125" style="575" customWidth="1"/>
    <col min="12366" max="12366" width="20.140625" style="575" customWidth="1"/>
    <col min="12367" max="12367" width="13.28515625" style="575" customWidth="1"/>
    <col min="12368" max="12368" width="14.85546875" style="575" customWidth="1"/>
    <col min="12369" max="12369" width="13.85546875" style="575" customWidth="1"/>
    <col min="12370" max="12370" width="13.5703125" style="575" customWidth="1"/>
    <col min="12371" max="12371" width="13" style="575" customWidth="1"/>
    <col min="12372" max="12372" width="13.5703125" style="575" customWidth="1"/>
    <col min="12373" max="12373" width="7.7109375" style="575" bestFit="1" customWidth="1"/>
    <col min="12374" max="12543" width="9.140625" style="575"/>
    <col min="12544" max="12544" width="4.28515625" style="575" customWidth="1"/>
    <col min="12545" max="12545" width="10.140625" style="575" customWidth="1"/>
    <col min="12546" max="12546" width="8.85546875" style="575" customWidth="1"/>
    <col min="12547" max="12547" width="11.140625" style="575" customWidth="1"/>
    <col min="12548" max="12548" width="15" style="575" bestFit="1" customWidth="1"/>
    <col min="12549" max="12549" width="13.5703125" style="575" customWidth="1"/>
    <col min="12550" max="12550" width="11.42578125" style="575" bestFit="1" customWidth="1"/>
    <col min="12551" max="12551" width="11.28515625" style="575" customWidth="1"/>
    <col min="12552" max="12552" width="15.28515625" style="575" bestFit="1" customWidth="1"/>
    <col min="12553" max="12555" width="11.85546875" style="575" customWidth="1"/>
    <col min="12556" max="12556" width="19.140625" style="575" customWidth="1"/>
    <col min="12557" max="12557" width="15" style="575" customWidth="1"/>
    <col min="12558" max="12558" width="15.28515625" style="575" customWidth="1"/>
    <col min="12559" max="12561" width="18.85546875" style="575" customWidth="1"/>
    <col min="12562" max="12562" width="12.7109375" style="575" customWidth="1"/>
    <col min="12563" max="12563" width="13.7109375" style="575" customWidth="1"/>
    <col min="12564" max="12564" width="16.140625" style="575" customWidth="1"/>
    <col min="12565" max="12565" width="17" style="575" customWidth="1"/>
    <col min="12566" max="12566" width="15" style="575" customWidth="1"/>
    <col min="12567" max="12567" width="14.28515625" style="575" customWidth="1"/>
    <col min="12568" max="12568" width="14.85546875" style="575" customWidth="1"/>
    <col min="12569" max="12569" width="17.140625" style="575" customWidth="1"/>
    <col min="12570" max="12570" width="13.5703125" style="575" customWidth="1"/>
    <col min="12571" max="12572" width="14.85546875" style="575" customWidth="1"/>
    <col min="12573" max="12573" width="18.85546875" style="575" customWidth="1"/>
    <col min="12574" max="12574" width="19.42578125" style="575" customWidth="1"/>
    <col min="12575" max="12575" width="16.140625" style="575" customWidth="1"/>
    <col min="12576" max="12576" width="14.5703125" style="575" customWidth="1"/>
    <col min="12577" max="12577" width="20.28515625" style="575" customWidth="1"/>
    <col min="12578" max="12578" width="13.85546875" style="575" customWidth="1"/>
    <col min="12579" max="12579" width="19.140625" style="575" customWidth="1"/>
    <col min="12580" max="12580" width="19.7109375" style="575" customWidth="1"/>
    <col min="12581" max="12581" width="16.5703125" style="575" customWidth="1"/>
    <col min="12582" max="12582" width="19.140625" style="575" customWidth="1"/>
    <col min="12583" max="12585" width="16.5703125" style="575" customWidth="1"/>
    <col min="12586" max="12586" width="15.7109375" style="575" customWidth="1"/>
    <col min="12587" max="12587" width="19.42578125" style="575" customWidth="1"/>
    <col min="12588" max="12588" width="14.85546875" style="575" bestFit="1" customWidth="1"/>
    <col min="12589" max="12589" width="13.7109375" style="575" bestFit="1" customWidth="1"/>
    <col min="12590" max="12590" width="13" style="575" customWidth="1"/>
    <col min="12591" max="12591" width="18.42578125" style="575" customWidth="1"/>
    <col min="12592" max="12594" width="13.140625" style="575" customWidth="1"/>
    <col min="12595" max="12595" width="16.42578125" style="575" customWidth="1"/>
    <col min="12596" max="12596" width="13.140625" style="575" customWidth="1"/>
    <col min="12597" max="12597" width="15.28515625" style="575" customWidth="1"/>
    <col min="12598" max="12598" width="14" style="575" bestFit="1" customWidth="1"/>
    <col min="12599" max="12599" width="17.140625" style="575" customWidth="1"/>
    <col min="12600" max="12621" width="16.5703125" style="575" customWidth="1"/>
    <col min="12622" max="12622" width="20.140625" style="575" customWidth="1"/>
    <col min="12623" max="12623" width="13.28515625" style="575" customWidth="1"/>
    <col min="12624" max="12624" width="14.85546875" style="575" customWidth="1"/>
    <col min="12625" max="12625" width="13.85546875" style="575" customWidth="1"/>
    <col min="12626" max="12626" width="13.5703125" style="575" customWidth="1"/>
    <col min="12627" max="12627" width="13" style="575" customWidth="1"/>
    <col min="12628" max="12628" width="13.5703125" style="575" customWidth="1"/>
    <col min="12629" max="12629" width="7.7109375" style="575" bestFit="1" customWidth="1"/>
    <col min="12630" max="12799" width="9.140625" style="575"/>
    <col min="12800" max="12800" width="4.28515625" style="575" customWidth="1"/>
    <col min="12801" max="12801" width="10.140625" style="575" customWidth="1"/>
    <col min="12802" max="12802" width="8.85546875" style="575" customWidth="1"/>
    <col min="12803" max="12803" width="11.140625" style="575" customWidth="1"/>
    <col min="12804" max="12804" width="15" style="575" bestFit="1" customWidth="1"/>
    <col min="12805" max="12805" width="13.5703125" style="575" customWidth="1"/>
    <col min="12806" max="12806" width="11.42578125" style="575" bestFit="1" customWidth="1"/>
    <col min="12807" max="12807" width="11.28515625" style="575" customWidth="1"/>
    <col min="12808" max="12808" width="15.28515625" style="575" bestFit="1" customWidth="1"/>
    <col min="12809" max="12811" width="11.85546875" style="575" customWidth="1"/>
    <col min="12812" max="12812" width="19.140625" style="575" customWidth="1"/>
    <col min="12813" max="12813" width="15" style="575" customWidth="1"/>
    <col min="12814" max="12814" width="15.28515625" style="575" customWidth="1"/>
    <col min="12815" max="12817" width="18.85546875" style="575" customWidth="1"/>
    <col min="12818" max="12818" width="12.7109375" style="575" customWidth="1"/>
    <col min="12819" max="12819" width="13.7109375" style="575" customWidth="1"/>
    <col min="12820" max="12820" width="16.140625" style="575" customWidth="1"/>
    <col min="12821" max="12821" width="17" style="575" customWidth="1"/>
    <col min="12822" max="12822" width="15" style="575" customWidth="1"/>
    <col min="12823" max="12823" width="14.28515625" style="575" customWidth="1"/>
    <col min="12824" max="12824" width="14.85546875" style="575" customWidth="1"/>
    <col min="12825" max="12825" width="17.140625" style="575" customWidth="1"/>
    <col min="12826" max="12826" width="13.5703125" style="575" customWidth="1"/>
    <col min="12827" max="12828" width="14.85546875" style="575" customWidth="1"/>
    <col min="12829" max="12829" width="18.85546875" style="575" customWidth="1"/>
    <col min="12830" max="12830" width="19.42578125" style="575" customWidth="1"/>
    <col min="12831" max="12831" width="16.140625" style="575" customWidth="1"/>
    <col min="12832" max="12832" width="14.5703125" style="575" customWidth="1"/>
    <col min="12833" max="12833" width="20.28515625" style="575" customWidth="1"/>
    <col min="12834" max="12834" width="13.85546875" style="575" customWidth="1"/>
    <col min="12835" max="12835" width="19.140625" style="575" customWidth="1"/>
    <col min="12836" max="12836" width="19.7109375" style="575" customWidth="1"/>
    <col min="12837" max="12837" width="16.5703125" style="575" customWidth="1"/>
    <col min="12838" max="12838" width="19.140625" style="575" customWidth="1"/>
    <col min="12839" max="12841" width="16.5703125" style="575" customWidth="1"/>
    <col min="12842" max="12842" width="15.7109375" style="575" customWidth="1"/>
    <col min="12843" max="12843" width="19.42578125" style="575" customWidth="1"/>
    <col min="12844" max="12844" width="14.85546875" style="575" bestFit="1" customWidth="1"/>
    <col min="12845" max="12845" width="13.7109375" style="575" bestFit="1" customWidth="1"/>
    <col min="12846" max="12846" width="13" style="575" customWidth="1"/>
    <col min="12847" max="12847" width="18.42578125" style="575" customWidth="1"/>
    <col min="12848" max="12850" width="13.140625" style="575" customWidth="1"/>
    <col min="12851" max="12851" width="16.42578125" style="575" customWidth="1"/>
    <col min="12852" max="12852" width="13.140625" style="575" customWidth="1"/>
    <col min="12853" max="12853" width="15.28515625" style="575" customWidth="1"/>
    <col min="12854" max="12854" width="14" style="575" bestFit="1" customWidth="1"/>
    <col min="12855" max="12855" width="17.140625" style="575" customWidth="1"/>
    <col min="12856" max="12877" width="16.5703125" style="575" customWidth="1"/>
    <col min="12878" max="12878" width="20.140625" style="575" customWidth="1"/>
    <col min="12879" max="12879" width="13.28515625" style="575" customWidth="1"/>
    <col min="12880" max="12880" width="14.85546875" style="575" customWidth="1"/>
    <col min="12881" max="12881" width="13.85546875" style="575" customWidth="1"/>
    <col min="12882" max="12882" width="13.5703125" style="575" customWidth="1"/>
    <col min="12883" max="12883" width="13" style="575" customWidth="1"/>
    <col min="12884" max="12884" width="13.5703125" style="575" customWidth="1"/>
    <col min="12885" max="12885" width="7.7109375" style="575" bestFit="1" customWidth="1"/>
    <col min="12886" max="13055" width="9.140625" style="575"/>
    <col min="13056" max="13056" width="4.28515625" style="575" customWidth="1"/>
    <col min="13057" max="13057" width="10.140625" style="575" customWidth="1"/>
    <col min="13058" max="13058" width="8.85546875" style="575" customWidth="1"/>
    <col min="13059" max="13059" width="11.140625" style="575" customWidth="1"/>
    <col min="13060" max="13060" width="15" style="575" bestFit="1" customWidth="1"/>
    <col min="13061" max="13061" width="13.5703125" style="575" customWidth="1"/>
    <col min="13062" max="13062" width="11.42578125" style="575" bestFit="1" customWidth="1"/>
    <col min="13063" max="13063" width="11.28515625" style="575" customWidth="1"/>
    <col min="13064" max="13064" width="15.28515625" style="575" bestFit="1" customWidth="1"/>
    <col min="13065" max="13067" width="11.85546875" style="575" customWidth="1"/>
    <col min="13068" max="13068" width="19.140625" style="575" customWidth="1"/>
    <col min="13069" max="13069" width="15" style="575" customWidth="1"/>
    <col min="13070" max="13070" width="15.28515625" style="575" customWidth="1"/>
    <col min="13071" max="13073" width="18.85546875" style="575" customWidth="1"/>
    <col min="13074" max="13074" width="12.7109375" style="575" customWidth="1"/>
    <col min="13075" max="13075" width="13.7109375" style="575" customWidth="1"/>
    <col min="13076" max="13076" width="16.140625" style="575" customWidth="1"/>
    <col min="13077" max="13077" width="17" style="575" customWidth="1"/>
    <col min="13078" max="13078" width="15" style="575" customWidth="1"/>
    <col min="13079" max="13079" width="14.28515625" style="575" customWidth="1"/>
    <col min="13080" max="13080" width="14.85546875" style="575" customWidth="1"/>
    <col min="13081" max="13081" width="17.140625" style="575" customWidth="1"/>
    <col min="13082" max="13082" width="13.5703125" style="575" customWidth="1"/>
    <col min="13083" max="13084" width="14.85546875" style="575" customWidth="1"/>
    <col min="13085" max="13085" width="18.85546875" style="575" customWidth="1"/>
    <col min="13086" max="13086" width="19.42578125" style="575" customWidth="1"/>
    <col min="13087" max="13087" width="16.140625" style="575" customWidth="1"/>
    <col min="13088" max="13088" width="14.5703125" style="575" customWidth="1"/>
    <col min="13089" max="13089" width="20.28515625" style="575" customWidth="1"/>
    <col min="13090" max="13090" width="13.85546875" style="575" customWidth="1"/>
    <col min="13091" max="13091" width="19.140625" style="575" customWidth="1"/>
    <col min="13092" max="13092" width="19.7109375" style="575" customWidth="1"/>
    <col min="13093" max="13093" width="16.5703125" style="575" customWidth="1"/>
    <col min="13094" max="13094" width="19.140625" style="575" customWidth="1"/>
    <col min="13095" max="13097" width="16.5703125" style="575" customWidth="1"/>
    <col min="13098" max="13098" width="15.7109375" style="575" customWidth="1"/>
    <col min="13099" max="13099" width="19.42578125" style="575" customWidth="1"/>
    <col min="13100" max="13100" width="14.85546875" style="575" bestFit="1" customWidth="1"/>
    <col min="13101" max="13101" width="13.7109375" style="575" bestFit="1" customWidth="1"/>
    <col min="13102" max="13102" width="13" style="575" customWidth="1"/>
    <col min="13103" max="13103" width="18.42578125" style="575" customWidth="1"/>
    <col min="13104" max="13106" width="13.140625" style="575" customWidth="1"/>
    <col min="13107" max="13107" width="16.42578125" style="575" customWidth="1"/>
    <col min="13108" max="13108" width="13.140625" style="575" customWidth="1"/>
    <col min="13109" max="13109" width="15.28515625" style="575" customWidth="1"/>
    <col min="13110" max="13110" width="14" style="575" bestFit="1" customWidth="1"/>
    <col min="13111" max="13111" width="17.140625" style="575" customWidth="1"/>
    <col min="13112" max="13133" width="16.5703125" style="575" customWidth="1"/>
    <col min="13134" max="13134" width="20.140625" style="575" customWidth="1"/>
    <col min="13135" max="13135" width="13.28515625" style="575" customWidth="1"/>
    <col min="13136" max="13136" width="14.85546875" style="575" customWidth="1"/>
    <col min="13137" max="13137" width="13.85546875" style="575" customWidth="1"/>
    <col min="13138" max="13138" width="13.5703125" style="575" customWidth="1"/>
    <col min="13139" max="13139" width="13" style="575" customWidth="1"/>
    <col min="13140" max="13140" width="13.5703125" style="575" customWidth="1"/>
    <col min="13141" max="13141" width="7.7109375" style="575" bestFit="1" customWidth="1"/>
    <col min="13142" max="13311" width="9.140625" style="575"/>
    <col min="13312" max="13312" width="4.28515625" style="575" customWidth="1"/>
    <col min="13313" max="13313" width="10.140625" style="575" customWidth="1"/>
    <col min="13314" max="13314" width="8.85546875" style="575" customWidth="1"/>
    <col min="13315" max="13315" width="11.140625" style="575" customWidth="1"/>
    <col min="13316" max="13316" width="15" style="575" bestFit="1" customWidth="1"/>
    <col min="13317" max="13317" width="13.5703125" style="575" customWidth="1"/>
    <col min="13318" max="13318" width="11.42578125" style="575" bestFit="1" customWidth="1"/>
    <col min="13319" max="13319" width="11.28515625" style="575" customWidth="1"/>
    <col min="13320" max="13320" width="15.28515625" style="575" bestFit="1" customWidth="1"/>
    <col min="13321" max="13323" width="11.85546875" style="575" customWidth="1"/>
    <col min="13324" max="13324" width="19.140625" style="575" customWidth="1"/>
    <col min="13325" max="13325" width="15" style="575" customWidth="1"/>
    <col min="13326" max="13326" width="15.28515625" style="575" customWidth="1"/>
    <col min="13327" max="13329" width="18.85546875" style="575" customWidth="1"/>
    <col min="13330" max="13330" width="12.7109375" style="575" customWidth="1"/>
    <col min="13331" max="13331" width="13.7109375" style="575" customWidth="1"/>
    <col min="13332" max="13332" width="16.140625" style="575" customWidth="1"/>
    <col min="13333" max="13333" width="17" style="575" customWidth="1"/>
    <col min="13334" max="13334" width="15" style="575" customWidth="1"/>
    <col min="13335" max="13335" width="14.28515625" style="575" customWidth="1"/>
    <col min="13336" max="13336" width="14.85546875" style="575" customWidth="1"/>
    <col min="13337" max="13337" width="17.140625" style="575" customWidth="1"/>
    <col min="13338" max="13338" width="13.5703125" style="575" customWidth="1"/>
    <col min="13339" max="13340" width="14.85546875" style="575" customWidth="1"/>
    <col min="13341" max="13341" width="18.85546875" style="575" customWidth="1"/>
    <col min="13342" max="13342" width="19.42578125" style="575" customWidth="1"/>
    <col min="13343" max="13343" width="16.140625" style="575" customWidth="1"/>
    <col min="13344" max="13344" width="14.5703125" style="575" customWidth="1"/>
    <col min="13345" max="13345" width="20.28515625" style="575" customWidth="1"/>
    <col min="13346" max="13346" width="13.85546875" style="575" customWidth="1"/>
    <col min="13347" max="13347" width="19.140625" style="575" customWidth="1"/>
    <col min="13348" max="13348" width="19.7109375" style="575" customWidth="1"/>
    <col min="13349" max="13349" width="16.5703125" style="575" customWidth="1"/>
    <col min="13350" max="13350" width="19.140625" style="575" customWidth="1"/>
    <col min="13351" max="13353" width="16.5703125" style="575" customWidth="1"/>
    <col min="13354" max="13354" width="15.7109375" style="575" customWidth="1"/>
    <col min="13355" max="13355" width="19.42578125" style="575" customWidth="1"/>
    <col min="13356" max="13356" width="14.85546875" style="575" bestFit="1" customWidth="1"/>
    <col min="13357" max="13357" width="13.7109375" style="575" bestFit="1" customWidth="1"/>
    <col min="13358" max="13358" width="13" style="575" customWidth="1"/>
    <col min="13359" max="13359" width="18.42578125" style="575" customWidth="1"/>
    <col min="13360" max="13362" width="13.140625" style="575" customWidth="1"/>
    <col min="13363" max="13363" width="16.42578125" style="575" customWidth="1"/>
    <col min="13364" max="13364" width="13.140625" style="575" customWidth="1"/>
    <col min="13365" max="13365" width="15.28515625" style="575" customWidth="1"/>
    <col min="13366" max="13366" width="14" style="575" bestFit="1" customWidth="1"/>
    <col min="13367" max="13367" width="17.140625" style="575" customWidth="1"/>
    <col min="13368" max="13389" width="16.5703125" style="575" customWidth="1"/>
    <col min="13390" max="13390" width="20.140625" style="575" customWidth="1"/>
    <col min="13391" max="13391" width="13.28515625" style="575" customWidth="1"/>
    <col min="13392" max="13392" width="14.85546875" style="575" customWidth="1"/>
    <col min="13393" max="13393" width="13.85546875" style="575" customWidth="1"/>
    <col min="13394" max="13394" width="13.5703125" style="575" customWidth="1"/>
    <col min="13395" max="13395" width="13" style="575" customWidth="1"/>
    <col min="13396" max="13396" width="13.5703125" style="575" customWidth="1"/>
    <col min="13397" max="13397" width="7.7109375" style="575" bestFit="1" customWidth="1"/>
    <col min="13398" max="13567" width="9.140625" style="575"/>
    <col min="13568" max="13568" width="4.28515625" style="575" customWidth="1"/>
    <col min="13569" max="13569" width="10.140625" style="575" customWidth="1"/>
    <col min="13570" max="13570" width="8.85546875" style="575" customWidth="1"/>
    <col min="13571" max="13571" width="11.140625" style="575" customWidth="1"/>
    <col min="13572" max="13572" width="15" style="575" bestFit="1" customWidth="1"/>
    <col min="13573" max="13573" width="13.5703125" style="575" customWidth="1"/>
    <col min="13574" max="13574" width="11.42578125" style="575" bestFit="1" customWidth="1"/>
    <col min="13575" max="13575" width="11.28515625" style="575" customWidth="1"/>
    <col min="13576" max="13576" width="15.28515625" style="575" bestFit="1" customWidth="1"/>
    <col min="13577" max="13579" width="11.85546875" style="575" customWidth="1"/>
    <col min="13580" max="13580" width="19.140625" style="575" customWidth="1"/>
    <col min="13581" max="13581" width="15" style="575" customWidth="1"/>
    <col min="13582" max="13582" width="15.28515625" style="575" customWidth="1"/>
    <col min="13583" max="13585" width="18.85546875" style="575" customWidth="1"/>
    <col min="13586" max="13586" width="12.7109375" style="575" customWidth="1"/>
    <col min="13587" max="13587" width="13.7109375" style="575" customWidth="1"/>
    <col min="13588" max="13588" width="16.140625" style="575" customWidth="1"/>
    <col min="13589" max="13589" width="17" style="575" customWidth="1"/>
    <col min="13590" max="13590" width="15" style="575" customWidth="1"/>
    <col min="13591" max="13591" width="14.28515625" style="575" customWidth="1"/>
    <col min="13592" max="13592" width="14.85546875" style="575" customWidth="1"/>
    <col min="13593" max="13593" width="17.140625" style="575" customWidth="1"/>
    <col min="13594" max="13594" width="13.5703125" style="575" customWidth="1"/>
    <col min="13595" max="13596" width="14.85546875" style="575" customWidth="1"/>
    <col min="13597" max="13597" width="18.85546875" style="575" customWidth="1"/>
    <col min="13598" max="13598" width="19.42578125" style="575" customWidth="1"/>
    <col min="13599" max="13599" width="16.140625" style="575" customWidth="1"/>
    <col min="13600" max="13600" width="14.5703125" style="575" customWidth="1"/>
    <col min="13601" max="13601" width="20.28515625" style="575" customWidth="1"/>
    <col min="13602" max="13602" width="13.85546875" style="575" customWidth="1"/>
    <col min="13603" max="13603" width="19.140625" style="575" customWidth="1"/>
    <col min="13604" max="13604" width="19.7109375" style="575" customWidth="1"/>
    <col min="13605" max="13605" width="16.5703125" style="575" customWidth="1"/>
    <col min="13606" max="13606" width="19.140625" style="575" customWidth="1"/>
    <col min="13607" max="13609" width="16.5703125" style="575" customWidth="1"/>
    <col min="13610" max="13610" width="15.7109375" style="575" customWidth="1"/>
    <col min="13611" max="13611" width="19.42578125" style="575" customWidth="1"/>
    <col min="13612" max="13612" width="14.85546875" style="575" bestFit="1" customWidth="1"/>
    <col min="13613" max="13613" width="13.7109375" style="575" bestFit="1" customWidth="1"/>
    <col min="13614" max="13614" width="13" style="575" customWidth="1"/>
    <col min="13615" max="13615" width="18.42578125" style="575" customWidth="1"/>
    <col min="13616" max="13618" width="13.140625" style="575" customWidth="1"/>
    <col min="13619" max="13619" width="16.42578125" style="575" customWidth="1"/>
    <col min="13620" max="13620" width="13.140625" style="575" customWidth="1"/>
    <col min="13621" max="13621" width="15.28515625" style="575" customWidth="1"/>
    <col min="13622" max="13622" width="14" style="575" bestFit="1" customWidth="1"/>
    <col min="13623" max="13623" width="17.140625" style="575" customWidth="1"/>
    <col min="13624" max="13645" width="16.5703125" style="575" customWidth="1"/>
    <col min="13646" max="13646" width="20.140625" style="575" customWidth="1"/>
    <col min="13647" max="13647" width="13.28515625" style="575" customWidth="1"/>
    <col min="13648" max="13648" width="14.85546875" style="575" customWidth="1"/>
    <col min="13649" max="13649" width="13.85546875" style="575" customWidth="1"/>
    <col min="13650" max="13650" width="13.5703125" style="575" customWidth="1"/>
    <col min="13651" max="13651" width="13" style="575" customWidth="1"/>
    <col min="13652" max="13652" width="13.5703125" style="575" customWidth="1"/>
    <col min="13653" max="13653" width="7.7109375" style="575" bestFit="1" customWidth="1"/>
    <col min="13654" max="13823" width="9.140625" style="575"/>
    <col min="13824" max="13824" width="4.28515625" style="575" customWidth="1"/>
    <col min="13825" max="13825" width="10.140625" style="575" customWidth="1"/>
    <col min="13826" max="13826" width="8.85546875" style="575" customWidth="1"/>
    <col min="13827" max="13827" width="11.140625" style="575" customWidth="1"/>
    <col min="13828" max="13828" width="15" style="575" bestFit="1" customWidth="1"/>
    <col min="13829" max="13829" width="13.5703125" style="575" customWidth="1"/>
    <col min="13830" max="13830" width="11.42578125" style="575" bestFit="1" customWidth="1"/>
    <col min="13831" max="13831" width="11.28515625" style="575" customWidth="1"/>
    <col min="13832" max="13832" width="15.28515625" style="575" bestFit="1" customWidth="1"/>
    <col min="13833" max="13835" width="11.85546875" style="575" customWidth="1"/>
    <col min="13836" max="13836" width="19.140625" style="575" customWidth="1"/>
    <col min="13837" max="13837" width="15" style="575" customWidth="1"/>
    <col min="13838" max="13838" width="15.28515625" style="575" customWidth="1"/>
    <col min="13839" max="13841" width="18.85546875" style="575" customWidth="1"/>
    <col min="13842" max="13842" width="12.7109375" style="575" customWidth="1"/>
    <col min="13843" max="13843" width="13.7109375" style="575" customWidth="1"/>
    <col min="13844" max="13844" width="16.140625" style="575" customWidth="1"/>
    <col min="13845" max="13845" width="17" style="575" customWidth="1"/>
    <col min="13846" max="13846" width="15" style="575" customWidth="1"/>
    <col min="13847" max="13847" width="14.28515625" style="575" customWidth="1"/>
    <col min="13848" max="13848" width="14.85546875" style="575" customWidth="1"/>
    <col min="13849" max="13849" width="17.140625" style="575" customWidth="1"/>
    <col min="13850" max="13850" width="13.5703125" style="575" customWidth="1"/>
    <col min="13851" max="13852" width="14.85546875" style="575" customWidth="1"/>
    <col min="13853" max="13853" width="18.85546875" style="575" customWidth="1"/>
    <col min="13854" max="13854" width="19.42578125" style="575" customWidth="1"/>
    <col min="13855" max="13855" width="16.140625" style="575" customWidth="1"/>
    <col min="13856" max="13856" width="14.5703125" style="575" customWidth="1"/>
    <col min="13857" max="13857" width="20.28515625" style="575" customWidth="1"/>
    <col min="13858" max="13858" width="13.85546875" style="575" customWidth="1"/>
    <col min="13859" max="13859" width="19.140625" style="575" customWidth="1"/>
    <col min="13860" max="13860" width="19.7109375" style="575" customWidth="1"/>
    <col min="13861" max="13861" width="16.5703125" style="575" customWidth="1"/>
    <col min="13862" max="13862" width="19.140625" style="575" customWidth="1"/>
    <col min="13863" max="13865" width="16.5703125" style="575" customWidth="1"/>
    <col min="13866" max="13866" width="15.7109375" style="575" customWidth="1"/>
    <col min="13867" max="13867" width="19.42578125" style="575" customWidth="1"/>
    <col min="13868" max="13868" width="14.85546875" style="575" bestFit="1" customWidth="1"/>
    <col min="13869" max="13869" width="13.7109375" style="575" bestFit="1" customWidth="1"/>
    <col min="13870" max="13870" width="13" style="575" customWidth="1"/>
    <col min="13871" max="13871" width="18.42578125" style="575" customWidth="1"/>
    <col min="13872" max="13874" width="13.140625" style="575" customWidth="1"/>
    <col min="13875" max="13875" width="16.42578125" style="575" customWidth="1"/>
    <col min="13876" max="13876" width="13.140625" style="575" customWidth="1"/>
    <col min="13877" max="13877" width="15.28515625" style="575" customWidth="1"/>
    <col min="13878" max="13878" width="14" style="575" bestFit="1" customWidth="1"/>
    <col min="13879" max="13879" width="17.140625" style="575" customWidth="1"/>
    <col min="13880" max="13901" width="16.5703125" style="575" customWidth="1"/>
    <col min="13902" max="13902" width="20.140625" style="575" customWidth="1"/>
    <col min="13903" max="13903" width="13.28515625" style="575" customWidth="1"/>
    <col min="13904" max="13904" width="14.85546875" style="575" customWidth="1"/>
    <col min="13905" max="13905" width="13.85546875" style="575" customWidth="1"/>
    <col min="13906" max="13906" width="13.5703125" style="575" customWidth="1"/>
    <col min="13907" max="13907" width="13" style="575" customWidth="1"/>
    <col min="13908" max="13908" width="13.5703125" style="575" customWidth="1"/>
    <col min="13909" max="13909" width="7.7109375" style="575" bestFit="1" customWidth="1"/>
    <col min="13910" max="14079" width="9.140625" style="575"/>
    <col min="14080" max="14080" width="4.28515625" style="575" customWidth="1"/>
    <col min="14081" max="14081" width="10.140625" style="575" customWidth="1"/>
    <col min="14082" max="14082" width="8.85546875" style="575" customWidth="1"/>
    <col min="14083" max="14083" width="11.140625" style="575" customWidth="1"/>
    <col min="14084" max="14084" width="15" style="575" bestFit="1" customWidth="1"/>
    <col min="14085" max="14085" width="13.5703125" style="575" customWidth="1"/>
    <col min="14086" max="14086" width="11.42578125" style="575" bestFit="1" customWidth="1"/>
    <col min="14087" max="14087" width="11.28515625" style="575" customWidth="1"/>
    <col min="14088" max="14088" width="15.28515625" style="575" bestFit="1" customWidth="1"/>
    <col min="14089" max="14091" width="11.85546875" style="575" customWidth="1"/>
    <col min="14092" max="14092" width="19.140625" style="575" customWidth="1"/>
    <col min="14093" max="14093" width="15" style="575" customWidth="1"/>
    <col min="14094" max="14094" width="15.28515625" style="575" customWidth="1"/>
    <col min="14095" max="14097" width="18.85546875" style="575" customWidth="1"/>
    <col min="14098" max="14098" width="12.7109375" style="575" customWidth="1"/>
    <col min="14099" max="14099" width="13.7109375" style="575" customWidth="1"/>
    <col min="14100" max="14100" width="16.140625" style="575" customWidth="1"/>
    <col min="14101" max="14101" width="17" style="575" customWidth="1"/>
    <col min="14102" max="14102" width="15" style="575" customWidth="1"/>
    <col min="14103" max="14103" width="14.28515625" style="575" customWidth="1"/>
    <col min="14104" max="14104" width="14.85546875" style="575" customWidth="1"/>
    <col min="14105" max="14105" width="17.140625" style="575" customWidth="1"/>
    <col min="14106" max="14106" width="13.5703125" style="575" customWidth="1"/>
    <col min="14107" max="14108" width="14.85546875" style="575" customWidth="1"/>
    <col min="14109" max="14109" width="18.85546875" style="575" customWidth="1"/>
    <col min="14110" max="14110" width="19.42578125" style="575" customWidth="1"/>
    <col min="14111" max="14111" width="16.140625" style="575" customWidth="1"/>
    <col min="14112" max="14112" width="14.5703125" style="575" customWidth="1"/>
    <col min="14113" max="14113" width="20.28515625" style="575" customWidth="1"/>
    <col min="14114" max="14114" width="13.85546875" style="575" customWidth="1"/>
    <col min="14115" max="14115" width="19.140625" style="575" customWidth="1"/>
    <col min="14116" max="14116" width="19.7109375" style="575" customWidth="1"/>
    <col min="14117" max="14117" width="16.5703125" style="575" customWidth="1"/>
    <col min="14118" max="14118" width="19.140625" style="575" customWidth="1"/>
    <col min="14119" max="14121" width="16.5703125" style="575" customWidth="1"/>
    <col min="14122" max="14122" width="15.7109375" style="575" customWidth="1"/>
    <col min="14123" max="14123" width="19.42578125" style="575" customWidth="1"/>
    <col min="14124" max="14124" width="14.85546875" style="575" bestFit="1" customWidth="1"/>
    <col min="14125" max="14125" width="13.7109375" style="575" bestFit="1" customWidth="1"/>
    <col min="14126" max="14126" width="13" style="575" customWidth="1"/>
    <col min="14127" max="14127" width="18.42578125" style="575" customWidth="1"/>
    <col min="14128" max="14130" width="13.140625" style="575" customWidth="1"/>
    <col min="14131" max="14131" width="16.42578125" style="575" customWidth="1"/>
    <col min="14132" max="14132" width="13.140625" style="575" customWidth="1"/>
    <col min="14133" max="14133" width="15.28515625" style="575" customWidth="1"/>
    <col min="14134" max="14134" width="14" style="575" bestFit="1" customWidth="1"/>
    <col min="14135" max="14135" width="17.140625" style="575" customWidth="1"/>
    <col min="14136" max="14157" width="16.5703125" style="575" customWidth="1"/>
    <col min="14158" max="14158" width="20.140625" style="575" customWidth="1"/>
    <col min="14159" max="14159" width="13.28515625" style="575" customWidth="1"/>
    <col min="14160" max="14160" width="14.85546875" style="575" customWidth="1"/>
    <col min="14161" max="14161" width="13.85546875" style="575" customWidth="1"/>
    <col min="14162" max="14162" width="13.5703125" style="575" customWidth="1"/>
    <col min="14163" max="14163" width="13" style="575" customWidth="1"/>
    <col min="14164" max="14164" width="13.5703125" style="575" customWidth="1"/>
    <col min="14165" max="14165" width="7.7109375" style="575" bestFit="1" customWidth="1"/>
    <col min="14166" max="14335" width="9.140625" style="575"/>
    <col min="14336" max="14336" width="4.28515625" style="575" customWidth="1"/>
    <col min="14337" max="14337" width="10.140625" style="575" customWidth="1"/>
    <col min="14338" max="14338" width="8.85546875" style="575" customWidth="1"/>
    <col min="14339" max="14339" width="11.140625" style="575" customWidth="1"/>
    <col min="14340" max="14340" width="15" style="575" bestFit="1" customWidth="1"/>
    <col min="14341" max="14341" width="13.5703125" style="575" customWidth="1"/>
    <col min="14342" max="14342" width="11.42578125" style="575" bestFit="1" customWidth="1"/>
    <col min="14343" max="14343" width="11.28515625" style="575" customWidth="1"/>
    <col min="14344" max="14344" width="15.28515625" style="575" bestFit="1" customWidth="1"/>
    <col min="14345" max="14347" width="11.85546875" style="575" customWidth="1"/>
    <col min="14348" max="14348" width="19.140625" style="575" customWidth="1"/>
    <col min="14349" max="14349" width="15" style="575" customWidth="1"/>
    <col min="14350" max="14350" width="15.28515625" style="575" customWidth="1"/>
    <col min="14351" max="14353" width="18.85546875" style="575" customWidth="1"/>
    <col min="14354" max="14354" width="12.7109375" style="575" customWidth="1"/>
    <col min="14355" max="14355" width="13.7109375" style="575" customWidth="1"/>
    <col min="14356" max="14356" width="16.140625" style="575" customWidth="1"/>
    <col min="14357" max="14357" width="17" style="575" customWidth="1"/>
    <col min="14358" max="14358" width="15" style="575" customWidth="1"/>
    <col min="14359" max="14359" width="14.28515625" style="575" customWidth="1"/>
    <col min="14360" max="14360" width="14.85546875" style="575" customWidth="1"/>
    <col min="14361" max="14361" width="17.140625" style="575" customWidth="1"/>
    <col min="14362" max="14362" width="13.5703125" style="575" customWidth="1"/>
    <col min="14363" max="14364" width="14.85546875" style="575" customWidth="1"/>
    <col min="14365" max="14365" width="18.85546875" style="575" customWidth="1"/>
    <col min="14366" max="14366" width="19.42578125" style="575" customWidth="1"/>
    <col min="14367" max="14367" width="16.140625" style="575" customWidth="1"/>
    <col min="14368" max="14368" width="14.5703125" style="575" customWidth="1"/>
    <col min="14369" max="14369" width="20.28515625" style="575" customWidth="1"/>
    <col min="14370" max="14370" width="13.85546875" style="575" customWidth="1"/>
    <col min="14371" max="14371" width="19.140625" style="575" customWidth="1"/>
    <col min="14372" max="14372" width="19.7109375" style="575" customWidth="1"/>
    <col min="14373" max="14373" width="16.5703125" style="575" customWidth="1"/>
    <col min="14374" max="14374" width="19.140625" style="575" customWidth="1"/>
    <col min="14375" max="14377" width="16.5703125" style="575" customWidth="1"/>
    <col min="14378" max="14378" width="15.7109375" style="575" customWidth="1"/>
    <col min="14379" max="14379" width="19.42578125" style="575" customWidth="1"/>
    <col min="14380" max="14380" width="14.85546875" style="575" bestFit="1" customWidth="1"/>
    <col min="14381" max="14381" width="13.7109375" style="575" bestFit="1" customWidth="1"/>
    <col min="14382" max="14382" width="13" style="575" customWidth="1"/>
    <col min="14383" max="14383" width="18.42578125" style="575" customWidth="1"/>
    <col min="14384" max="14386" width="13.140625" style="575" customWidth="1"/>
    <col min="14387" max="14387" width="16.42578125" style="575" customWidth="1"/>
    <col min="14388" max="14388" width="13.140625" style="575" customWidth="1"/>
    <col min="14389" max="14389" width="15.28515625" style="575" customWidth="1"/>
    <col min="14390" max="14390" width="14" style="575" bestFit="1" customWidth="1"/>
    <col min="14391" max="14391" width="17.140625" style="575" customWidth="1"/>
    <col min="14392" max="14413" width="16.5703125" style="575" customWidth="1"/>
    <col min="14414" max="14414" width="20.140625" style="575" customWidth="1"/>
    <col min="14415" max="14415" width="13.28515625" style="575" customWidth="1"/>
    <col min="14416" max="14416" width="14.85546875" style="575" customWidth="1"/>
    <col min="14417" max="14417" width="13.85546875" style="575" customWidth="1"/>
    <col min="14418" max="14418" width="13.5703125" style="575" customWidth="1"/>
    <col min="14419" max="14419" width="13" style="575" customWidth="1"/>
    <col min="14420" max="14420" width="13.5703125" style="575" customWidth="1"/>
    <col min="14421" max="14421" width="7.7109375" style="575" bestFit="1" customWidth="1"/>
    <col min="14422" max="14591" width="9.140625" style="575"/>
    <col min="14592" max="14592" width="4.28515625" style="575" customWidth="1"/>
    <col min="14593" max="14593" width="10.140625" style="575" customWidth="1"/>
    <col min="14594" max="14594" width="8.85546875" style="575" customWidth="1"/>
    <col min="14595" max="14595" width="11.140625" style="575" customWidth="1"/>
    <col min="14596" max="14596" width="15" style="575" bestFit="1" customWidth="1"/>
    <col min="14597" max="14597" width="13.5703125" style="575" customWidth="1"/>
    <col min="14598" max="14598" width="11.42578125" style="575" bestFit="1" customWidth="1"/>
    <col min="14599" max="14599" width="11.28515625" style="575" customWidth="1"/>
    <col min="14600" max="14600" width="15.28515625" style="575" bestFit="1" customWidth="1"/>
    <col min="14601" max="14603" width="11.85546875" style="575" customWidth="1"/>
    <col min="14604" max="14604" width="19.140625" style="575" customWidth="1"/>
    <col min="14605" max="14605" width="15" style="575" customWidth="1"/>
    <col min="14606" max="14606" width="15.28515625" style="575" customWidth="1"/>
    <col min="14607" max="14609" width="18.85546875" style="575" customWidth="1"/>
    <col min="14610" max="14610" width="12.7109375" style="575" customWidth="1"/>
    <col min="14611" max="14611" width="13.7109375" style="575" customWidth="1"/>
    <col min="14612" max="14612" width="16.140625" style="575" customWidth="1"/>
    <col min="14613" max="14613" width="17" style="575" customWidth="1"/>
    <col min="14614" max="14614" width="15" style="575" customWidth="1"/>
    <col min="14615" max="14615" width="14.28515625" style="575" customWidth="1"/>
    <col min="14616" max="14616" width="14.85546875" style="575" customWidth="1"/>
    <col min="14617" max="14617" width="17.140625" style="575" customWidth="1"/>
    <col min="14618" max="14618" width="13.5703125" style="575" customWidth="1"/>
    <col min="14619" max="14620" width="14.85546875" style="575" customWidth="1"/>
    <col min="14621" max="14621" width="18.85546875" style="575" customWidth="1"/>
    <col min="14622" max="14622" width="19.42578125" style="575" customWidth="1"/>
    <col min="14623" max="14623" width="16.140625" style="575" customWidth="1"/>
    <col min="14624" max="14624" width="14.5703125" style="575" customWidth="1"/>
    <col min="14625" max="14625" width="20.28515625" style="575" customWidth="1"/>
    <col min="14626" max="14626" width="13.85546875" style="575" customWidth="1"/>
    <col min="14627" max="14627" width="19.140625" style="575" customWidth="1"/>
    <col min="14628" max="14628" width="19.7109375" style="575" customWidth="1"/>
    <col min="14629" max="14629" width="16.5703125" style="575" customWidth="1"/>
    <col min="14630" max="14630" width="19.140625" style="575" customWidth="1"/>
    <col min="14631" max="14633" width="16.5703125" style="575" customWidth="1"/>
    <col min="14634" max="14634" width="15.7109375" style="575" customWidth="1"/>
    <col min="14635" max="14635" width="19.42578125" style="575" customWidth="1"/>
    <col min="14636" max="14636" width="14.85546875" style="575" bestFit="1" customWidth="1"/>
    <col min="14637" max="14637" width="13.7109375" style="575" bestFit="1" customWidth="1"/>
    <col min="14638" max="14638" width="13" style="575" customWidth="1"/>
    <col min="14639" max="14639" width="18.42578125" style="575" customWidth="1"/>
    <col min="14640" max="14642" width="13.140625" style="575" customWidth="1"/>
    <col min="14643" max="14643" width="16.42578125" style="575" customWidth="1"/>
    <col min="14644" max="14644" width="13.140625" style="575" customWidth="1"/>
    <col min="14645" max="14645" width="15.28515625" style="575" customWidth="1"/>
    <col min="14646" max="14646" width="14" style="575" bestFit="1" customWidth="1"/>
    <col min="14647" max="14647" width="17.140625" style="575" customWidth="1"/>
    <col min="14648" max="14669" width="16.5703125" style="575" customWidth="1"/>
    <col min="14670" max="14670" width="20.140625" style="575" customWidth="1"/>
    <col min="14671" max="14671" width="13.28515625" style="575" customWidth="1"/>
    <col min="14672" max="14672" width="14.85546875" style="575" customWidth="1"/>
    <col min="14673" max="14673" width="13.85546875" style="575" customWidth="1"/>
    <col min="14674" max="14674" width="13.5703125" style="575" customWidth="1"/>
    <col min="14675" max="14675" width="13" style="575" customWidth="1"/>
    <col min="14676" max="14676" width="13.5703125" style="575" customWidth="1"/>
    <col min="14677" max="14677" width="7.7109375" style="575" bestFit="1" customWidth="1"/>
    <col min="14678" max="14847" width="9.140625" style="575"/>
    <col min="14848" max="14848" width="4.28515625" style="575" customWidth="1"/>
    <col min="14849" max="14849" width="10.140625" style="575" customWidth="1"/>
    <col min="14850" max="14850" width="8.85546875" style="575" customWidth="1"/>
    <col min="14851" max="14851" width="11.140625" style="575" customWidth="1"/>
    <col min="14852" max="14852" width="15" style="575" bestFit="1" customWidth="1"/>
    <col min="14853" max="14853" width="13.5703125" style="575" customWidth="1"/>
    <col min="14854" max="14854" width="11.42578125" style="575" bestFit="1" customWidth="1"/>
    <col min="14855" max="14855" width="11.28515625" style="575" customWidth="1"/>
    <col min="14856" max="14856" width="15.28515625" style="575" bestFit="1" customWidth="1"/>
    <col min="14857" max="14859" width="11.85546875" style="575" customWidth="1"/>
    <col min="14860" max="14860" width="19.140625" style="575" customWidth="1"/>
    <col min="14861" max="14861" width="15" style="575" customWidth="1"/>
    <col min="14862" max="14862" width="15.28515625" style="575" customWidth="1"/>
    <col min="14863" max="14865" width="18.85546875" style="575" customWidth="1"/>
    <col min="14866" max="14866" width="12.7109375" style="575" customWidth="1"/>
    <col min="14867" max="14867" width="13.7109375" style="575" customWidth="1"/>
    <col min="14868" max="14868" width="16.140625" style="575" customWidth="1"/>
    <col min="14869" max="14869" width="17" style="575" customWidth="1"/>
    <col min="14870" max="14870" width="15" style="575" customWidth="1"/>
    <col min="14871" max="14871" width="14.28515625" style="575" customWidth="1"/>
    <col min="14872" max="14872" width="14.85546875" style="575" customWidth="1"/>
    <col min="14873" max="14873" width="17.140625" style="575" customWidth="1"/>
    <col min="14874" max="14874" width="13.5703125" style="575" customWidth="1"/>
    <col min="14875" max="14876" width="14.85546875" style="575" customWidth="1"/>
    <col min="14877" max="14877" width="18.85546875" style="575" customWidth="1"/>
    <col min="14878" max="14878" width="19.42578125" style="575" customWidth="1"/>
    <col min="14879" max="14879" width="16.140625" style="575" customWidth="1"/>
    <col min="14880" max="14880" width="14.5703125" style="575" customWidth="1"/>
    <col min="14881" max="14881" width="20.28515625" style="575" customWidth="1"/>
    <col min="14882" max="14882" width="13.85546875" style="575" customWidth="1"/>
    <col min="14883" max="14883" width="19.140625" style="575" customWidth="1"/>
    <col min="14884" max="14884" width="19.7109375" style="575" customWidth="1"/>
    <col min="14885" max="14885" width="16.5703125" style="575" customWidth="1"/>
    <col min="14886" max="14886" width="19.140625" style="575" customWidth="1"/>
    <col min="14887" max="14889" width="16.5703125" style="575" customWidth="1"/>
    <col min="14890" max="14890" width="15.7109375" style="575" customWidth="1"/>
    <col min="14891" max="14891" width="19.42578125" style="575" customWidth="1"/>
    <col min="14892" max="14892" width="14.85546875" style="575" bestFit="1" customWidth="1"/>
    <col min="14893" max="14893" width="13.7109375" style="575" bestFit="1" customWidth="1"/>
    <col min="14894" max="14894" width="13" style="575" customWidth="1"/>
    <col min="14895" max="14895" width="18.42578125" style="575" customWidth="1"/>
    <col min="14896" max="14898" width="13.140625" style="575" customWidth="1"/>
    <col min="14899" max="14899" width="16.42578125" style="575" customWidth="1"/>
    <col min="14900" max="14900" width="13.140625" style="575" customWidth="1"/>
    <col min="14901" max="14901" width="15.28515625" style="575" customWidth="1"/>
    <col min="14902" max="14902" width="14" style="575" bestFit="1" customWidth="1"/>
    <col min="14903" max="14903" width="17.140625" style="575" customWidth="1"/>
    <col min="14904" max="14925" width="16.5703125" style="575" customWidth="1"/>
    <col min="14926" max="14926" width="20.140625" style="575" customWidth="1"/>
    <col min="14927" max="14927" width="13.28515625" style="575" customWidth="1"/>
    <col min="14928" max="14928" width="14.85546875" style="575" customWidth="1"/>
    <col min="14929" max="14929" width="13.85546875" style="575" customWidth="1"/>
    <col min="14930" max="14930" width="13.5703125" style="575" customWidth="1"/>
    <col min="14931" max="14931" width="13" style="575" customWidth="1"/>
    <col min="14932" max="14932" width="13.5703125" style="575" customWidth="1"/>
    <col min="14933" max="14933" width="7.7109375" style="575" bestFit="1" customWidth="1"/>
    <col min="14934" max="15103" width="9.140625" style="575"/>
    <col min="15104" max="15104" width="4.28515625" style="575" customWidth="1"/>
    <col min="15105" max="15105" width="10.140625" style="575" customWidth="1"/>
    <col min="15106" max="15106" width="8.85546875" style="575" customWidth="1"/>
    <col min="15107" max="15107" width="11.140625" style="575" customWidth="1"/>
    <col min="15108" max="15108" width="15" style="575" bestFit="1" customWidth="1"/>
    <col min="15109" max="15109" width="13.5703125" style="575" customWidth="1"/>
    <col min="15110" max="15110" width="11.42578125" style="575" bestFit="1" customWidth="1"/>
    <col min="15111" max="15111" width="11.28515625" style="575" customWidth="1"/>
    <col min="15112" max="15112" width="15.28515625" style="575" bestFit="1" customWidth="1"/>
    <col min="15113" max="15115" width="11.85546875" style="575" customWidth="1"/>
    <col min="15116" max="15116" width="19.140625" style="575" customWidth="1"/>
    <col min="15117" max="15117" width="15" style="575" customWidth="1"/>
    <col min="15118" max="15118" width="15.28515625" style="575" customWidth="1"/>
    <col min="15119" max="15121" width="18.85546875" style="575" customWidth="1"/>
    <col min="15122" max="15122" width="12.7109375" style="575" customWidth="1"/>
    <col min="15123" max="15123" width="13.7109375" style="575" customWidth="1"/>
    <col min="15124" max="15124" width="16.140625" style="575" customWidth="1"/>
    <col min="15125" max="15125" width="17" style="575" customWidth="1"/>
    <col min="15126" max="15126" width="15" style="575" customWidth="1"/>
    <col min="15127" max="15127" width="14.28515625" style="575" customWidth="1"/>
    <col min="15128" max="15128" width="14.85546875" style="575" customWidth="1"/>
    <col min="15129" max="15129" width="17.140625" style="575" customWidth="1"/>
    <col min="15130" max="15130" width="13.5703125" style="575" customWidth="1"/>
    <col min="15131" max="15132" width="14.85546875" style="575" customWidth="1"/>
    <col min="15133" max="15133" width="18.85546875" style="575" customWidth="1"/>
    <col min="15134" max="15134" width="19.42578125" style="575" customWidth="1"/>
    <col min="15135" max="15135" width="16.140625" style="575" customWidth="1"/>
    <col min="15136" max="15136" width="14.5703125" style="575" customWidth="1"/>
    <col min="15137" max="15137" width="20.28515625" style="575" customWidth="1"/>
    <col min="15138" max="15138" width="13.85546875" style="575" customWidth="1"/>
    <col min="15139" max="15139" width="19.140625" style="575" customWidth="1"/>
    <col min="15140" max="15140" width="19.7109375" style="575" customWidth="1"/>
    <col min="15141" max="15141" width="16.5703125" style="575" customWidth="1"/>
    <col min="15142" max="15142" width="19.140625" style="575" customWidth="1"/>
    <col min="15143" max="15145" width="16.5703125" style="575" customWidth="1"/>
    <col min="15146" max="15146" width="15.7109375" style="575" customWidth="1"/>
    <col min="15147" max="15147" width="19.42578125" style="575" customWidth="1"/>
    <col min="15148" max="15148" width="14.85546875" style="575" bestFit="1" customWidth="1"/>
    <col min="15149" max="15149" width="13.7109375" style="575" bestFit="1" customWidth="1"/>
    <col min="15150" max="15150" width="13" style="575" customWidth="1"/>
    <col min="15151" max="15151" width="18.42578125" style="575" customWidth="1"/>
    <col min="15152" max="15154" width="13.140625" style="575" customWidth="1"/>
    <col min="15155" max="15155" width="16.42578125" style="575" customWidth="1"/>
    <col min="15156" max="15156" width="13.140625" style="575" customWidth="1"/>
    <col min="15157" max="15157" width="15.28515625" style="575" customWidth="1"/>
    <col min="15158" max="15158" width="14" style="575" bestFit="1" customWidth="1"/>
    <col min="15159" max="15159" width="17.140625" style="575" customWidth="1"/>
    <col min="15160" max="15181" width="16.5703125" style="575" customWidth="1"/>
    <col min="15182" max="15182" width="20.140625" style="575" customWidth="1"/>
    <col min="15183" max="15183" width="13.28515625" style="575" customWidth="1"/>
    <col min="15184" max="15184" width="14.85546875" style="575" customWidth="1"/>
    <col min="15185" max="15185" width="13.85546875" style="575" customWidth="1"/>
    <col min="15186" max="15186" width="13.5703125" style="575" customWidth="1"/>
    <col min="15187" max="15187" width="13" style="575" customWidth="1"/>
    <col min="15188" max="15188" width="13.5703125" style="575" customWidth="1"/>
    <col min="15189" max="15189" width="7.7109375" style="575" bestFit="1" customWidth="1"/>
    <col min="15190" max="15359" width="9.140625" style="575"/>
    <col min="15360" max="15360" width="4.28515625" style="575" customWidth="1"/>
    <col min="15361" max="15361" width="10.140625" style="575" customWidth="1"/>
    <col min="15362" max="15362" width="8.85546875" style="575" customWidth="1"/>
    <col min="15363" max="15363" width="11.140625" style="575" customWidth="1"/>
    <col min="15364" max="15364" width="15" style="575" bestFit="1" customWidth="1"/>
    <col min="15365" max="15365" width="13.5703125" style="575" customWidth="1"/>
    <col min="15366" max="15366" width="11.42578125" style="575" bestFit="1" customWidth="1"/>
    <col min="15367" max="15367" width="11.28515625" style="575" customWidth="1"/>
    <col min="15368" max="15368" width="15.28515625" style="575" bestFit="1" customWidth="1"/>
    <col min="15369" max="15371" width="11.85546875" style="575" customWidth="1"/>
    <col min="15372" max="15372" width="19.140625" style="575" customWidth="1"/>
    <col min="15373" max="15373" width="15" style="575" customWidth="1"/>
    <col min="15374" max="15374" width="15.28515625" style="575" customWidth="1"/>
    <col min="15375" max="15377" width="18.85546875" style="575" customWidth="1"/>
    <col min="15378" max="15378" width="12.7109375" style="575" customWidth="1"/>
    <col min="15379" max="15379" width="13.7109375" style="575" customWidth="1"/>
    <col min="15380" max="15380" width="16.140625" style="575" customWidth="1"/>
    <col min="15381" max="15381" width="17" style="575" customWidth="1"/>
    <col min="15382" max="15382" width="15" style="575" customWidth="1"/>
    <col min="15383" max="15383" width="14.28515625" style="575" customWidth="1"/>
    <col min="15384" max="15384" width="14.85546875" style="575" customWidth="1"/>
    <col min="15385" max="15385" width="17.140625" style="575" customWidth="1"/>
    <col min="15386" max="15386" width="13.5703125" style="575" customWidth="1"/>
    <col min="15387" max="15388" width="14.85546875" style="575" customWidth="1"/>
    <col min="15389" max="15389" width="18.85546875" style="575" customWidth="1"/>
    <col min="15390" max="15390" width="19.42578125" style="575" customWidth="1"/>
    <col min="15391" max="15391" width="16.140625" style="575" customWidth="1"/>
    <col min="15392" max="15392" width="14.5703125" style="575" customWidth="1"/>
    <col min="15393" max="15393" width="20.28515625" style="575" customWidth="1"/>
    <col min="15394" max="15394" width="13.85546875" style="575" customWidth="1"/>
    <col min="15395" max="15395" width="19.140625" style="575" customWidth="1"/>
    <col min="15396" max="15396" width="19.7109375" style="575" customWidth="1"/>
    <col min="15397" max="15397" width="16.5703125" style="575" customWidth="1"/>
    <col min="15398" max="15398" width="19.140625" style="575" customWidth="1"/>
    <col min="15399" max="15401" width="16.5703125" style="575" customWidth="1"/>
    <col min="15402" max="15402" width="15.7109375" style="575" customWidth="1"/>
    <col min="15403" max="15403" width="19.42578125" style="575" customWidth="1"/>
    <col min="15404" max="15404" width="14.85546875" style="575" bestFit="1" customWidth="1"/>
    <col min="15405" max="15405" width="13.7109375" style="575" bestFit="1" customWidth="1"/>
    <col min="15406" max="15406" width="13" style="575" customWidth="1"/>
    <col min="15407" max="15407" width="18.42578125" style="575" customWidth="1"/>
    <col min="15408" max="15410" width="13.140625" style="575" customWidth="1"/>
    <col min="15411" max="15411" width="16.42578125" style="575" customWidth="1"/>
    <col min="15412" max="15412" width="13.140625" style="575" customWidth="1"/>
    <col min="15413" max="15413" width="15.28515625" style="575" customWidth="1"/>
    <col min="15414" max="15414" width="14" style="575" bestFit="1" customWidth="1"/>
    <col min="15415" max="15415" width="17.140625" style="575" customWidth="1"/>
    <col min="15416" max="15437" width="16.5703125" style="575" customWidth="1"/>
    <col min="15438" max="15438" width="20.140625" style="575" customWidth="1"/>
    <col min="15439" max="15439" width="13.28515625" style="575" customWidth="1"/>
    <col min="15440" max="15440" width="14.85546875" style="575" customWidth="1"/>
    <col min="15441" max="15441" width="13.85546875" style="575" customWidth="1"/>
    <col min="15442" max="15442" width="13.5703125" style="575" customWidth="1"/>
    <col min="15443" max="15443" width="13" style="575" customWidth="1"/>
    <col min="15444" max="15444" width="13.5703125" style="575" customWidth="1"/>
    <col min="15445" max="15445" width="7.7109375" style="575" bestFit="1" customWidth="1"/>
    <col min="15446" max="15615" width="9.140625" style="575"/>
    <col min="15616" max="15616" width="4.28515625" style="575" customWidth="1"/>
    <col min="15617" max="15617" width="10.140625" style="575" customWidth="1"/>
    <col min="15618" max="15618" width="8.85546875" style="575" customWidth="1"/>
    <col min="15619" max="15619" width="11.140625" style="575" customWidth="1"/>
    <col min="15620" max="15620" width="15" style="575" bestFit="1" customWidth="1"/>
    <col min="15621" max="15621" width="13.5703125" style="575" customWidth="1"/>
    <col min="15622" max="15622" width="11.42578125" style="575" bestFit="1" customWidth="1"/>
    <col min="15623" max="15623" width="11.28515625" style="575" customWidth="1"/>
    <col min="15624" max="15624" width="15.28515625" style="575" bestFit="1" customWidth="1"/>
    <col min="15625" max="15627" width="11.85546875" style="575" customWidth="1"/>
    <col min="15628" max="15628" width="19.140625" style="575" customWidth="1"/>
    <col min="15629" max="15629" width="15" style="575" customWidth="1"/>
    <col min="15630" max="15630" width="15.28515625" style="575" customWidth="1"/>
    <col min="15631" max="15633" width="18.85546875" style="575" customWidth="1"/>
    <col min="15634" max="15634" width="12.7109375" style="575" customWidth="1"/>
    <col min="15635" max="15635" width="13.7109375" style="575" customWidth="1"/>
    <col min="15636" max="15636" width="16.140625" style="575" customWidth="1"/>
    <col min="15637" max="15637" width="17" style="575" customWidth="1"/>
    <col min="15638" max="15638" width="15" style="575" customWidth="1"/>
    <col min="15639" max="15639" width="14.28515625" style="575" customWidth="1"/>
    <col min="15640" max="15640" width="14.85546875" style="575" customWidth="1"/>
    <col min="15641" max="15641" width="17.140625" style="575" customWidth="1"/>
    <col min="15642" max="15642" width="13.5703125" style="575" customWidth="1"/>
    <col min="15643" max="15644" width="14.85546875" style="575" customWidth="1"/>
    <col min="15645" max="15645" width="18.85546875" style="575" customWidth="1"/>
    <col min="15646" max="15646" width="19.42578125" style="575" customWidth="1"/>
    <col min="15647" max="15647" width="16.140625" style="575" customWidth="1"/>
    <col min="15648" max="15648" width="14.5703125" style="575" customWidth="1"/>
    <col min="15649" max="15649" width="20.28515625" style="575" customWidth="1"/>
    <col min="15650" max="15650" width="13.85546875" style="575" customWidth="1"/>
    <col min="15651" max="15651" width="19.140625" style="575" customWidth="1"/>
    <col min="15652" max="15652" width="19.7109375" style="575" customWidth="1"/>
    <col min="15653" max="15653" width="16.5703125" style="575" customWidth="1"/>
    <col min="15654" max="15654" width="19.140625" style="575" customWidth="1"/>
    <col min="15655" max="15657" width="16.5703125" style="575" customWidth="1"/>
    <col min="15658" max="15658" width="15.7109375" style="575" customWidth="1"/>
    <col min="15659" max="15659" width="19.42578125" style="575" customWidth="1"/>
    <col min="15660" max="15660" width="14.85546875" style="575" bestFit="1" customWidth="1"/>
    <col min="15661" max="15661" width="13.7109375" style="575" bestFit="1" customWidth="1"/>
    <col min="15662" max="15662" width="13" style="575" customWidth="1"/>
    <col min="15663" max="15663" width="18.42578125" style="575" customWidth="1"/>
    <col min="15664" max="15666" width="13.140625" style="575" customWidth="1"/>
    <col min="15667" max="15667" width="16.42578125" style="575" customWidth="1"/>
    <col min="15668" max="15668" width="13.140625" style="575" customWidth="1"/>
    <col min="15669" max="15669" width="15.28515625" style="575" customWidth="1"/>
    <col min="15670" max="15670" width="14" style="575" bestFit="1" customWidth="1"/>
    <col min="15671" max="15671" width="17.140625" style="575" customWidth="1"/>
    <col min="15672" max="15693" width="16.5703125" style="575" customWidth="1"/>
    <col min="15694" max="15694" width="20.140625" style="575" customWidth="1"/>
    <col min="15695" max="15695" width="13.28515625" style="575" customWidth="1"/>
    <col min="15696" max="15696" width="14.85546875" style="575" customWidth="1"/>
    <col min="15697" max="15697" width="13.85546875" style="575" customWidth="1"/>
    <col min="15698" max="15698" width="13.5703125" style="575" customWidth="1"/>
    <col min="15699" max="15699" width="13" style="575" customWidth="1"/>
    <col min="15700" max="15700" width="13.5703125" style="575" customWidth="1"/>
    <col min="15701" max="15701" width="7.7109375" style="575" bestFit="1" customWidth="1"/>
    <col min="15702" max="15871" width="9.140625" style="575"/>
    <col min="15872" max="15872" width="4.28515625" style="575" customWidth="1"/>
    <col min="15873" max="15873" width="10.140625" style="575" customWidth="1"/>
    <col min="15874" max="15874" width="8.85546875" style="575" customWidth="1"/>
    <col min="15875" max="15875" width="11.140625" style="575" customWidth="1"/>
    <col min="15876" max="15876" width="15" style="575" bestFit="1" customWidth="1"/>
    <col min="15877" max="15877" width="13.5703125" style="575" customWidth="1"/>
    <col min="15878" max="15878" width="11.42578125" style="575" bestFit="1" customWidth="1"/>
    <col min="15879" max="15879" width="11.28515625" style="575" customWidth="1"/>
    <col min="15880" max="15880" width="15.28515625" style="575" bestFit="1" customWidth="1"/>
    <col min="15881" max="15883" width="11.85546875" style="575" customWidth="1"/>
    <col min="15884" max="15884" width="19.140625" style="575" customWidth="1"/>
    <col min="15885" max="15885" width="15" style="575" customWidth="1"/>
    <col min="15886" max="15886" width="15.28515625" style="575" customWidth="1"/>
    <col min="15887" max="15889" width="18.85546875" style="575" customWidth="1"/>
    <col min="15890" max="15890" width="12.7109375" style="575" customWidth="1"/>
    <col min="15891" max="15891" width="13.7109375" style="575" customWidth="1"/>
    <col min="15892" max="15892" width="16.140625" style="575" customWidth="1"/>
    <col min="15893" max="15893" width="17" style="575" customWidth="1"/>
    <col min="15894" max="15894" width="15" style="575" customWidth="1"/>
    <col min="15895" max="15895" width="14.28515625" style="575" customWidth="1"/>
    <col min="15896" max="15896" width="14.85546875" style="575" customWidth="1"/>
    <col min="15897" max="15897" width="17.140625" style="575" customWidth="1"/>
    <col min="15898" max="15898" width="13.5703125" style="575" customWidth="1"/>
    <col min="15899" max="15900" width="14.85546875" style="575" customWidth="1"/>
    <col min="15901" max="15901" width="18.85546875" style="575" customWidth="1"/>
    <col min="15902" max="15902" width="19.42578125" style="575" customWidth="1"/>
    <col min="15903" max="15903" width="16.140625" style="575" customWidth="1"/>
    <col min="15904" max="15904" width="14.5703125" style="575" customWidth="1"/>
    <col min="15905" max="15905" width="20.28515625" style="575" customWidth="1"/>
    <col min="15906" max="15906" width="13.85546875" style="575" customWidth="1"/>
    <col min="15907" max="15907" width="19.140625" style="575" customWidth="1"/>
    <col min="15908" max="15908" width="19.7109375" style="575" customWidth="1"/>
    <col min="15909" max="15909" width="16.5703125" style="575" customWidth="1"/>
    <col min="15910" max="15910" width="19.140625" style="575" customWidth="1"/>
    <col min="15911" max="15913" width="16.5703125" style="575" customWidth="1"/>
    <col min="15914" max="15914" width="15.7109375" style="575" customWidth="1"/>
    <col min="15915" max="15915" width="19.42578125" style="575" customWidth="1"/>
    <col min="15916" max="15916" width="14.85546875" style="575" bestFit="1" customWidth="1"/>
    <col min="15917" max="15917" width="13.7109375" style="575" bestFit="1" customWidth="1"/>
    <col min="15918" max="15918" width="13" style="575" customWidth="1"/>
    <col min="15919" max="15919" width="18.42578125" style="575" customWidth="1"/>
    <col min="15920" max="15922" width="13.140625" style="575" customWidth="1"/>
    <col min="15923" max="15923" width="16.42578125" style="575" customWidth="1"/>
    <col min="15924" max="15924" width="13.140625" style="575" customWidth="1"/>
    <col min="15925" max="15925" width="15.28515625" style="575" customWidth="1"/>
    <col min="15926" max="15926" width="14" style="575" bestFit="1" customWidth="1"/>
    <col min="15927" max="15927" width="17.140625" style="575" customWidth="1"/>
    <col min="15928" max="15949" width="16.5703125" style="575" customWidth="1"/>
    <col min="15950" max="15950" width="20.140625" style="575" customWidth="1"/>
    <col min="15951" max="15951" width="13.28515625" style="575" customWidth="1"/>
    <col min="15952" max="15952" width="14.85546875" style="575" customWidth="1"/>
    <col min="15953" max="15953" width="13.85546875" style="575" customWidth="1"/>
    <col min="15954" max="15954" width="13.5703125" style="575" customWidth="1"/>
    <col min="15955" max="15955" width="13" style="575" customWidth="1"/>
    <col min="15956" max="15956" width="13.5703125" style="575" customWidth="1"/>
    <col min="15957" max="15957" width="7.7109375" style="575" bestFit="1" customWidth="1"/>
    <col min="15958" max="16127" width="9.140625" style="575"/>
    <col min="16128" max="16128" width="4.28515625" style="575" customWidth="1"/>
    <col min="16129" max="16129" width="10.140625" style="575" customWidth="1"/>
    <col min="16130" max="16130" width="8.85546875" style="575" customWidth="1"/>
    <col min="16131" max="16131" width="11.140625" style="575" customWidth="1"/>
    <col min="16132" max="16132" width="15" style="575" bestFit="1" customWidth="1"/>
    <col min="16133" max="16133" width="13.5703125" style="575" customWidth="1"/>
    <col min="16134" max="16134" width="11.42578125" style="575" bestFit="1" customWidth="1"/>
    <col min="16135" max="16135" width="11.28515625" style="575" customWidth="1"/>
    <col min="16136" max="16136" width="15.28515625" style="575" bestFit="1" customWidth="1"/>
    <col min="16137" max="16139" width="11.85546875" style="575" customWidth="1"/>
    <col min="16140" max="16140" width="19.140625" style="575" customWidth="1"/>
    <col min="16141" max="16141" width="15" style="575" customWidth="1"/>
    <col min="16142" max="16142" width="15.28515625" style="575" customWidth="1"/>
    <col min="16143" max="16145" width="18.85546875" style="575" customWidth="1"/>
    <col min="16146" max="16146" width="12.7109375" style="575" customWidth="1"/>
    <col min="16147" max="16147" width="13.7109375" style="575" customWidth="1"/>
    <col min="16148" max="16148" width="16.140625" style="575" customWidth="1"/>
    <col min="16149" max="16149" width="17" style="575" customWidth="1"/>
    <col min="16150" max="16150" width="15" style="575" customWidth="1"/>
    <col min="16151" max="16151" width="14.28515625" style="575" customWidth="1"/>
    <col min="16152" max="16152" width="14.85546875" style="575" customWidth="1"/>
    <col min="16153" max="16153" width="17.140625" style="575" customWidth="1"/>
    <col min="16154" max="16154" width="13.5703125" style="575" customWidth="1"/>
    <col min="16155" max="16156" width="14.85546875" style="575" customWidth="1"/>
    <col min="16157" max="16157" width="18.85546875" style="575" customWidth="1"/>
    <col min="16158" max="16158" width="19.42578125" style="575" customWidth="1"/>
    <col min="16159" max="16159" width="16.140625" style="575" customWidth="1"/>
    <col min="16160" max="16160" width="14.5703125" style="575" customWidth="1"/>
    <col min="16161" max="16161" width="20.28515625" style="575" customWidth="1"/>
    <col min="16162" max="16162" width="13.85546875" style="575" customWidth="1"/>
    <col min="16163" max="16163" width="19.140625" style="575" customWidth="1"/>
    <col min="16164" max="16164" width="19.7109375" style="575" customWidth="1"/>
    <col min="16165" max="16165" width="16.5703125" style="575" customWidth="1"/>
    <col min="16166" max="16166" width="19.140625" style="575" customWidth="1"/>
    <col min="16167" max="16169" width="16.5703125" style="575" customWidth="1"/>
    <col min="16170" max="16170" width="15.7109375" style="575" customWidth="1"/>
    <col min="16171" max="16171" width="19.42578125" style="575" customWidth="1"/>
    <col min="16172" max="16172" width="14.85546875" style="575" bestFit="1" customWidth="1"/>
    <col min="16173" max="16173" width="13.7109375" style="575" bestFit="1" customWidth="1"/>
    <col min="16174" max="16174" width="13" style="575" customWidth="1"/>
    <col min="16175" max="16175" width="18.42578125" style="575" customWidth="1"/>
    <col min="16176" max="16178" width="13.140625" style="575" customWidth="1"/>
    <col min="16179" max="16179" width="16.42578125" style="575" customWidth="1"/>
    <col min="16180" max="16180" width="13.140625" style="575" customWidth="1"/>
    <col min="16181" max="16181" width="15.28515625" style="575" customWidth="1"/>
    <col min="16182" max="16182" width="14" style="575" bestFit="1" customWidth="1"/>
    <col min="16183" max="16183" width="17.140625" style="575" customWidth="1"/>
    <col min="16184" max="16205" width="16.5703125" style="575" customWidth="1"/>
    <col min="16206" max="16206" width="20.140625" style="575" customWidth="1"/>
    <col min="16207" max="16207" width="13.28515625" style="575" customWidth="1"/>
    <col min="16208" max="16208" width="14.85546875" style="575" customWidth="1"/>
    <col min="16209" max="16209" width="13.85546875" style="575" customWidth="1"/>
    <col min="16210" max="16210" width="13.5703125" style="575" customWidth="1"/>
    <col min="16211" max="16211" width="13" style="575" customWidth="1"/>
    <col min="16212" max="16212" width="13.5703125" style="575" customWidth="1"/>
    <col min="16213" max="16213" width="7.7109375" style="575" bestFit="1" customWidth="1"/>
    <col min="16214" max="16384" width="9.140625" style="575"/>
  </cols>
  <sheetData>
    <row r="1" spans="2:83" s="556" customFormat="1" ht="29.25" customHeight="1">
      <c r="B1" s="686" t="s">
        <v>369</v>
      </c>
      <c r="P1" s="557"/>
      <c r="AQ1" s="558"/>
      <c r="AR1" s="558"/>
      <c r="AS1" s="559"/>
      <c r="AT1" s="558"/>
      <c r="AU1" s="558"/>
      <c r="AV1" s="558"/>
      <c r="AW1" s="558"/>
      <c r="AX1" s="558"/>
      <c r="AY1" s="558"/>
      <c r="AZ1" s="558"/>
      <c r="BA1" s="558"/>
      <c r="BB1" s="558"/>
      <c r="BC1" s="560"/>
      <c r="BJ1" s="561"/>
      <c r="BK1" s="562"/>
    </row>
    <row r="2" spans="2:83" s="556" customFormat="1" ht="15.75" customHeight="1">
      <c r="B2" s="563"/>
      <c r="C2" s="564"/>
      <c r="D2" s="563"/>
      <c r="E2" s="563"/>
      <c r="F2" s="563"/>
      <c r="G2" s="563"/>
      <c r="H2" s="563"/>
      <c r="I2" s="563"/>
      <c r="J2" s="563"/>
      <c r="K2" s="565"/>
      <c r="L2" s="566"/>
      <c r="M2" s="567"/>
      <c r="AQ2" s="558"/>
      <c r="AR2" s="558"/>
      <c r="AS2" s="559"/>
      <c r="AT2" s="558"/>
      <c r="AU2" s="558"/>
      <c r="AV2" s="558"/>
      <c r="AW2" s="558"/>
      <c r="AX2" s="558"/>
      <c r="AY2" s="558"/>
      <c r="AZ2" s="558"/>
      <c r="BA2" s="558"/>
      <c r="BB2" s="558"/>
      <c r="BC2" s="568"/>
      <c r="BJ2" s="569"/>
      <c r="BK2" s="570"/>
    </row>
    <row r="3" spans="2:83" ht="15.75" customHeight="1">
      <c r="B3" s="571"/>
      <c r="C3" s="571"/>
      <c r="D3" s="571"/>
      <c r="E3" s="571"/>
      <c r="F3" s="571"/>
      <c r="G3" s="571"/>
      <c r="H3" s="571"/>
      <c r="I3" s="571"/>
      <c r="J3" s="571"/>
      <c r="K3" s="572"/>
      <c r="L3" s="573"/>
      <c r="M3" s="574"/>
      <c r="AP3" s="575"/>
      <c r="BC3" s="578"/>
      <c r="BJ3" s="579"/>
      <c r="BK3" s="580"/>
    </row>
    <row r="4" spans="2:83" s="693" customFormat="1" ht="18" customHeight="1">
      <c r="B4" s="1574" t="s">
        <v>84</v>
      </c>
      <c r="C4" s="1574"/>
      <c r="D4" s="1574"/>
      <c r="E4" s="1574"/>
      <c r="F4" s="1574"/>
      <c r="G4" s="1574"/>
      <c r="H4" s="1574" t="s">
        <v>85</v>
      </c>
      <c r="I4" s="1574"/>
      <c r="J4" s="1574"/>
      <c r="K4" s="1574"/>
      <c r="L4" s="1574"/>
      <c r="M4" s="1574"/>
      <c r="N4" s="1574"/>
      <c r="O4" s="1574"/>
      <c r="P4" s="1574"/>
      <c r="Q4" s="1574"/>
      <c r="R4" s="1574"/>
      <c r="S4" s="1574"/>
      <c r="T4" s="1574"/>
      <c r="U4" s="1574"/>
      <c r="V4" s="1574"/>
      <c r="W4" s="1574"/>
      <c r="X4" s="1574"/>
      <c r="Y4" s="1574"/>
      <c r="Z4" s="1574"/>
      <c r="AA4" s="1574"/>
      <c r="AB4" s="1574"/>
      <c r="AC4" s="1574"/>
      <c r="AD4" s="1574"/>
      <c r="AE4" s="1574"/>
      <c r="AF4" s="1574"/>
      <c r="AG4" s="1574"/>
      <c r="AH4" s="1574"/>
      <c r="AI4" s="1574"/>
      <c r="AJ4" s="1574"/>
      <c r="AK4" s="1574"/>
      <c r="AL4" s="687"/>
      <c r="AM4" s="687"/>
      <c r="AN4" s="687"/>
      <c r="AO4" s="687"/>
      <c r="AP4" s="687"/>
      <c r="AQ4" s="688"/>
      <c r="AR4" s="688"/>
      <c r="AS4" s="688"/>
      <c r="AT4" s="688"/>
      <c r="AU4" s="688"/>
      <c r="AV4" s="688"/>
      <c r="AW4" s="688"/>
      <c r="AX4" s="688"/>
      <c r="AY4" s="688"/>
      <c r="AZ4" s="688"/>
      <c r="BA4" s="688"/>
      <c r="BB4" s="688"/>
      <c r="BC4" s="689"/>
      <c r="BD4" s="687"/>
      <c r="BE4" s="687"/>
      <c r="BF4" s="687"/>
      <c r="BG4" s="687"/>
      <c r="BH4" s="687"/>
      <c r="BI4" s="687"/>
      <c r="BJ4" s="690"/>
      <c r="BK4" s="691"/>
      <c r="BL4" s="687"/>
      <c r="BM4" s="687"/>
      <c r="BN4" s="687"/>
      <c r="BO4" s="687"/>
      <c r="BP4" s="687"/>
      <c r="BQ4" s="687"/>
      <c r="BR4" s="687"/>
      <c r="BS4" s="687"/>
      <c r="BT4" s="687"/>
      <c r="BU4" s="687"/>
      <c r="BV4" s="687"/>
      <c r="BW4" s="687"/>
      <c r="BX4" s="687"/>
      <c r="BY4" s="687"/>
      <c r="BZ4" s="692"/>
      <c r="CA4" s="692"/>
      <c r="CB4" s="692"/>
      <c r="CC4" s="692"/>
      <c r="CD4" s="692"/>
      <c r="CE4" s="692"/>
    </row>
    <row r="5" spans="2:83" ht="15.75" customHeight="1">
      <c r="B5" s="1438" t="s">
        <v>86</v>
      </c>
      <c r="C5" s="1438"/>
      <c r="D5" s="1438"/>
      <c r="E5" s="1438"/>
      <c r="F5" s="1438"/>
      <c r="G5" s="1438"/>
      <c r="H5" s="1575" t="s">
        <v>88</v>
      </c>
      <c r="I5" s="1575"/>
      <c r="J5" s="1575"/>
      <c r="K5" s="1575" t="s">
        <v>89</v>
      </c>
      <c r="L5" s="1575"/>
      <c r="M5" s="1575"/>
      <c r="N5" s="1575" t="s">
        <v>90</v>
      </c>
      <c r="O5" s="1575"/>
      <c r="P5" s="1575"/>
      <c r="Q5" s="1575" t="s">
        <v>91</v>
      </c>
      <c r="R5" s="1575"/>
      <c r="S5" s="1575"/>
      <c r="T5" s="1575"/>
      <c r="U5" s="1575"/>
      <c r="V5" s="1575" t="s">
        <v>92</v>
      </c>
      <c r="W5" s="1575"/>
      <c r="X5" s="1575"/>
      <c r="Y5" s="1575"/>
      <c r="Z5" s="1575"/>
      <c r="AA5" s="1575"/>
      <c r="AB5" s="1575" t="s">
        <v>93</v>
      </c>
      <c r="AC5" s="1575"/>
      <c r="AD5" s="1575"/>
      <c r="AE5" s="1575"/>
      <c r="AF5" s="1575"/>
      <c r="AG5" s="1575"/>
      <c r="AH5" s="1575"/>
      <c r="AI5" s="1575"/>
      <c r="AJ5" s="1575"/>
      <c r="AK5" s="1575"/>
      <c r="AL5" s="595"/>
      <c r="AM5" s="595"/>
      <c r="AN5" s="595"/>
      <c r="AO5" s="595"/>
      <c r="AP5" s="595"/>
      <c r="AQ5" s="577"/>
      <c r="AR5" s="577"/>
      <c r="AT5" s="577"/>
      <c r="AU5" s="577"/>
      <c r="AV5" s="577"/>
      <c r="AW5" s="577"/>
      <c r="AX5" s="577"/>
      <c r="AY5" s="577"/>
      <c r="AZ5" s="577"/>
      <c r="BA5" s="577"/>
      <c r="BB5" s="577"/>
      <c r="BC5" s="685"/>
      <c r="BD5" s="595"/>
      <c r="BE5" s="595"/>
      <c r="BF5" s="595"/>
      <c r="BG5" s="595"/>
      <c r="BH5" s="595"/>
      <c r="BI5" s="595"/>
      <c r="BJ5" s="694"/>
      <c r="BK5" s="695"/>
      <c r="BL5" s="595"/>
      <c r="BM5" s="595"/>
      <c r="BN5" s="595"/>
      <c r="BO5" s="595"/>
      <c r="BP5" s="595"/>
      <c r="BQ5" s="595"/>
      <c r="BR5" s="595"/>
      <c r="BS5" s="595"/>
      <c r="BT5" s="595"/>
      <c r="BU5" s="595"/>
      <c r="BV5" s="595"/>
      <c r="BW5" s="595"/>
      <c r="BX5" s="595"/>
      <c r="BY5" s="595"/>
      <c r="BZ5" s="696"/>
      <c r="CA5" s="696"/>
      <c r="CB5" s="696"/>
      <c r="CC5" s="696"/>
      <c r="CD5" s="696"/>
      <c r="CE5" s="696"/>
    </row>
    <row r="6" spans="2:83" ht="15.75" customHeight="1">
      <c r="B6" s="1296" t="s">
        <v>94</v>
      </c>
      <c r="C6" s="1296"/>
      <c r="D6" s="1296"/>
      <c r="E6" s="1296"/>
      <c r="F6" s="1296"/>
      <c r="G6" s="1296"/>
      <c r="H6" s="1440" t="s">
        <v>95</v>
      </c>
      <c r="I6" s="1440"/>
      <c r="J6" s="1576">
        <f>'①Tidak termasuk VAT TAX'!J6</f>
        <v>11326497.897637034</v>
      </c>
      <c r="K6" s="1438" t="s">
        <v>96</v>
      </c>
      <c r="L6" s="1438"/>
      <c r="M6" s="1577">
        <f>'①Tidak termasuk VAT TAX'!M6</f>
        <v>309200000</v>
      </c>
      <c r="N6" s="1440" t="s">
        <v>97</v>
      </c>
      <c r="O6" s="1440"/>
      <c r="P6" s="1578">
        <f>'①Tidak termasuk VAT TAX'!P6</f>
        <v>0</v>
      </c>
      <c r="Q6" s="1444" t="s">
        <v>98</v>
      </c>
      <c r="R6" s="1444"/>
      <c r="S6" s="1444"/>
      <c r="T6" s="1579" t="s">
        <v>99</v>
      </c>
      <c r="U6" s="1579" t="s">
        <v>100</v>
      </c>
      <c r="V6" s="1444" t="s">
        <v>98</v>
      </c>
      <c r="W6" s="1444"/>
      <c r="X6" s="1444"/>
      <c r="Y6" s="1579" t="s">
        <v>99</v>
      </c>
      <c r="Z6" s="1444" t="s">
        <v>100</v>
      </c>
      <c r="AA6" s="1444"/>
      <c r="AB6" s="1444" t="s">
        <v>101</v>
      </c>
      <c r="AC6" s="1444"/>
      <c r="AD6" s="1444"/>
      <c r="AE6" s="1579" t="s">
        <v>102</v>
      </c>
      <c r="AF6" s="1579" t="s">
        <v>103</v>
      </c>
      <c r="AG6" s="1444" t="s">
        <v>104</v>
      </c>
      <c r="AH6" s="1444"/>
      <c r="AI6" s="1444"/>
      <c r="AJ6" s="1444"/>
      <c r="AK6" s="1579" t="s">
        <v>103</v>
      </c>
      <c r="AL6" s="595"/>
      <c r="AM6" s="595"/>
      <c r="AN6" s="595"/>
      <c r="AO6" s="595"/>
      <c r="AP6" s="595"/>
      <c r="AQ6" s="577"/>
      <c r="AR6" s="577"/>
      <c r="AT6" s="577"/>
      <c r="AU6" s="577"/>
      <c r="AV6" s="577"/>
      <c r="AW6" s="577"/>
      <c r="AX6" s="577"/>
      <c r="AY6" s="577"/>
      <c r="AZ6" s="577"/>
      <c r="BA6" s="577"/>
      <c r="BB6" s="577"/>
      <c r="BC6" s="685"/>
      <c r="BD6" s="595"/>
      <c r="BE6" s="595"/>
      <c r="BF6" s="595"/>
      <c r="BG6" s="595"/>
      <c r="BH6" s="595"/>
      <c r="BI6" s="595"/>
      <c r="BJ6" s="694"/>
      <c r="BK6" s="695"/>
      <c r="BL6" s="595"/>
      <c r="BM6" s="595"/>
      <c r="BN6" s="595"/>
      <c r="BO6" s="595"/>
      <c r="BP6" s="595"/>
      <c r="BQ6" s="595"/>
      <c r="BR6" s="595"/>
      <c r="BS6" s="595"/>
      <c r="BT6" s="595"/>
      <c r="BU6" s="595"/>
      <c r="BV6" s="595"/>
      <c r="BW6" s="595"/>
      <c r="BX6" s="595"/>
      <c r="BY6" s="595"/>
    </row>
    <row r="7" spans="2:83" ht="15.75" customHeight="1">
      <c r="B7" s="1580" t="s">
        <v>105</v>
      </c>
      <c r="C7" s="1581"/>
      <c r="D7" s="1582"/>
      <c r="E7" s="1510">
        <v>1</v>
      </c>
      <c r="F7" s="1583">
        <v>1</v>
      </c>
      <c r="G7" s="1584">
        <v>2018</v>
      </c>
      <c r="H7" s="1440" t="s">
        <v>106</v>
      </c>
      <c r="I7" s="1440"/>
      <c r="J7" s="1576">
        <f>'①Tidak termasuk VAT TAX'!J7</f>
        <v>24</v>
      </c>
      <c r="K7" s="1438" t="s">
        <v>107</v>
      </c>
      <c r="L7" s="1438"/>
      <c r="M7" s="1577">
        <f>'①Tidak termasuk VAT TAX'!M7</f>
        <v>0</v>
      </c>
      <c r="N7" s="1440" t="s">
        <v>108</v>
      </c>
      <c r="O7" s="1440"/>
      <c r="P7" s="1578">
        <f>'①Tidak termasuk VAT TAX'!P7</f>
        <v>0</v>
      </c>
      <c r="Q7" s="1440" t="s">
        <v>109</v>
      </c>
      <c r="R7" s="1440"/>
      <c r="S7" s="1440"/>
      <c r="T7" s="1585">
        <f>'①Tidak termasuk VAT TAX'!T7</f>
        <v>2500</v>
      </c>
      <c r="U7" s="1585">
        <f>'①Tidak termasuk VAT TAX'!U7</f>
        <v>60000</v>
      </c>
      <c r="V7" s="1444" t="s">
        <v>110</v>
      </c>
      <c r="W7" s="1444"/>
      <c r="X7" s="1444"/>
      <c r="Y7" s="1585"/>
      <c r="Z7" s="1585">
        <f>'①Tidak termasuk VAT TAX'!AF7</f>
        <v>0</v>
      </c>
      <c r="AA7" s="1585"/>
      <c r="AB7" s="1440" t="s">
        <v>111</v>
      </c>
      <c r="AC7" s="1440"/>
      <c r="AD7" s="1440"/>
      <c r="AE7" s="1586">
        <f>'①Tidak termasuk VAT TAX'!AF7</f>
        <v>0</v>
      </c>
      <c r="AF7" s="1585">
        <f>AE7*M8</f>
        <v>0</v>
      </c>
      <c r="AG7" s="1440" t="s">
        <v>112</v>
      </c>
      <c r="AH7" s="1440"/>
      <c r="AI7" s="1440"/>
      <c r="AJ7" s="1440"/>
      <c r="AK7" s="1585">
        <f>'①Tidak termasuk VAT TAX'!AL7</f>
        <v>0</v>
      </c>
      <c r="AL7" s="697"/>
      <c r="AM7" s="697"/>
      <c r="AN7" s="697"/>
      <c r="AO7" s="697"/>
      <c r="AP7" s="697"/>
      <c r="BC7" s="698"/>
      <c r="BD7" s="697"/>
      <c r="BE7" s="697"/>
      <c r="BF7" s="697"/>
      <c r="BG7" s="697"/>
      <c r="BH7" s="697"/>
      <c r="BI7" s="697"/>
      <c r="BJ7" s="699"/>
      <c r="BK7" s="700"/>
      <c r="BL7" s="697"/>
      <c r="BM7" s="697"/>
      <c r="BN7" s="697"/>
      <c r="BO7" s="697"/>
      <c r="BP7" s="697"/>
      <c r="BQ7" s="697"/>
      <c r="BR7" s="697"/>
      <c r="BS7" s="697"/>
      <c r="BT7" s="697"/>
      <c r="BU7" s="697"/>
      <c r="BV7" s="697"/>
      <c r="BW7" s="697"/>
      <c r="BX7" s="697"/>
      <c r="BY7" s="697"/>
    </row>
    <row r="8" spans="2:83" ht="15.75" customHeight="1">
      <c r="B8" s="1580" t="s">
        <v>113</v>
      </c>
      <c r="C8" s="1581"/>
      <c r="D8" s="1582"/>
      <c r="E8" s="1510">
        <v>1</v>
      </c>
      <c r="F8" s="1583">
        <v>1</v>
      </c>
      <c r="G8" s="1587">
        <f>G7</f>
        <v>2018</v>
      </c>
      <c r="H8" s="1438" t="s">
        <v>115</v>
      </c>
      <c r="I8" s="1438"/>
      <c r="J8" s="1576" t="str">
        <f>'①Tidak termasuk VAT TAX'!J8</f>
        <v>City</v>
      </c>
      <c r="K8" s="1438" t="s">
        <v>117</v>
      </c>
      <c r="L8" s="1438"/>
      <c r="M8" s="1577">
        <f>'①Tidak termasuk VAT TAX'!M8</f>
        <v>309200000</v>
      </c>
      <c r="N8" s="1440" t="s">
        <v>118</v>
      </c>
      <c r="O8" s="1440"/>
      <c r="P8" s="1578">
        <f>'①Tidak termasuk VAT TAX'!P8</f>
        <v>0</v>
      </c>
      <c r="Q8" s="1440" t="s">
        <v>119</v>
      </c>
      <c r="R8" s="1440"/>
      <c r="S8" s="1440"/>
      <c r="T8" s="1585">
        <f>'①Tidak termasuk VAT TAX'!T8</f>
        <v>0</v>
      </c>
      <c r="U8" s="1585">
        <f>'①Tidak termasuk VAT TAX'!U8</f>
        <v>0</v>
      </c>
      <c r="V8" s="1444" t="s">
        <v>120</v>
      </c>
      <c r="W8" s="1444"/>
      <c r="X8" s="1444"/>
      <c r="Y8" s="1585"/>
      <c r="Z8" s="1585"/>
      <c r="AA8" s="1585"/>
      <c r="AB8" s="1440" t="s">
        <v>121</v>
      </c>
      <c r="AC8" s="1440"/>
      <c r="AD8" s="1440"/>
      <c r="AE8" s="1586">
        <f>'①Tidak termasuk VAT TAX'!AF8</f>
        <v>0</v>
      </c>
      <c r="AF8" s="1585">
        <f>AE8*P6</f>
        <v>0</v>
      </c>
      <c r="AG8" s="1440" t="s">
        <v>122</v>
      </c>
      <c r="AH8" s="1440"/>
      <c r="AI8" s="1440"/>
      <c r="AJ8" s="1440"/>
      <c r="AK8" s="1585">
        <f>'①Tidak termasuk VAT TAX'!AL8</f>
        <v>0</v>
      </c>
      <c r="AL8" s="697"/>
      <c r="AM8" s="697"/>
      <c r="AN8" s="697"/>
      <c r="AO8" s="697"/>
      <c r="AP8" s="697"/>
      <c r="BC8" s="698"/>
      <c r="BD8" s="697"/>
      <c r="BE8" s="697"/>
      <c r="BF8" s="697"/>
      <c r="BG8" s="697"/>
      <c r="BH8" s="697"/>
      <c r="BI8" s="697"/>
      <c r="BJ8" s="699"/>
      <c r="BK8" s="700"/>
      <c r="BL8" s="697"/>
      <c r="BM8" s="697"/>
      <c r="BN8" s="697"/>
      <c r="BO8" s="697"/>
      <c r="BP8" s="697"/>
      <c r="BQ8" s="697"/>
      <c r="BR8" s="697"/>
      <c r="BS8" s="697"/>
      <c r="BT8" s="697"/>
      <c r="BU8" s="697"/>
      <c r="BV8" s="697"/>
      <c r="BW8" s="697"/>
      <c r="BX8" s="697"/>
      <c r="BY8" s="697"/>
    </row>
    <row r="9" spans="2:83" ht="15.75" customHeight="1">
      <c r="B9" s="1588"/>
      <c r="C9" s="1589"/>
      <c r="D9" s="1590"/>
      <c r="E9" s="1588"/>
      <c r="F9" s="1589"/>
      <c r="G9" s="1590"/>
      <c r="H9" s="1438" t="s">
        <v>123</v>
      </c>
      <c r="I9" s="1438"/>
      <c r="J9" s="1576" t="str">
        <f>'①Tidak termasuk VAT TAX'!J9</f>
        <v>Jabotabek</v>
      </c>
      <c r="K9" s="1438" t="s">
        <v>125</v>
      </c>
      <c r="L9" s="1438"/>
      <c r="M9" s="1577">
        <f>'①Tidak termasuk VAT TAX'!M9</f>
        <v>28109090.909090906</v>
      </c>
      <c r="N9" s="1440"/>
      <c r="O9" s="1440"/>
      <c r="P9" s="1578">
        <f>'①Tidak termasuk VAT TAX'!P9</f>
        <v>0</v>
      </c>
      <c r="Q9" s="1458" t="s">
        <v>126</v>
      </c>
      <c r="R9" s="1458"/>
      <c r="S9" s="1458"/>
      <c r="T9" s="1585">
        <f>'①Tidak termasuk VAT TAX'!T9</f>
        <v>0</v>
      </c>
      <c r="U9" s="1585">
        <f>'①Tidak termasuk VAT TAX'!U9</f>
        <v>0</v>
      </c>
      <c r="V9" s="1444" t="s">
        <v>127</v>
      </c>
      <c r="W9" s="1444"/>
      <c r="X9" s="1444"/>
      <c r="Y9" s="1585"/>
      <c r="Z9" s="1585"/>
      <c r="AA9" s="1585"/>
      <c r="AB9" s="1440" t="s">
        <v>128</v>
      </c>
      <c r="AC9" s="1440"/>
      <c r="AD9" s="1440"/>
      <c r="AE9" s="1586">
        <f>'①Tidak termasuk VAT TAX'!AF9</f>
        <v>0</v>
      </c>
      <c r="AF9" s="1585">
        <f>AE9*P7</f>
        <v>0</v>
      </c>
      <c r="AG9" s="1440" t="s">
        <v>129</v>
      </c>
      <c r="AH9" s="1440"/>
      <c r="AI9" s="1440"/>
      <c r="AJ9" s="1440"/>
      <c r="AK9" s="1585">
        <f>'①Tidak termasuk VAT TAX'!AL9</f>
        <v>0</v>
      </c>
      <c r="AL9" s="697"/>
      <c r="AM9" s="697"/>
      <c r="AN9" s="697"/>
      <c r="AO9" s="697"/>
      <c r="AP9" s="697"/>
      <c r="BC9" s="698"/>
      <c r="BD9" s="697"/>
      <c r="BE9" s="697"/>
      <c r="BF9" s="697"/>
      <c r="BG9" s="697"/>
      <c r="BH9" s="697"/>
      <c r="BI9" s="697"/>
      <c r="BJ9" s="699"/>
      <c r="BK9" s="700"/>
      <c r="BL9" s="697"/>
      <c r="BM9" s="697"/>
      <c r="BN9" s="697"/>
      <c r="BO9" s="697"/>
      <c r="BP9" s="697"/>
      <c r="BQ9" s="697"/>
      <c r="BR9" s="697"/>
      <c r="BS9" s="697"/>
      <c r="BT9" s="697"/>
      <c r="BU9" s="697"/>
      <c r="BV9" s="697"/>
      <c r="BW9" s="697"/>
      <c r="BX9" s="697"/>
      <c r="BY9" s="697"/>
    </row>
    <row r="10" spans="2:83" ht="15.75" customHeight="1">
      <c r="B10" s="1440" t="s">
        <v>130</v>
      </c>
      <c r="C10" s="1440"/>
      <c r="D10" s="1440"/>
      <c r="E10" s="1440"/>
      <c r="F10" s="1440"/>
      <c r="G10" s="1591">
        <f>G14+5%</f>
        <v>0.14300000000000002</v>
      </c>
      <c r="H10" s="1438" t="s">
        <v>131</v>
      </c>
      <c r="I10" s="1438"/>
      <c r="J10" s="1576">
        <f>'①Tidak termasuk VAT TAX'!J10</f>
        <v>30</v>
      </c>
      <c r="K10" s="1438" t="s">
        <v>132</v>
      </c>
      <c r="L10" s="1438"/>
      <c r="M10" s="1577">
        <f>'①Tidak termasuk VAT TAX'!M10</f>
        <v>0</v>
      </c>
      <c r="N10" s="1440"/>
      <c r="O10" s="1440"/>
      <c r="P10" s="1578"/>
      <c r="Q10" s="1458" t="s">
        <v>134</v>
      </c>
      <c r="R10" s="1458"/>
      <c r="S10" s="1458"/>
      <c r="T10" s="1585">
        <f>'①Tidak termasuk VAT TAX'!T10</f>
        <v>0</v>
      </c>
      <c r="U10" s="1585">
        <f>'①Tidak termasuk VAT TAX'!U10</f>
        <v>0</v>
      </c>
      <c r="V10" s="1444" t="s">
        <v>135</v>
      </c>
      <c r="W10" s="1444"/>
      <c r="X10" s="1592">
        <v>4.8611111111111112E-2</v>
      </c>
      <c r="Y10" s="1585"/>
      <c r="Z10" s="1585"/>
      <c r="AA10" s="1585"/>
      <c r="AB10" s="1440" t="s">
        <v>136</v>
      </c>
      <c r="AC10" s="1440"/>
      <c r="AD10" s="1440"/>
      <c r="AE10" s="1585"/>
      <c r="AF10" s="1585">
        <v>3</v>
      </c>
      <c r="AG10" s="1440" t="s">
        <v>137</v>
      </c>
      <c r="AH10" s="1440"/>
      <c r="AI10" s="1440"/>
      <c r="AJ10" s="1440"/>
      <c r="AK10" s="1585">
        <f>'①Tidak termasuk VAT TAX'!AL10</f>
        <v>3</v>
      </c>
      <c r="AL10" s="697"/>
      <c r="AM10" s="697"/>
      <c r="AN10" s="697"/>
      <c r="AO10" s="697"/>
      <c r="AP10" s="697"/>
      <c r="BC10" s="698"/>
      <c r="BD10" s="697"/>
      <c r="BE10" s="697"/>
      <c r="BF10" s="697"/>
      <c r="BG10" s="697"/>
      <c r="BH10" s="697"/>
      <c r="BI10" s="697"/>
      <c r="BJ10" s="699"/>
      <c r="BK10" s="700"/>
      <c r="BL10" s="697"/>
      <c r="BM10" s="697"/>
      <c r="BN10" s="697"/>
      <c r="BO10" s="697"/>
      <c r="BP10" s="697"/>
      <c r="BQ10" s="697"/>
      <c r="BR10" s="697"/>
      <c r="BS10" s="697"/>
      <c r="BT10" s="697"/>
      <c r="BU10" s="697"/>
      <c r="BV10" s="697"/>
      <c r="BW10" s="697"/>
      <c r="BX10" s="697"/>
      <c r="BY10" s="697"/>
    </row>
    <row r="11" spans="2:83" ht="15.75" customHeight="1">
      <c r="B11" s="1440" t="s">
        <v>138</v>
      </c>
      <c r="C11" s="1440"/>
      <c r="D11" s="1440"/>
      <c r="E11" s="1440"/>
      <c r="F11" s="1440"/>
      <c r="G11" s="1593"/>
      <c r="H11" s="1438"/>
      <c r="I11" s="1438"/>
      <c r="J11" s="1594"/>
      <c r="K11" s="1466" t="s">
        <v>139</v>
      </c>
      <c r="L11" s="1466"/>
      <c r="M11" s="1577">
        <f>'①Tidak termasuk VAT TAX'!M11</f>
        <v>20000000</v>
      </c>
      <c r="N11" s="1440" t="s">
        <v>140</v>
      </c>
      <c r="O11" s="1440"/>
      <c r="P11" s="1578">
        <f>'①Tidak termasuk VAT TAX'!P11</f>
        <v>0</v>
      </c>
      <c r="Q11" s="1458" t="s">
        <v>141</v>
      </c>
      <c r="R11" s="1458"/>
      <c r="S11" s="1458"/>
      <c r="T11" s="1585">
        <f>'①Tidak termasuk VAT TAX'!T11</f>
        <v>500000</v>
      </c>
      <c r="U11" s="1585">
        <f>'①Tidak termasuk VAT TAX'!U11</f>
        <v>12000000</v>
      </c>
      <c r="V11" s="1444" t="s">
        <v>142</v>
      </c>
      <c r="W11" s="1444"/>
      <c r="X11" s="1444"/>
      <c r="Y11" s="1585"/>
      <c r="Z11" s="1595"/>
      <c r="AA11" s="1595"/>
      <c r="AB11" s="1440" t="s">
        <v>143</v>
      </c>
      <c r="AC11" s="1440"/>
      <c r="AD11" s="1440"/>
      <c r="AE11" s="1585"/>
      <c r="AF11" s="1585">
        <v>3</v>
      </c>
      <c r="AG11" s="1440" t="s">
        <v>144</v>
      </c>
      <c r="AH11" s="1440"/>
      <c r="AI11" s="1440"/>
      <c r="AJ11" s="1440"/>
      <c r="AK11" s="1585">
        <f>'①Tidak termasuk VAT TAX'!AL11</f>
        <v>3</v>
      </c>
      <c r="AL11" s="697"/>
      <c r="AM11" s="697"/>
      <c r="AN11" s="697"/>
      <c r="AO11" s="697"/>
      <c r="AP11" s="697"/>
      <c r="BC11" s="698"/>
      <c r="BD11" s="697"/>
      <c r="BE11" s="697"/>
      <c r="BF11" s="697"/>
      <c r="BG11" s="697"/>
      <c r="BH11" s="697"/>
      <c r="BI11" s="697"/>
      <c r="BJ11" s="699"/>
      <c r="BK11" s="700"/>
      <c r="BL11" s="697"/>
      <c r="BM11" s="697"/>
      <c r="BN11" s="697"/>
      <c r="BO11" s="697"/>
      <c r="BP11" s="697"/>
      <c r="BQ11" s="697"/>
      <c r="BR11" s="697"/>
      <c r="BS11" s="697"/>
      <c r="BT11" s="697"/>
      <c r="BU11" s="697"/>
      <c r="BV11" s="697"/>
      <c r="BW11" s="697"/>
      <c r="BX11" s="697"/>
      <c r="BY11" s="697"/>
    </row>
    <row r="12" spans="2:83" ht="15.75" customHeight="1">
      <c r="B12" s="1440" t="s">
        <v>145</v>
      </c>
      <c r="C12" s="1440"/>
      <c r="D12" s="1440"/>
      <c r="E12" s="1440"/>
      <c r="F12" s="1440"/>
      <c r="G12" s="1593"/>
      <c r="H12" s="1468" t="s">
        <v>146</v>
      </c>
      <c r="I12" s="1468"/>
      <c r="J12" s="1596"/>
      <c r="K12" s="1438" t="s">
        <v>147</v>
      </c>
      <c r="L12" s="1438"/>
      <c r="M12" s="1577">
        <f>'①Tidak termasuk VAT TAX'!M12</f>
        <v>2000000</v>
      </c>
      <c r="N12" s="1440" t="s">
        <v>148</v>
      </c>
      <c r="O12" s="1440"/>
      <c r="P12" s="1578">
        <f>'①Tidak termasuk VAT TAX'!P12</f>
        <v>0</v>
      </c>
      <c r="Q12" s="1470"/>
      <c r="R12" s="1470"/>
      <c r="S12" s="1470"/>
      <c r="T12" s="1556"/>
      <c r="U12" s="1556"/>
      <c r="V12" s="1444"/>
      <c r="W12" s="1444"/>
      <c r="X12" s="1444"/>
      <c r="Y12" s="1585"/>
      <c r="Z12" s="1595"/>
      <c r="AA12" s="1595"/>
      <c r="AB12" s="1440" t="s">
        <v>149</v>
      </c>
      <c r="AC12" s="1440"/>
      <c r="AD12" s="1440"/>
      <c r="AE12" s="1585"/>
      <c r="AF12" s="1585">
        <v>3</v>
      </c>
      <c r="AG12" s="1440" t="s">
        <v>150</v>
      </c>
      <c r="AH12" s="1440"/>
      <c r="AI12" s="1440"/>
      <c r="AJ12" s="1440"/>
      <c r="AK12" s="1585">
        <f>'①Tidak termasuk VAT TAX'!AL12</f>
        <v>3</v>
      </c>
      <c r="AL12" s="697"/>
      <c r="AM12" s="697"/>
      <c r="AN12" s="697"/>
      <c r="AO12" s="697"/>
      <c r="AP12" s="697"/>
      <c r="BC12" s="698"/>
      <c r="BD12" s="697"/>
      <c r="BE12" s="697"/>
      <c r="BF12" s="697"/>
      <c r="BG12" s="697"/>
      <c r="BH12" s="697"/>
      <c r="BI12" s="697"/>
      <c r="BJ12" s="699"/>
      <c r="BK12" s="700"/>
      <c r="BL12" s="697"/>
      <c r="BM12" s="697"/>
      <c r="BN12" s="697"/>
      <c r="BO12" s="697"/>
      <c r="BP12" s="697"/>
      <c r="BQ12" s="697"/>
      <c r="BR12" s="697"/>
      <c r="BS12" s="697"/>
      <c r="BT12" s="697"/>
      <c r="BU12" s="697"/>
      <c r="BV12" s="697"/>
      <c r="BW12" s="697"/>
      <c r="BX12" s="697"/>
      <c r="BY12" s="697"/>
    </row>
    <row r="13" spans="2:83" ht="15.75" customHeight="1">
      <c r="B13" s="1440" t="s">
        <v>151</v>
      </c>
      <c r="C13" s="1440"/>
      <c r="D13" s="1440"/>
      <c r="E13" s="1440"/>
      <c r="F13" s="1440"/>
      <c r="G13" s="1597">
        <f>'①Tidak termasuk VAT TAX'!G13</f>
        <v>0.17499999999999999</v>
      </c>
      <c r="H13" s="1438"/>
      <c r="I13" s="1438"/>
      <c r="J13" s="1598"/>
      <c r="K13" s="1474" t="s">
        <v>152</v>
      </c>
      <c r="L13" s="1474"/>
      <c r="M13" s="1577">
        <f>'①Tidak termasuk VAT TAX'!M13</f>
        <v>3000000</v>
      </c>
      <c r="N13" s="1440"/>
      <c r="O13" s="1440"/>
      <c r="P13" s="1578"/>
      <c r="Q13" s="1475" t="s">
        <v>154</v>
      </c>
      <c r="R13" s="1475"/>
      <c r="S13" s="1475"/>
      <c r="T13" s="1599"/>
      <c r="U13" s="1600"/>
      <c r="V13" s="1444"/>
      <c r="W13" s="1444"/>
      <c r="X13" s="1444"/>
      <c r="Y13" s="1585"/>
      <c r="Z13" s="1595"/>
      <c r="AA13" s="1595"/>
      <c r="AB13" s="1440"/>
      <c r="AC13" s="1440"/>
      <c r="AD13" s="1440"/>
      <c r="AE13" s="1585"/>
      <c r="AF13" s="1585"/>
      <c r="AG13" s="1440"/>
      <c r="AH13" s="1440"/>
      <c r="AI13" s="1440"/>
      <c r="AJ13" s="1440"/>
      <c r="AK13" s="1585"/>
      <c r="AL13" s="697"/>
      <c r="AM13" s="697"/>
      <c r="AN13" s="697"/>
      <c r="AO13" s="697"/>
      <c r="AP13" s="697"/>
      <c r="BC13" s="698"/>
      <c r="BD13" s="697"/>
      <c r="BE13" s="697"/>
      <c r="BF13" s="697"/>
      <c r="BG13" s="697"/>
      <c r="BH13" s="697"/>
      <c r="BI13" s="697"/>
      <c r="BJ13" s="699"/>
      <c r="BK13" s="700"/>
      <c r="BL13" s="697"/>
      <c r="BM13" s="697"/>
      <c r="BN13" s="697"/>
      <c r="BO13" s="697"/>
      <c r="BP13" s="697"/>
      <c r="BQ13" s="697"/>
      <c r="BR13" s="697"/>
      <c r="BS13" s="697"/>
      <c r="BT13" s="697"/>
      <c r="BU13" s="697"/>
      <c r="BV13" s="697"/>
      <c r="BW13" s="697"/>
      <c r="BX13" s="697"/>
      <c r="BY13" s="697"/>
    </row>
    <row r="14" spans="2:83" ht="15.75" customHeight="1">
      <c r="B14" s="1440" t="s">
        <v>155</v>
      </c>
      <c r="C14" s="1440"/>
      <c r="D14" s="1440"/>
      <c r="E14" s="1440"/>
      <c r="F14" s="1440"/>
      <c r="G14" s="1597">
        <f>'①Tidak termasuk VAT TAX'!G14</f>
        <v>9.2999999999999999E-2</v>
      </c>
      <c r="H14" s="1438"/>
      <c r="I14" s="1438"/>
      <c r="J14" s="1601"/>
      <c r="K14" s="1466" t="s">
        <v>156</v>
      </c>
      <c r="L14" s="1466"/>
      <c r="M14" s="1577">
        <f>'①Tidak termasuk VAT TAX'!M14</f>
        <v>148416000</v>
      </c>
      <c r="N14" s="1440"/>
      <c r="O14" s="1440"/>
      <c r="P14" s="1578"/>
      <c r="Q14" s="1475"/>
      <c r="R14" s="1475"/>
      <c r="S14" s="1475"/>
      <c r="T14" s="1538"/>
      <c r="U14" s="1600">
        <v>1</v>
      </c>
      <c r="V14" s="1444"/>
      <c r="W14" s="1444"/>
      <c r="X14" s="1444"/>
      <c r="Y14" s="1585"/>
      <c r="Z14" s="1595"/>
      <c r="AA14" s="1595"/>
      <c r="AB14" s="1440"/>
      <c r="AC14" s="1440"/>
      <c r="AD14" s="1440"/>
      <c r="AE14" s="1585"/>
      <c r="AF14" s="1585"/>
      <c r="AG14" s="1440"/>
      <c r="AH14" s="1440"/>
      <c r="AI14" s="1440"/>
      <c r="AJ14" s="1440"/>
      <c r="AK14" s="1585"/>
      <c r="AL14" s="697"/>
      <c r="AM14" s="697"/>
      <c r="AN14" s="697"/>
      <c r="AO14" s="697"/>
      <c r="AP14" s="697"/>
      <c r="BC14" s="698"/>
      <c r="BD14" s="697"/>
      <c r="BE14" s="697"/>
      <c r="BF14" s="697"/>
      <c r="BG14" s="697"/>
      <c r="BH14" s="697"/>
      <c r="BI14" s="697"/>
      <c r="BJ14" s="699"/>
      <c r="BK14" s="700"/>
      <c r="BL14" s="697"/>
      <c r="BM14" s="697"/>
      <c r="BN14" s="697"/>
      <c r="BO14" s="697"/>
      <c r="BP14" s="697"/>
      <c r="BQ14" s="697"/>
      <c r="BR14" s="697"/>
      <c r="BS14" s="697"/>
      <c r="BT14" s="697"/>
      <c r="BU14" s="697"/>
      <c r="BV14" s="697"/>
      <c r="BW14" s="697"/>
      <c r="BX14" s="697"/>
      <c r="BY14" s="697"/>
    </row>
    <row r="15" spans="2:83" ht="15.75" customHeight="1">
      <c r="B15" s="1440" t="s">
        <v>158</v>
      </c>
      <c r="C15" s="1440"/>
      <c r="D15" s="1440"/>
      <c r="E15" s="1440"/>
      <c r="F15" s="1440"/>
      <c r="G15" s="1591">
        <f>G13-G14</f>
        <v>8.199999999999999E-2</v>
      </c>
      <c r="H15" s="1438"/>
      <c r="I15" s="1438"/>
      <c r="J15" s="1601"/>
      <c r="K15" s="1438" t="s">
        <v>159</v>
      </c>
      <c r="L15" s="1438"/>
      <c r="M15" s="1577">
        <f>'①Tidak termasuk VAT TAX'!M15</f>
        <v>13492363.636363655</v>
      </c>
      <c r="N15" s="1440"/>
      <c r="O15" s="1440"/>
      <c r="P15" s="1602"/>
      <c r="Q15" s="1444"/>
      <c r="R15" s="1444"/>
      <c r="S15" s="1444"/>
      <c r="T15" s="1444"/>
      <c r="U15" s="1444"/>
      <c r="V15" s="1444"/>
      <c r="W15" s="1444"/>
      <c r="X15" s="1444"/>
      <c r="Y15" s="1585"/>
      <c r="Z15" s="1595"/>
      <c r="AA15" s="1595"/>
      <c r="AB15" s="1440"/>
      <c r="AC15" s="1440"/>
      <c r="AD15" s="1440"/>
      <c r="AE15" s="1585"/>
      <c r="AF15" s="1585"/>
      <c r="AG15" s="1440"/>
      <c r="AH15" s="1440"/>
      <c r="AI15" s="1440"/>
      <c r="AJ15" s="1440"/>
      <c r="AK15" s="1585"/>
      <c r="AL15" s="697"/>
      <c r="AM15" s="697"/>
      <c r="AN15" s="697"/>
      <c r="AO15" s="697"/>
      <c r="AP15" s="697"/>
      <c r="BC15" s="698"/>
      <c r="BD15" s="697"/>
      <c r="BE15" s="697"/>
      <c r="BF15" s="697"/>
      <c r="BG15" s="697"/>
      <c r="BH15" s="697"/>
      <c r="BI15" s="697"/>
      <c r="BJ15" s="699"/>
      <c r="BK15" s="700"/>
      <c r="BL15" s="697"/>
      <c r="BM15" s="697"/>
      <c r="BN15" s="697"/>
      <c r="BO15" s="697"/>
      <c r="BP15" s="697"/>
      <c r="BQ15" s="697"/>
      <c r="BR15" s="697"/>
      <c r="BS15" s="697"/>
      <c r="BT15" s="697"/>
      <c r="BU15" s="697"/>
      <c r="BV15" s="697"/>
      <c r="BW15" s="697"/>
      <c r="BX15" s="697"/>
      <c r="BY15" s="697"/>
    </row>
    <row r="16" spans="2:83" ht="15.75" customHeight="1" thickBot="1">
      <c r="B16" s="571"/>
      <c r="C16" s="571"/>
      <c r="D16" s="571"/>
      <c r="E16" s="571"/>
      <c r="F16" s="571"/>
      <c r="G16" s="571"/>
      <c r="H16" s="571"/>
      <c r="I16" s="571"/>
      <c r="J16" s="571"/>
      <c r="M16" s="581"/>
      <c r="AH16" s="576">
        <f>-AM26</f>
        <v>0</v>
      </c>
      <c r="AP16" s="575"/>
    </row>
    <row r="17" spans="1:91" s="585" customFormat="1" ht="21.95" customHeight="1" thickTop="1">
      <c r="B17" s="1603" t="s">
        <v>160</v>
      </c>
      <c r="C17" s="1604" t="s">
        <v>161</v>
      </c>
      <c r="D17" s="1605" t="s">
        <v>162</v>
      </c>
      <c r="E17" s="1293" t="s">
        <v>163</v>
      </c>
      <c r="F17" s="1294"/>
      <c r="G17" s="1294"/>
      <c r="H17" s="1294"/>
      <c r="I17" s="1294"/>
      <c r="J17" s="1294"/>
      <c r="K17" s="1294"/>
      <c r="L17" s="1294"/>
      <c r="M17" s="1294"/>
      <c r="N17" s="1294"/>
      <c r="O17" s="1294"/>
      <c r="P17" s="1294"/>
      <c r="Q17" s="1294"/>
      <c r="R17" s="1294"/>
      <c r="S17" s="1294"/>
      <c r="T17" s="1316"/>
      <c r="U17" s="1328" t="s">
        <v>370</v>
      </c>
      <c r="V17" s="1331" t="s">
        <v>165</v>
      </c>
      <c r="W17" s="1332"/>
      <c r="X17" s="1332"/>
      <c r="Y17" s="1332"/>
      <c r="Z17" s="1332"/>
      <c r="AA17" s="1323" t="s">
        <v>339</v>
      </c>
      <c r="AB17" s="1317" t="s">
        <v>371</v>
      </c>
      <c r="AC17" s="1249" t="s">
        <v>372</v>
      </c>
      <c r="AD17" s="1325" t="s">
        <v>373</v>
      </c>
      <c r="AE17" s="736"/>
      <c r="AF17" s="736"/>
      <c r="AG17" s="1307" t="s">
        <v>374</v>
      </c>
      <c r="AH17" s="1290" t="s">
        <v>374</v>
      </c>
      <c r="AI17" s="1293" t="s">
        <v>169</v>
      </c>
      <c r="AJ17" s="1294"/>
      <c r="AK17" s="1294"/>
      <c r="AL17" s="1294"/>
      <c r="AM17" s="1295"/>
      <c r="AN17" s="1293" t="s">
        <v>170</v>
      </c>
      <c r="AO17" s="1294"/>
      <c r="AP17" s="1294"/>
      <c r="AQ17" s="1295"/>
      <c r="AR17" s="1310" t="s">
        <v>171</v>
      </c>
      <c r="AS17" s="1310" t="s">
        <v>172</v>
      </c>
      <c r="AT17" s="1310" t="s">
        <v>173</v>
      </c>
      <c r="AU17" s="1223" t="s">
        <v>174</v>
      </c>
    </row>
    <row r="18" spans="1:91" s="585" customFormat="1" ht="18" customHeight="1">
      <c r="B18" s="586"/>
      <c r="C18" s="587"/>
      <c r="D18" s="588"/>
      <c r="E18" s="1485" t="s">
        <v>347</v>
      </c>
      <c r="F18" s="1486"/>
      <c r="G18" s="1486" t="s">
        <v>177</v>
      </c>
      <c r="H18" s="1486"/>
      <c r="I18" s="1486" t="s">
        <v>349</v>
      </c>
      <c r="J18" s="1486"/>
      <c r="K18" s="1486" t="s">
        <v>350</v>
      </c>
      <c r="L18" s="1486"/>
      <c r="M18" s="1606" t="s">
        <v>180</v>
      </c>
      <c r="N18" s="1606" t="s">
        <v>181</v>
      </c>
      <c r="O18" s="1606" t="s">
        <v>182</v>
      </c>
      <c r="P18" s="1486" t="s">
        <v>183</v>
      </c>
      <c r="Q18" s="1607"/>
      <c r="R18" s="1608" t="s">
        <v>184</v>
      </c>
      <c r="S18" s="1608" t="s">
        <v>185</v>
      </c>
      <c r="T18" s="1609" t="s">
        <v>186</v>
      </c>
      <c r="U18" s="1329"/>
      <c r="V18" s="1493" t="s">
        <v>187</v>
      </c>
      <c r="W18" s="1494"/>
      <c r="X18" s="1494" t="s">
        <v>188</v>
      </c>
      <c r="Y18" s="1494"/>
      <c r="Z18" s="1494"/>
      <c r="AA18" s="1255"/>
      <c r="AB18" s="1610"/>
      <c r="AC18" s="1250"/>
      <c r="AD18" s="1326"/>
      <c r="AE18" s="737"/>
      <c r="AF18" s="737"/>
      <c r="AG18" s="1308"/>
      <c r="AH18" s="1291"/>
      <c r="AI18" s="1611" t="s">
        <v>375</v>
      </c>
      <c r="AJ18" s="1612" t="s">
        <v>190</v>
      </c>
      <c r="AK18" s="1612" t="s">
        <v>191</v>
      </c>
      <c r="AL18" s="1613" t="s">
        <v>192</v>
      </c>
      <c r="AM18" s="1614" t="s">
        <v>193</v>
      </c>
      <c r="AN18" s="1615" t="s">
        <v>194</v>
      </c>
      <c r="AO18" s="1616" t="s">
        <v>195</v>
      </c>
      <c r="AP18" s="1612" t="s">
        <v>196</v>
      </c>
      <c r="AQ18" s="1617" t="s">
        <v>197</v>
      </c>
      <c r="AR18" s="1311"/>
      <c r="AS18" s="1311"/>
      <c r="AT18" s="1311"/>
      <c r="AU18" s="1224"/>
      <c r="BP18" s="589"/>
      <c r="BQ18" s="589"/>
      <c r="BR18" s="589"/>
      <c r="BS18" s="589"/>
      <c r="BT18" s="589"/>
      <c r="BU18" s="589"/>
      <c r="BV18" s="589"/>
      <c r="BW18" s="589"/>
      <c r="BX18" s="589"/>
      <c r="BY18" s="589"/>
      <c r="BZ18" s="589"/>
      <c r="CA18" s="589"/>
      <c r="CB18" s="589"/>
      <c r="CC18" s="589"/>
      <c r="CD18" s="589"/>
      <c r="CE18" s="589"/>
      <c r="CF18" s="589"/>
      <c r="CG18" s="589"/>
      <c r="CH18" s="589"/>
      <c r="CI18" s="589"/>
      <c r="CJ18" s="589"/>
      <c r="CK18" s="589"/>
      <c r="CL18" s="589"/>
      <c r="CM18" s="589"/>
    </row>
    <row r="19" spans="1:91" s="585" customFormat="1" ht="18" customHeight="1">
      <c r="B19" s="586"/>
      <c r="C19" s="587"/>
      <c r="E19" s="1618" t="s">
        <v>358</v>
      </c>
      <c r="F19" s="1483" t="s">
        <v>205</v>
      </c>
      <c r="G19" s="1619" t="s">
        <v>204</v>
      </c>
      <c r="H19" s="1483" t="s">
        <v>205</v>
      </c>
      <c r="I19" s="1619" t="s">
        <v>358</v>
      </c>
      <c r="J19" s="1483" t="s">
        <v>205</v>
      </c>
      <c r="K19" s="1619" t="s">
        <v>206</v>
      </c>
      <c r="L19" s="1483" t="s">
        <v>205</v>
      </c>
      <c r="M19" s="1305"/>
      <c r="N19" s="1305"/>
      <c r="O19" s="1305"/>
      <c r="P19" s="1619" t="s">
        <v>206</v>
      </c>
      <c r="Q19" s="1483" t="s">
        <v>205</v>
      </c>
      <c r="R19" s="1319"/>
      <c r="S19" s="1319"/>
      <c r="T19" s="1321"/>
      <c r="U19" s="1329"/>
      <c r="V19" s="1493" t="s">
        <v>207</v>
      </c>
      <c r="W19" s="1494" t="s">
        <v>192</v>
      </c>
      <c r="X19" s="1494" t="s">
        <v>208</v>
      </c>
      <c r="Y19" s="1486" t="s">
        <v>192</v>
      </c>
      <c r="Z19" s="1494" t="s">
        <v>376</v>
      </c>
      <c r="AA19" s="1255"/>
      <c r="AB19" s="1610"/>
      <c r="AC19" s="1250"/>
      <c r="AD19" s="1326"/>
      <c r="AE19" s="737" t="s">
        <v>377</v>
      </c>
      <c r="AF19" s="737" t="s">
        <v>377</v>
      </c>
      <c r="AG19" s="1308"/>
      <c r="AH19" s="1291"/>
      <c r="AI19" s="1297"/>
      <c r="AJ19" s="1299"/>
      <c r="AK19" s="1299"/>
      <c r="AL19" s="1301"/>
      <c r="AM19" s="1303"/>
      <c r="AN19" s="1313"/>
      <c r="AO19" s="1616"/>
      <c r="AP19" s="1299"/>
      <c r="AQ19" s="590"/>
      <c r="AR19" s="1311"/>
      <c r="AS19" s="1311"/>
      <c r="AT19" s="1311"/>
      <c r="AU19" s="1224"/>
      <c r="BP19" s="589"/>
      <c r="BQ19" s="589"/>
      <c r="BR19" s="589"/>
      <c r="BS19" s="589"/>
      <c r="BT19" s="589"/>
      <c r="BU19" s="589"/>
      <c r="BV19" s="589"/>
      <c r="BW19" s="589"/>
      <c r="BX19" s="589"/>
      <c r="BY19" s="589"/>
      <c r="BZ19" s="589"/>
      <c r="CA19" s="589"/>
      <c r="CB19" s="589"/>
      <c r="CC19" s="589"/>
      <c r="CD19" s="589"/>
      <c r="CE19" s="589"/>
      <c r="CF19" s="589"/>
      <c r="CG19" s="589"/>
      <c r="CH19" s="589"/>
      <c r="CI19" s="589"/>
      <c r="CJ19" s="589"/>
      <c r="CK19" s="589"/>
      <c r="CL19" s="589"/>
      <c r="CM19" s="589"/>
    </row>
    <row r="20" spans="1:91" s="585" customFormat="1" ht="30.75" customHeight="1" thickBot="1">
      <c r="B20" s="591"/>
      <c r="C20" s="592"/>
      <c r="D20" s="593"/>
      <c r="E20" s="1620"/>
      <c r="F20" s="1621"/>
      <c r="G20" s="1622"/>
      <c r="H20" s="1621"/>
      <c r="I20" s="1622"/>
      <c r="J20" s="1621"/>
      <c r="K20" s="1622"/>
      <c r="L20" s="1621"/>
      <c r="M20" s="1306"/>
      <c r="N20" s="1306"/>
      <c r="O20" s="1306"/>
      <c r="P20" s="1622"/>
      <c r="Q20" s="1621"/>
      <c r="R20" s="1320"/>
      <c r="S20" s="1320"/>
      <c r="T20" s="1322"/>
      <c r="U20" s="1330"/>
      <c r="V20" s="1285"/>
      <c r="W20" s="1228"/>
      <c r="X20" s="1228"/>
      <c r="Y20" s="1229"/>
      <c r="Z20" s="1229"/>
      <c r="AA20" s="1324"/>
      <c r="AB20" s="1318"/>
      <c r="AC20" s="1251"/>
      <c r="AD20" s="1327"/>
      <c r="AE20" s="738"/>
      <c r="AF20" s="738"/>
      <c r="AG20" s="1309"/>
      <c r="AH20" s="1292"/>
      <c r="AI20" s="1298"/>
      <c r="AJ20" s="1300"/>
      <c r="AK20" s="1300"/>
      <c r="AL20" s="1302"/>
      <c r="AM20" s="1304"/>
      <c r="AN20" s="1314"/>
      <c r="AO20" s="1315"/>
      <c r="AP20" s="1300"/>
      <c r="AQ20" s="594"/>
      <c r="AR20" s="1312"/>
      <c r="AS20" s="1312"/>
      <c r="AT20" s="1312"/>
      <c r="AU20" s="1225"/>
      <c r="BP20" s="589"/>
      <c r="BQ20" s="589"/>
      <c r="BR20" s="589"/>
      <c r="BS20" s="589"/>
      <c r="BT20" s="589"/>
      <c r="BU20" s="589"/>
      <c r="BV20" s="589"/>
      <c r="BW20" s="589"/>
      <c r="BX20" s="589"/>
      <c r="BY20" s="589"/>
      <c r="BZ20" s="589"/>
      <c r="CA20" s="589"/>
      <c r="CB20" s="589"/>
      <c r="CC20" s="589"/>
      <c r="CD20" s="589"/>
      <c r="CE20" s="589"/>
      <c r="CF20" s="589"/>
      <c r="CG20" s="589"/>
      <c r="CH20" s="589"/>
      <c r="CI20" s="589"/>
      <c r="CJ20" s="589"/>
      <c r="CK20" s="589"/>
      <c r="CL20" s="589"/>
      <c r="CM20" s="589"/>
    </row>
    <row r="21" spans="1:91" s="595" customFormat="1" ht="15.75" customHeight="1" thickTop="1" thickBot="1">
      <c r="B21" s="1623"/>
      <c r="C21" s="1510"/>
      <c r="D21" s="1510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8">
        <f>'①Tidak termasuk VAT TAX'!P91</f>
        <v>-12000000</v>
      </c>
      <c r="R21" s="596"/>
      <c r="S21" s="596"/>
      <c r="T21" s="596"/>
      <c r="U21" s="596"/>
      <c r="V21" s="597"/>
      <c r="W21" s="596"/>
      <c r="X21" s="596"/>
      <c r="Y21" s="596"/>
      <c r="Z21" s="596"/>
      <c r="AA21" s="596"/>
      <c r="AB21" s="596"/>
      <c r="AC21" s="598"/>
      <c r="AD21" s="596"/>
      <c r="AE21" s="596"/>
      <c r="AF21" s="596"/>
      <c r="AG21" s="596"/>
      <c r="AH21" s="596"/>
      <c r="AI21" s="596"/>
      <c r="AJ21" s="596"/>
      <c r="AK21" s="596"/>
      <c r="AL21" s="596"/>
      <c r="AM21" s="596"/>
      <c r="AS21" s="596"/>
      <c r="AT21" s="596"/>
      <c r="AU21" s="596"/>
    </row>
    <row r="22" spans="1:91" s="595" customFormat="1" ht="15.75" customHeight="1" thickTop="1">
      <c r="A22" s="966">
        <v>-3</v>
      </c>
      <c r="B22" s="622">
        <f t="shared" ref="B22:B23" si="0">A22</f>
        <v>-3</v>
      </c>
      <c r="C22" s="601">
        <f>IF($C23=1,12,$C23-1)</f>
        <v>10</v>
      </c>
      <c r="D22" s="602">
        <f>IF($C25=1,$D$25-1,"             ")</f>
        <v>2017</v>
      </c>
      <c r="E22" s="603"/>
      <c r="F22" s="967">
        <f>IF($AK$10=$A22*-1,$AK$7*-1,0)</f>
        <v>0</v>
      </c>
      <c r="G22" s="968"/>
      <c r="H22" s="967">
        <f>IF($AK$11=$A22*-1,$AK$8*-1,0)</f>
        <v>0</v>
      </c>
      <c r="I22" s="968"/>
      <c r="J22" s="967">
        <f>IF($A22*-1=$AK$12,$AK$9*-1,0)</f>
        <v>0</v>
      </c>
      <c r="K22" s="605"/>
      <c r="L22" s="604"/>
      <c r="M22" s="605"/>
      <c r="N22" s="605"/>
      <c r="O22" s="605"/>
      <c r="P22" s="605"/>
      <c r="Q22" s="604"/>
      <c r="R22" s="605"/>
      <c r="S22" s="605"/>
      <c r="T22" s="605"/>
      <c r="U22" s="606">
        <f t="shared" ref="U22:U53" si="1">SUM(E22:T22)</f>
        <v>0</v>
      </c>
      <c r="V22" s="607"/>
      <c r="W22" s="608"/>
      <c r="X22" s="609"/>
      <c r="Y22" s="608"/>
      <c r="Z22" s="610">
        <f>'①Tidak termasuk VAT TAX'!AJ22*10%</f>
        <v>0</v>
      </c>
      <c r="AA22" s="609"/>
      <c r="AB22" s="611">
        <v>0</v>
      </c>
      <c r="AC22" s="612">
        <f>U22+AB22</f>
        <v>0</v>
      </c>
      <c r="AD22" s="613">
        <f>AC22</f>
        <v>0</v>
      </c>
      <c r="AE22" s="634">
        <f t="shared" ref="AE22" si="2">IF(AD22&lt;=0,AC22,-AD21)</f>
        <v>0</v>
      </c>
      <c r="AF22" s="613"/>
      <c r="AG22" s="634">
        <f t="shared" ref="AG22:AG24" si="3">PV($G$14/12,$B22,0,$AC22*-1,1)</f>
        <v>0</v>
      </c>
      <c r="AH22" s="635">
        <f t="shared" ref="AH22:AH24" si="4">AG22</f>
        <v>0</v>
      </c>
      <c r="AI22" s="615"/>
      <c r="AJ22" s="616"/>
      <c r="AK22" s="616"/>
      <c r="AL22" s="608"/>
      <c r="AM22" s="617"/>
      <c r="AN22" s="618"/>
      <c r="AO22" s="619"/>
      <c r="AP22" s="619"/>
      <c r="AQ22" s="619"/>
      <c r="AR22" s="619"/>
      <c r="AS22" s="605"/>
      <c r="AT22" s="620"/>
      <c r="AU22" s="621">
        <v>-3</v>
      </c>
    </row>
    <row r="23" spans="1:91" s="595" customFormat="1" ht="15.75" customHeight="1">
      <c r="A23" s="966">
        <v>-2</v>
      </c>
      <c r="B23" s="622">
        <f t="shared" si="0"/>
        <v>-2</v>
      </c>
      <c r="C23" s="623">
        <f>IF($C24=1,12,$C24-1)</f>
        <v>11</v>
      </c>
      <c r="D23" s="624"/>
      <c r="E23" s="625"/>
      <c r="F23" s="626">
        <f t="shared" ref="F23:F24" si="5">IF($AK$10=$A23*-1,$AK$7*-1,0)</f>
        <v>0</v>
      </c>
      <c r="G23" s="627"/>
      <c r="H23" s="626">
        <f t="shared" ref="H23:H24" si="6">IF($AK$11=$A23*-1,$AK$8*-1,0)</f>
        <v>0</v>
      </c>
      <c r="I23" s="627"/>
      <c r="J23" s="626">
        <f t="shared" ref="J23:J24" si="7">IF($A23*-1=$AK$12,$AK$9*-1,0)</f>
        <v>0</v>
      </c>
      <c r="K23" s="627"/>
      <c r="L23" s="626"/>
      <c r="M23" s="627"/>
      <c r="N23" s="627"/>
      <c r="O23" s="627"/>
      <c r="P23" s="627"/>
      <c r="Q23" s="626"/>
      <c r="R23" s="627"/>
      <c r="S23" s="627"/>
      <c r="T23" s="627"/>
      <c r="U23" s="628">
        <f t="shared" si="1"/>
        <v>0</v>
      </c>
      <c r="V23" s="629"/>
      <c r="W23" s="622"/>
      <c r="X23" s="630"/>
      <c r="Y23" s="622"/>
      <c r="Z23" s="631">
        <f>'①Tidak termasuk VAT TAX'!AJ23*10%</f>
        <v>0</v>
      </c>
      <c r="AA23" s="630"/>
      <c r="AB23" s="632">
        <v>0</v>
      </c>
      <c r="AC23" s="633">
        <f t="shared" ref="AC23:AC85" si="8">U23+AB23</f>
        <v>0</v>
      </c>
      <c r="AD23" s="634">
        <f t="shared" ref="AD23:AD28" si="9">AD22+AC23</f>
        <v>0</v>
      </c>
      <c r="AE23" s="634">
        <f t="shared" ref="AE23:AE30" si="10">IF(AD23&lt;=0,AC23,-AD22)</f>
        <v>0</v>
      </c>
      <c r="AF23" s="634"/>
      <c r="AG23" s="634">
        <f t="shared" si="3"/>
        <v>0</v>
      </c>
      <c r="AH23" s="635">
        <f t="shared" si="4"/>
        <v>0</v>
      </c>
      <c r="AI23" s="636"/>
      <c r="AJ23" s="637"/>
      <c r="AK23" s="637"/>
      <c r="AL23" s="622"/>
      <c r="AM23" s="638"/>
      <c r="AN23" s="639"/>
      <c r="AO23" s="640"/>
      <c r="AP23" s="640"/>
      <c r="AQ23" s="640"/>
      <c r="AR23" s="640"/>
      <c r="AS23" s="627"/>
      <c r="AT23" s="641"/>
      <c r="AU23" s="642">
        <v>-2</v>
      </c>
    </row>
    <row r="24" spans="1:91" s="595" customFormat="1" ht="15.75" customHeight="1">
      <c r="A24" s="966">
        <v>-1</v>
      </c>
      <c r="B24" s="622">
        <f>A24</f>
        <v>-1</v>
      </c>
      <c r="C24" s="623">
        <f>IF($C25=1,12,$C25-1)</f>
        <v>12</v>
      </c>
      <c r="D24" s="624"/>
      <c r="E24" s="625"/>
      <c r="F24" s="626">
        <f t="shared" si="5"/>
        <v>0</v>
      </c>
      <c r="G24" s="627"/>
      <c r="H24" s="626">
        <f t="shared" si="6"/>
        <v>0</v>
      </c>
      <c r="I24" s="627"/>
      <c r="J24" s="626">
        <f t="shared" si="7"/>
        <v>0</v>
      </c>
      <c r="K24" s="627"/>
      <c r="L24" s="626"/>
      <c r="M24" s="627"/>
      <c r="N24" s="627"/>
      <c r="O24" s="627"/>
      <c r="P24" s="627"/>
      <c r="Q24" s="626"/>
      <c r="R24" s="627"/>
      <c r="S24" s="627"/>
      <c r="T24" s="627"/>
      <c r="U24" s="628">
        <f t="shared" si="1"/>
        <v>0</v>
      </c>
      <c r="V24" s="629"/>
      <c r="W24" s="622"/>
      <c r="X24" s="630"/>
      <c r="Y24" s="622"/>
      <c r="Z24" s="631">
        <f>'①Tidak termasuk VAT TAX'!AJ24*10%</f>
        <v>0</v>
      </c>
      <c r="AA24" s="630"/>
      <c r="AB24" s="632">
        <v>0</v>
      </c>
      <c r="AC24" s="633">
        <f>U24+AB24</f>
        <v>0</v>
      </c>
      <c r="AD24" s="634">
        <f t="shared" si="9"/>
        <v>0</v>
      </c>
      <c r="AE24" s="634">
        <f t="shared" si="10"/>
        <v>0</v>
      </c>
      <c r="AF24" s="634"/>
      <c r="AG24" s="634">
        <f t="shared" si="3"/>
        <v>0</v>
      </c>
      <c r="AH24" s="635">
        <f t="shared" si="4"/>
        <v>0</v>
      </c>
      <c r="AI24" s="636"/>
      <c r="AJ24" s="637"/>
      <c r="AK24" s="637"/>
      <c r="AL24" s="622"/>
      <c r="AM24" s="638"/>
      <c r="AN24" s="639"/>
      <c r="AO24" s="643"/>
      <c r="AP24" s="644"/>
      <c r="AQ24" s="643"/>
      <c r="AR24" s="640"/>
      <c r="AS24" s="627"/>
      <c r="AT24" s="641"/>
      <c r="AU24" s="642">
        <v>-1</v>
      </c>
    </row>
    <row r="25" spans="1:91" ht="15.75" customHeight="1">
      <c r="B25" s="622">
        <v>0</v>
      </c>
      <c r="C25" s="601">
        <f>$F$7</f>
        <v>1</v>
      </c>
      <c r="D25" s="645">
        <f>$G$7</f>
        <v>2018</v>
      </c>
      <c r="E25" s="646"/>
      <c r="F25" s="647">
        <f>-M9-F24-F23-F22</f>
        <v>-28109090.909090906</v>
      </c>
      <c r="G25" s="648"/>
      <c r="H25" s="647">
        <f>-P11-H24-H23-H22</f>
        <v>0</v>
      </c>
      <c r="I25" s="648"/>
      <c r="J25" s="647">
        <f>-P12-J24-J23-J22</f>
        <v>0</v>
      </c>
      <c r="K25" s="648"/>
      <c r="L25" s="647">
        <f>-P13</f>
        <v>0</v>
      </c>
      <c r="M25" s="648"/>
      <c r="N25" s="648"/>
      <c r="O25" s="648"/>
      <c r="P25" s="648"/>
      <c r="R25" s="648"/>
      <c r="S25" s="648"/>
      <c r="T25" s="648"/>
      <c r="U25" s="649">
        <f t="shared" si="1"/>
        <v>-28109090.909090906</v>
      </c>
      <c r="V25" s="646"/>
      <c r="W25" s="647">
        <f t="shared" ref="W25:W56" si="11">IF($AU25=$J$7+1,$M$15,0)</f>
        <v>0</v>
      </c>
      <c r="X25" s="648"/>
      <c r="Y25" s="647"/>
      <c r="Z25" s="631">
        <f>'①Tidak termasuk VAT TAX'!AJ25*10%</f>
        <v>0</v>
      </c>
      <c r="AA25" s="648"/>
      <c r="AB25" s="649">
        <f>SUM(V25:AA25)</f>
        <v>0</v>
      </c>
      <c r="AC25" s="633">
        <f>U25+AB25</f>
        <v>-28109090.909090906</v>
      </c>
      <c r="AD25" s="634">
        <f t="shared" si="9"/>
        <v>-28109090.909090906</v>
      </c>
      <c r="AE25" s="634">
        <f t="shared" si="10"/>
        <v>-28109090.909090906</v>
      </c>
      <c r="AF25" s="634"/>
      <c r="AG25" s="634">
        <f>PV($G$14/12,$B25,0,$AC25*-1,1)</f>
        <v>-28109090.909090906</v>
      </c>
      <c r="AH25" s="635">
        <f>AG25</f>
        <v>-28109090.909090906</v>
      </c>
      <c r="AI25" s="650">
        <v>0</v>
      </c>
      <c r="AJ25" s="651"/>
      <c r="AK25" s="651"/>
      <c r="AL25" s="652">
        <v>0</v>
      </c>
      <c r="AM25" s="653"/>
      <c r="AN25" s="654"/>
      <c r="AO25" s="643"/>
      <c r="AP25" s="643"/>
      <c r="AQ25" s="643"/>
      <c r="AR25" s="643"/>
      <c r="AS25" s="627"/>
      <c r="AT25" s="641"/>
      <c r="AU25" s="655">
        <v>0</v>
      </c>
      <c r="AV25" s="575"/>
      <c r="AW25" s="575"/>
      <c r="AX25" s="575"/>
      <c r="AY25" s="575"/>
      <c r="AZ25" s="575"/>
      <c r="BA25" s="575"/>
      <c r="BB25" s="575"/>
      <c r="BC25" s="575"/>
      <c r="BJ25" s="575"/>
      <c r="BK25" s="575"/>
    </row>
    <row r="26" spans="1:91" ht="15.75" customHeight="1">
      <c r="B26" s="622">
        <f>B25+1</f>
        <v>1</v>
      </c>
      <c r="C26" s="623">
        <f t="shared" ref="C26:C89" si="12">IF($C25=12,1,$C25+1)</f>
        <v>2</v>
      </c>
      <c r="D26" s="624" t="str">
        <f t="shared" ref="D26:D37" si="13">IF($C25=12,$D$25+1,"             ")</f>
        <v xml:space="preserve">             </v>
      </c>
      <c r="E26" s="646"/>
      <c r="F26" s="647"/>
      <c r="G26" s="648"/>
      <c r="H26" s="647"/>
      <c r="I26" s="648"/>
      <c r="J26" s="647"/>
      <c r="K26" s="648"/>
      <c r="L26" s="647"/>
      <c r="M26" s="648"/>
      <c r="N26" s="648"/>
      <c r="O26" s="648"/>
      <c r="P26" s="648"/>
      <c r="Q26" s="647">
        <f>IF(B26&lt;=$J$7,$Q$21*10%/$J$7,)</f>
        <v>-50000</v>
      </c>
      <c r="R26" s="648"/>
      <c r="S26" s="648"/>
      <c r="T26" s="648"/>
      <c r="U26" s="649">
        <f t="shared" si="1"/>
        <v>-50000</v>
      </c>
      <c r="V26" s="646"/>
      <c r="W26" s="647">
        <f t="shared" si="11"/>
        <v>0</v>
      </c>
      <c r="X26" s="648"/>
      <c r="Y26" s="647">
        <f>M12</f>
        <v>2000000</v>
      </c>
      <c r="Z26" s="631">
        <f>'①Tidak termasuk VAT TAX'!AJ26*10%</f>
        <v>1132649.7897637035</v>
      </c>
      <c r="AA26" s="656"/>
      <c r="AB26" s="649">
        <f>SUM(V26:AA26)</f>
        <v>3132649.7897637035</v>
      </c>
      <c r="AC26" s="633">
        <f>U26+AB26</f>
        <v>3082649.7897637035</v>
      </c>
      <c r="AD26" s="634">
        <f t="shared" si="9"/>
        <v>-25026441.119327202</v>
      </c>
      <c r="AE26" s="634">
        <f t="shared" si="10"/>
        <v>3082649.7897637035</v>
      </c>
      <c r="AF26" s="634">
        <f>IF(AD26&lt;=0,AE26,)</f>
        <v>3082649.7897637035</v>
      </c>
      <c r="AG26" s="634">
        <f>PV($G$14/12,$B26,0,$AE26*-1,0)</f>
        <v>3058942.9816558706</v>
      </c>
      <c r="AH26" s="635">
        <f>IF(AG26&gt;=0,AG26,)</f>
        <v>3058942.9816558706</v>
      </c>
      <c r="AI26" s="633">
        <f>PMT($G$14/12,$J$7,$AH$91,,0)</f>
        <v>109697.894146723</v>
      </c>
      <c r="AJ26" s="657"/>
      <c r="AK26" s="658"/>
      <c r="AL26" s="647">
        <f>AI26</f>
        <v>109697.894146723</v>
      </c>
      <c r="AM26" s="653"/>
      <c r="AN26" s="654"/>
      <c r="AO26" s="643"/>
      <c r="AP26" s="643"/>
      <c r="AQ26" s="643"/>
      <c r="AR26" s="659"/>
      <c r="AS26" s="627"/>
      <c r="AT26" s="641"/>
      <c r="AU26" s="642">
        <v>1</v>
      </c>
      <c r="AV26" s="575"/>
      <c r="AW26" s="575"/>
      <c r="AX26" s="575"/>
      <c r="AY26" s="575"/>
      <c r="AZ26" s="575"/>
      <c r="BA26" s="575"/>
      <c r="BB26" s="575"/>
      <c r="BC26" s="575"/>
      <c r="BJ26" s="575"/>
      <c r="BK26" s="575"/>
    </row>
    <row r="27" spans="1:91" ht="15.75" customHeight="1">
      <c r="B27" s="622">
        <f t="shared" ref="B27:B90" si="14">B26+1</f>
        <v>2</v>
      </c>
      <c r="C27" s="623">
        <f t="shared" si="12"/>
        <v>3</v>
      </c>
      <c r="D27" s="624" t="str">
        <f t="shared" si="13"/>
        <v xml:space="preserve">             </v>
      </c>
      <c r="E27" s="646"/>
      <c r="F27" s="647"/>
      <c r="G27" s="648"/>
      <c r="H27" s="647"/>
      <c r="I27" s="648"/>
      <c r="J27" s="647"/>
      <c r="K27" s="648"/>
      <c r="L27" s="647"/>
      <c r="M27" s="648"/>
      <c r="N27" s="648"/>
      <c r="O27" s="648"/>
      <c r="P27" s="648"/>
      <c r="Q27" s="647">
        <f t="shared" ref="Q27:Q90" si="15">IF(B27&lt;=$J$7,$Q$21*10%/$J$7,)</f>
        <v>-50000</v>
      </c>
      <c r="R27" s="648"/>
      <c r="S27" s="648"/>
      <c r="T27" s="648"/>
      <c r="U27" s="649">
        <f t="shared" si="1"/>
        <v>-50000</v>
      </c>
      <c r="V27" s="646"/>
      <c r="W27" s="647">
        <f t="shared" si="11"/>
        <v>0</v>
      </c>
      <c r="X27" s="648"/>
      <c r="Y27" s="647"/>
      <c r="Z27" s="631">
        <f>'①Tidak termasuk VAT TAX'!AJ27*10%</f>
        <v>1132649.7897637035</v>
      </c>
      <c r="AA27" s="648"/>
      <c r="AB27" s="649">
        <f t="shared" ref="AB27:AB89" si="16">SUM(V27:AA27)</f>
        <v>1132649.7897637035</v>
      </c>
      <c r="AC27" s="633">
        <f>U27+AB27</f>
        <v>1082649.7897637035</v>
      </c>
      <c r="AD27" s="634">
        <f t="shared" si="9"/>
        <v>-23943791.329563498</v>
      </c>
      <c r="AE27" s="634">
        <f t="shared" si="10"/>
        <v>1082649.7897637035</v>
      </c>
      <c r="AF27" s="634">
        <f t="shared" ref="AF27:AF60" si="17">IF(AD27&lt;=0,AE27,)</f>
        <v>1082649.7897637035</v>
      </c>
      <c r="AG27" s="634">
        <f>PV($G$14/12,$B27,0,$AE27*-1,0)</f>
        <v>1066061.8015034474</v>
      </c>
      <c r="AH27" s="635">
        <f>IF(AG27&gt;=0,AG27,)</f>
        <v>1066061.8015034474</v>
      </c>
      <c r="AI27" s="633">
        <f>IF(AU27&lt;=$J$7,AI26,0)</f>
        <v>109697.894146723</v>
      </c>
      <c r="AJ27" s="657"/>
      <c r="AK27" s="658"/>
      <c r="AL27" s="647">
        <f t="shared" ref="AL27:AL85" si="18">AI27</f>
        <v>109697.894146723</v>
      </c>
      <c r="AM27" s="653"/>
      <c r="AN27" s="654"/>
      <c r="AO27" s="643"/>
      <c r="AP27" s="643"/>
      <c r="AQ27" s="643"/>
      <c r="AR27" s="643"/>
      <c r="AS27" s="627"/>
      <c r="AT27" s="641"/>
      <c r="AU27" s="642">
        <v>2</v>
      </c>
      <c r="AV27" s="575"/>
      <c r="AW27" s="575"/>
      <c r="AX27" s="575"/>
      <c r="AY27" s="575"/>
      <c r="AZ27" s="575"/>
      <c r="BA27" s="575"/>
      <c r="BB27" s="575"/>
      <c r="BC27" s="575"/>
      <c r="BJ27" s="575"/>
      <c r="BK27" s="575"/>
    </row>
    <row r="28" spans="1:91" ht="15.75" customHeight="1">
      <c r="B28" s="622">
        <f t="shared" si="14"/>
        <v>3</v>
      </c>
      <c r="C28" s="623">
        <f t="shared" si="12"/>
        <v>4</v>
      </c>
      <c r="D28" s="624" t="str">
        <f t="shared" si="13"/>
        <v xml:space="preserve">             </v>
      </c>
      <c r="E28" s="646"/>
      <c r="F28" s="647"/>
      <c r="G28" s="648"/>
      <c r="H28" s="647"/>
      <c r="I28" s="648"/>
      <c r="J28" s="647"/>
      <c r="K28" s="648"/>
      <c r="L28" s="647"/>
      <c r="M28" s="648"/>
      <c r="N28" s="648"/>
      <c r="O28" s="648"/>
      <c r="P28" s="648"/>
      <c r="Q28" s="647">
        <f t="shared" si="15"/>
        <v>-50000</v>
      </c>
      <c r="R28" s="648"/>
      <c r="S28" s="648"/>
      <c r="T28" s="648"/>
      <c r="U28" s="649">
        <f t="shared" si="1"/>
        <v>-50000</v>
      </c>
      <c r="V28" s="646"/>
      <c r="W28" s="647">
        <f t="shared" si="11"/>
        <v>0</v>
      </c>
      <c r="X28" s="648"/>
      <c r="Y28" s="647"/>
      <c r="Z28" s="631">
        <f>'①Tidak termasuk VAT TAX'!AJ28*10%</f>
        <v>1132649.7897637035</v>
      </c>
      <c r="AA28" s="648"/>
      <c r="AB28" s="649">
        <f t="shared" si="16"/>
        <v>1132649.7897637035</v>
      </c>
      <c r="AC28" s="633">
        <f t="shared" si="8"/>
        <v>1082649.7897637035</v>
      </c>
      <c r="AD28" s="634">
        <f t="shared" si="9"/>
        <v>-22861141.539799795</v>
      </c>
      <c r="AE28" s="634">
        <f t="shared" si="10"/>
        <v>1082649.7897637035</v>
      </c>
      <c r="AF28" s="634">
        <f t="shared" si="17"/>
        <v>1082649.7897637035</v>
      </c>
      <c r="AG28" s="634">
        <f t="shared" ref="AG28:AG57" si="19">PV($G$14/12,$B28,0,$AE28*-1,0)</f>
        <v>1057863.3604598832</v>
      </c>
      <c r="AH28" s="635">
        <f t="shared" ref="AH28:AH90" si="20">IF(AG28&gt;=0,AG28,)</f>
        <v>1057863.3604598832</v>
      </c>
      <c r="AI28" s="633">
        <f>IF(AU28&lt;=$J$7,AI27,0)</f>
        <v>109697.894146723</v>
      </c>
      <c r="AJ28" s="657"/>
      <c r="AK28" s="658"/>
      <c r="AL28" s="647">
        <f t="shared" si="18"/>
        <v>109697.894146723</v>
      </c>
      <c r="AM28" s="653"/>
      <c r="AN28" s="654"/>
      <c r="AO28" s="643"/>
      <c r="AP28" s="643"/>
      <c r="AQ28" s="643"/>
      <c r="AR28" s="643"/>
      <c r="AS28" s="627"/>
      <c r="AT28" s="641"/>
      <c r="AU28" s="642">
        <f>AU27+1</f>
        <v>3</v>
      </c>
      <c r="AV28" s="575"/>
      <c r="AW28" s="575"/>
      <c r="AX28" s="575"/>
      <c r="AY28" s="575"/>
      <c r="AZ28" s="575"/>
      <c r="BA28" s="575"/>
      <c r="BB28" s="575"/>
      <c r="BC28" s="575"/>
      <c r="BJ28" s="575"/>
      <c r="BK28" s="575"/>
    </row>
    <row r="29" spans="1:91" ht="15.75" customHeight="1">
      <c r="B29" s="622">
        <f t="shared" si="14"/>
        <v>4</v>
      </c>
      <c r="C29" s="623">
        <f t="shared" si="12"/>
        <v>5</v>
      </c>
      <c r="D29" s="624" t="str">
        <f t="shared" si="13"/>
        <v xml:space="preserve">             </v>
      </c>
      <c r="E29" s="646"/>
      <c r="F29" s="647"/>
      <c r="G29" s="648"/>
      <c r="H29" s="647"/>
      <c r="I29" s="648"/>
      <c r="J29" s="647"/>
      <c r="K29" s="648"/>
      <c r="L29" s="647"/>
      <c r="M29" s="648"/>
      <c r="N29" s="648"/>
      <c r="O29" s="648"/>
      <c r="P29" s="648"/>
      <c r="Q29" s="647">
        <f t="shared" si="15"/>
        <v>-50000</v>
      </c>
      <c r="R29" s="648"/>
      <c r="S29" s="648"/>
      <c r="T29" s="648"/>
      <c r="U29" s="649">
        <f t="shared" si="1"/>
        <v>-50000</v>
      </c>
      <c r="V29" s="646"/>
      <c r="W29" s="647">
        <f t="shared" si="11"/>
        <v>0</v>
      </c>
      <c r="X29" s="648"/>
      <c r="Y29" s="647"/>
      <c r="Z29" s="631">
        <f>'①Tidak termasuk VAT TAX'!AJ29*10%</f>
        <v>1132649.7897637035</v>
      </c>
      <c r="AA29" s="648"/>
      <c r="AB29" s="649">
        <f t="shared" si="16"/>
        <v>1132649.7897637035</v>
      </c>
      <c r="AC29" s="633">
        <f t="shared" si="8"/>
        <v>1082649.7897637035</v>
      </c>
      <c r="AD29" s="634">
        <f t="shared" ref="AC29:AD91" si="21">AD28+AC29</f>
        <v>-21778491.750036091</v>
      </c>
      <c r="AE29" s="634">
        <f t="shared" si="10"/>
        <v>1082649.7897637035</v>
      </c>
      <c r="AF29" s="634">
        <f t="shared" si="17"/>
        <v>1082649.7897637035</v>
      </c>
      <c r="AG29" s="634">
        <f t="shared" si="19"/>
        <v>1049727.9687024397</v>
      </c>
      <c r="AH29" s="635">
        <f t="shared" si="20"/>
        <v>1049727.9687024397</v>
      </c>
      <c r="AI29" s="633">
        <f>IF(AU29&lt;=$J$7,AI28,0)</f>
        <v>109697.894146723</v>
      </c>
      <c r="AJ29" s="657"/>
      <c r="AK29" s="658"/>
      <c r="AL29" s="647">
        <f t="shared" si="18"/>
        <v>109697.894146723</v>
      </c>
      <c r="AM29" s="653"/>
      <c r="AN29" s="654"/>
      <c r="AO29" s="643"/>
      <c r="AP29" s="643"/>
      <c r="AQ29" s="643"/>
      <c r="AR29" s="643"/>
      <c r="AS29" s="627"/>
      <c r="AT29" s="641"/>
      <c r="AU29" s="642">
        <f t="shared" ref="AU29:AU90" si="22">AU28+1</f>
        <v>4</v>
      </c>
      <c r="AV29" s="575"/>
      <c r="AW29" s="575"/>
      <c r="AX29" s="575"/>
      <c r="AY29" s="575"/>
      <c r="AZ29" s="575"/>
      <c r="BA29" s="575"/>
      <c r="BB29" s="575"/>
      <c r="BC29" s="575"/>
      <c r="BJ29" s="575"/>
      <c r="BK29" s="575"/>
    </row>
    <row r="30" spans="1:91" ht="15.75" customHeight="1">
      <c r="B30" s="622">
        <f t="shared" si="14"/>
        <v>5</v>
      </c>
      <c r="C30" s="623">
        <f t="shared" si="12"/>
        <v>6</v>
      </c>
      <c r="D30" s="624" t="str">
        <f t="shared" si="13"/>
        <v xml:space="preserve">             </v>
      </c>
      <c r="E30" s="646"/>
      <c r="F30" s="647"/>
      <c r="G30" s="648"/>
      <c r="H30" s="647"/>
      <c r="I30" s="648"/>
      <c r="J30" s="647"/>
      <c r="K30" s="648"/>
      <c r="L30" s="647"/>
      <c r="M30" s="648"/>
      <c r="N30" s="648"/>
      <c r="O30" s="648"/>
      <c r="P30" s="648"/>
      <c r="Q30" s="647">
        <f t="shared" si="15"/>
        <v>-50000</v>
      </c>
      <c r="R30" s="648"/>
      <c r="S30" s="648"/>
      <c r="T30" s="648"/>
      <c r="U30" s="649">
        <f t="shared" si="1"/>
        <v>-50000</v>
      </c>
      <c r="V30" s="646"/>
      <c r="W30" s="647">
        <f t="shared" si="11"/>
        <v>0</v>
      </c>
      <c r="X30" s="648"/>
      <c r="Y30" s="647"/>
      <c r="Z30" s="631">
        <f>'①Tidak termasuk VAT TAX'!AJ30*10%</f>
        <v>1132649.7897637035</v>
      </c>
      <c r="AA30" s="648"/>
      <c r="AB30" s="649">
        <f t="shared" si="16"/>
        <v>1132649.7897637035</v>
      </c>
      <c r="AC30" s="633">
        <f t="shared" si="8"/>
        <v>1082649.7897637035</v>
      </c>
      <c r="AD30" s="634">
        <f t="shared" si="21"/>
        <v>-20695841.960272387</v>
      </c>
      <c r="AE30" s="634">
        <f t="shared" si="10"/>
        <v>1082649.7897637035</v>
      </c>
      <c r="AF30" s="634">
        <f t="shared" si="17"/>
        <v>1082649.7897637035</v>
      </c>
      <c r="AG30" s="634">
        <f t="shared" si="19"/>
        <v>1041655.1413569235</v>
      </c>
      <c r="AH30" s="635">
        <f>IF(AG30&gt;=0,AG30,)</f>
        <v>1041655.1413569235</v>
      </c>
      <c r="AI30" s="633">
        <f t="shared" ref="AI30:AI90" si="23">IF(AU30&lt;=$J$7,AI29,0)</f>
        <v>109697.894146723</v>
      </c>
      <c r="AJ30" s="657"/>
      <c r="AK30" s="658"/>
      <c r="AL30" s="647">
        <f t="shared" si="18"/>
        <v>109697.894146723</v>
      </c>
      <c r="AM30" s="653"/>
      <c r="AN30" s="654"/>
      <c r="AO30" s="643"/>
      <c r="AP30" s="643"/>
      <c r="AQ30" s="643"/>
      <c r="AR30" s="643"/>
      <c r="AS30" s="627"/>
      <c r="AT30" s="641"/>
      <c r="AU30" s="642">
        <f t="shared" si="22"/>
        <v>5</v>
      </c>
      <c r="AV30" s="575"/>
      <c r="AW30" s="575"/>
      <c r="AX30" s="575"/>
      <c r="AY30" s="575"/>
      <c r="AZ30" s="575"/>
      <c r="BA30" s="575"/>
      <c r="BB30" s="575"/>
      <c r="BC30" s="575"/>
      <c r="BJ30" s="575"/>
      <c r="BK30" s="575"/>
    </row>
    <row r="31" spans="1:91" ht="15.75" customHeight="1">
      <c r="B31" s="622">
        <f t="shared" si="14"/>
        <v>6</v>
      </c>
      <c r="C31" s="623">
        <f t="shared" si="12"/>
        <v>7</v>
      </c>
      <c r="D31" s="624" t="str">
        <f t="shared" si="13"/>
        <v xml:space="preserve">             </v>
      </c>
      <c r="E31" s="646"/>
      <c r="F31" s="647"/>
      <c r="G31" s="648"/>
      <c r="H31" s="647"/>
      <c r="I31" s="648"/>
      <c r="J31" s="647"/>
      <c r="K31" s="648"/>
      <c r="L31" s="647"/>
      <c r="M31" s="648"/>
      <c r="N31" s="648"/>
      <c r="O31" s="648"/>
      <c r="P31" s="648"/>
      <c r="Q31" s="647">
        <f t="shared" si="15"/>
        <v>-50000</v>
      </c>
      <c r="R31" s="648"/>
      <c r="S31" s="648"/>
      <c r="T31" s="648"/>
      <c r="U31" s="649">
        <f t="shared" si="1"/>
        <v>-50000</v>
      </c>
      <c r="V31" s="646"/>
      <c r="W31" s="647">
        <f t="shared" si="11"/>
        <v>0</v>
      </c>
      <c r="X31" s="648"/>
      <c r="Y31" s="647"/>
      <c r="Z31" s="631">
        <f>'①Tidak termasuk VAT TAX'!AJ31*10%</f>
        <v>1132649.7897637035</v>
      </c>
      <c r="AA31" s="648"/>
      <c r="AB31" s="649">
        <f t="shared" si="16"/>
        <v>1132649.7897637035</v>
      </c>
      <c r="AC31" s="633">
        <f t="shared" si="8"/>
        <v>1082649.7897637035</v>
      </c>
      <c r="AD31" s="634">
        <f t="shared" si="21"/>
        <v>-19613192.170508683</v>
      </c>
      <c r="AE31" s="634">
        <f t="shared" ref="AE31:AE57" si="24">IF(AD31&lt;=0,AC31,-AD30)</f>
        <v>1082649.7897637035</v>
      </c>
      <c r="AF31" s="634">
        <f t="shared" si="17"/>
        <v>1082649.7897637035</v>
      </c>
      <c r="AG31" s="634">
        <f t="shared" si="19"/>
        <v>1033644.3972780188</v>
      </c>
      <c r="AH31" s="635">
        <f t="shared" si="20"/>
        <v>1033644.3972780188</v>
      </c>
      <c r="AI31" s="633">
        <f t="shared" si="23"/>
        <v>109697.894146723</v>
      </c>
      <c r="AJ31" s="657"/>
      <c r="AK31" s="658"/>
      <c r="AL31" s="647">
        <f t="shared" si="18"/>
        <v>109697.894146723</v>
      </c>
      <c r="AM31" s="653"/>
      <c r="AN31" s="654"/>
      <c r="AO31" s="643"/>
      <c r="AP31" s="643"/>
      <c r="AQ31" s="643"/>
      <c r="AR31" s="643"/>
      <c r="AS31" s="627"/>
      <c r="AT31" s="641"/>
      <c r="AU31" s="642">
        <f t="shared" si="22"/>
        <v>6</v>
      </c>
      <c r="AV31" s="575"/>
      <c r="AW31" s="575"/>
      <c r="AX31" s="575"/>
      <c r="AY31" s="575"/>
      <c r="AZ31" s="575"/>
      <c r="BA31" s="575"/>
      <c r="BB31" s="575"/>
      <c r="BC31" s="575"/>
      <c r="BJ31" s="575"/>
      <c r="BK31" s="575"/>
    </row>
    <row r="32" spans="1:91" ht="15.75" customHeight="1">
      <c r="B32" s="622">
        <f t="shared" si="14"/>
        <v>7</v>
      </c>
      <c r="C32" s="623">
        <f t="shared" si="12"/>
        <v>8</v>
      </c>
      <c r="D32" s="624" t="str">
        <f t="shared" si="13"/>
        <v xml:space="preserve">             </v>
      </c>
      <c r="E32" s="646"/>
      <c r="F32" s="647"/>
      <c r="G32" s="648"/>
      <c r="H32" s="647"/>
      <c r="I32" s="648"/>
      <c r="J32" s="647"/>
      <c r="K32" s="648"/>
      <c r="L32" s="647"/>
      <c r="M32" s="648"/>
      <c r="N32" s="648"/>
      <c r="O32" s="648"/>
      <c r="P32" s="648"/>
      <c r="Q32" s="647">
        <f t="shared" si="15"/>
        <v>-50000</v>
      </c>
      <c r="R32" s="648"/>
      <c r="S32" s="648"/>
      <c r="T32" s="648"/>
      <c r="U32" s="649">
        <f t="shared" si="1"/>
        <v>-50000</v>
      </c>
      <c r="V32" s="646"/>
      <c r="W32" s="647">
        <f t="shared" si="11"/>
        <v>0</v>
      </c>
      <c r="X32" s="648"/>
      <c r="Y32" s="647"/>
      <c r="Z32" s="631">
        <f>'①Tidak termasuk VAT TAX'!AJ32*10%</f>
        <v>1132649.7897637035</v>
      </c>
      <c r="AA32" s="648"/>
      <c r="AB32" s="649">
        <f t="shared" si="16"/>
        <v>1132649.7897637035</v>
      </c>
      <c r="AC32" s="633">
        <f t="shared" si="8"/>
        <v>1082649.7897637035</v>
      </c>
      <c r="AD32" s="634">
        <f t="shared" si="21"/>
        <v>-18530542.380744979</v>
      </c>
      <c r="AE32" s="634">
        <f t="shared" si="24"/>
        <v>1082649.7897637035</v>
      </c>
      <c r="AF32" s="634">
        <f t="shared" si="17"/>
        <v>1082649.7897637035</v>
      </c>
      <c r="AG32" s="634">
        <f t="shared" si="19"/>
        <v>1025695.2590206092</v>
      </c>
      <c r="AH32" s="635">
        <f t="shared" si="20"/>
        <v>1025695.2590206092</v>
      </c>
      <c r="AI32" s="633">
        <f t="shared" si="23"/>
        <v>109697.894146723</v>
      </c>
      <c r="AJ32" s="657"/>
      <c r="AK32" s="658"/>
      <c r="AL32" s="647">
        <f t="shared" si="18"/>
        <v>109697.894146723</v>
      </c>
      <c r="AM32" s="653"/>
      <c r="AN32" s="654"/>
      <c r="AO32" s="643"/>
      <c r="AP32" s="643"/>
      <c r="AQ32" s="643"/>
      <c r="AR32" s="643"/>
      <c r="AS32" s="627"/>
      <c r="AT32" s="641"/>
      <c r="AU32" s="642">
        <f t="shared" si="22"/>
        <v>7</v>
      </c>
      <c r="AV32" s="575"/>
      <c r="AW32" s="575"/>
      <c r="AX32" s="575"/>
      <c r="AY32" s="575"/>
      <c r="AZ32" s="575"/>
      <c r="BA32" s="575"/>
      <c r="BB32" s="575"/>
      <c r="BC32" s="575"/>
      <c r="BJ32" s="575"/>
      <c r="BK32" s="575"/>
    </row>
    <row r="33" spans="2:47" s="575" customFormat="1" ht="15.75" customHeight="1">
      <c r="B33" s="622">
        <f t="shared" si="14"/>
        <v>8</v>
      </c>
      <c r="C33" s="623">
        <f t="shared" si="12"/>
        <v>9</v>
      </c>
      <c r="D33" s="624" t="str">
        <f t="shared" si="13"/>
        <v xml:space="preserve">             </v>
      </c>
      <c r="E33" s="646"/>
      <c r="F33" s="647"/>
      <c r="G33" s="648"/>
      <c r="H33" s="647"/>
      <c r="I33" s="648"/>
      <c r="J33" s="647"/>
      <c r="K33" s="648"/>
      <c r="L33" s="647"/>
      <c r="M33" s="648"/>
      <c r="N33" s="648"/>
      <c r="O33" s="648"/>
      <c r="P33" s="648"/>
      <c r="Q33" s="647">
        <f t="shared" si="15"/>
        <v>-50000</v>
      </c>
      <c r="R33" s="648"/>
      <c r="S33" s="648"/>
      <c r="T33" s="648"/>
      <c r="U33" s="649">
        <f t="shared" si="1"/>
        <v>-50000</v>
      </c>
      <c r="V33" s="646"/>
      <c r="W33" s="647">
        <f t="shared" si="11"/>
        <v>0</v>
      </c>
      <c r="X33" s="648"/>
      <c r="Y33" s="647"/>
      <c r="Z33" s="631">
        <f>'①Tidak termasuk VAT TAX'!AJ33*10%</f>
        <v>1132649.7897637035</v>
      </c>
      <c r="AA33" s="648"/>
      <c r="AB33" s="649">
        <f t="shared" si="16"/>
        <v>1132649.7897637035</v>
      </c>
      <c r="AC33" s="633">
        <f t="shared" si="8"/>
        <v>1082649.7897637035</v>
      </c>
      <c r="AD33" s="634">
        <f t="shared" si="21"/>
        <v>-17447892.590981275</v>
      </c>
      <c r="AE33" s="634">
        <f t="shared" si="24"/>
        <v>1082649.7897637035</v>
      </c>
      <c r="AF33" s="634">
        <f t="shared" si="17"/>
        <v>1082649.7897637035</v>
      </c>
      <c r="AG33" s="634">
        <f t="shared" si="19"/>
        <v>1017807.2528113215</v>
      </c>
      <c r="AH33" s="635">
        <f t="shared" si="20"/>
        <v>1017807.2528113215</v>
      </c>
      <c r="AI33" s="633">
        <f t="shared" si="23"/>
        <v>109697.894146723</v>
      </c>
      <c r="AJ33" s="657"/>
      <c r="AK33" s="658"/>
      <c r="AL33" s="647">
        <f t="shared" si="18"/>
        <v>109697.894146723</v>
      </c>
      <c r="AM33" s="653"/>
      <c r="AN33" s="654"/>
      <c r="AO33" s="643"/>
      <c r="AP33" s="643"/>
      <c r="AQ33" s="643"/>
      <c r="AR33" s="643"/>
      <c r="AS33" s="627"/>
      <c r="AT33" s="641"/>
      <c r="AU33" s="642">
        <f t="shared" si="22"/>
        <v>8</v>
      </c>
    </row>
    <row r="34" spans="2:47" s="575" customFormat="1" ht="15.75" customHeight="1">
      <c r="B34" s="622">
        <f t="shared" si="14"/>
        <v>9</v>
      </c>
      <c r="C34" s="623">
        <f t="shared" si="12"/>
        <v>10</v>
      </c>
      <c r="D34" s="624" t="str">
        <f t="shared" si="13"/>
        <v xml:space="preserve">             </v>
      </c>
      <c r="E34" s="646"/>
      <c r="F34" s="647"/>
      <c r="G34" s="648"/>
      <c r="H34" s="647"/>
      <c r="I34" s="648"/>
      <c r="J34" s="647"/>
      <c r="K34" s="648"/>
      <c r="L34" s="647"/>
      <c r="M34" s="648"/>
      <c r="N34" s="648"/>
      <c r="O34" s="648"/>
      <c r="P34" s="648"/>
      <c r="Q34" s="647">
        <f t="shared" si="15"/>
        <v>-50000</v>
      </c>
      <c r="R34" s="648"/>
      <c r="S34" s="648"/>
      <c r="T34" s="648"/>
      <c r="U34" s="649">
        <f t="shared" si="1"/>
        <v>-50000</v>
      </c>
      <c r="V34" s="646"/>
      <c r="W34" s="647">
        <f t="shared" si="11"/>
        <v>0</v>
      </c>
      <c r="X34" s="648"/>
      <c r="Y34" s="647"/>
      <c r="Z34" s="631">
        <f>'①Tidak termasuk VAT TAX'!AJ34*10%</f>
        <v>1132649.7897637035</v>
      </c>
      <c r="AA34" s="648"/>
      <c r="AB34" s="649">
        <f t="shared" si="16"/>
        <v>1132649.7897637035</v>
      </c>
      <c r="AC34" s="633">
        <f t="shared" si="8"/>
        <v>1082649.7897637035</v>
      </c>
      <c r="AD34" s="634">
        <f t="shared" si="21"/>
        <v>-16365242.801217571</v>
      </c>
      <c r="AE34" s="634">
        <f t="shared" si="24"/>
        <v>1082649.7897637035</v>
      </c>
      <c r="AF34" s="634">
        <f t="shared" si="17"/>
        <v>1082649.7897637035</v>
      </c>
      <c r="AG34" s="634">
        <f t="shared" si="19"/>
        <v>1009979.9085202895</v>
      </c>
      <c r="AH34" s="635">
        <f t="shared" si="20"/>
        <v>1009979.9085202895</v>
      </c>
      <c r="AI34" s="633">
        <f t="shared" si="23"/>
        <v>109697.894146723</v>
      </c>
      <c r="AJ34" s="657"/>
      <c r="AK34" s="658"/>
      <c r="AL34" s="647">
        <f t="shared" si="18"/>
        <v>109697.894146723</v>
      </c>
      <c r="AM34" s="653"/>
      <c r="AN34" s="654"/>
      <c r="AO34" s="643"/>
      <c r="AP34" s="643"/>
      <c r="AQ34" s="643"/>
      <c r="AR34" s="643"/>
      <c r="AS34" s="627"/>
      <c r="AT34" s="641"/>
      <c r="AU34" s="642">
        <f t="shared" si="22"/>
        <v>9</v>
      </c>
    </row>
    <row r="35" spans="2:47" s="575" customFormat="1" ht="15.75" customHeight="1">
      <c r="B35" s="622">
        <f t="shared" si="14"/>
        <v>10</v>
      </c>
      <c r="C35" s="623">
        <f t="shared" si="12"/>
        <v>11</v>
      </c>
      <c r="D35" s="624" t="str">
        <f t="shared" si="13"/>
        <v xml:space="preserve">             </v>
      </c>
      <c r="E35" s="646"/>
      <c r="F35" s="647"/>
      <c r="G35" s="648"/>
      <c r="H35" s="647"/>
      <c r="I35" s="648"/>
      <c r="J35" s="647"/>
      <c r="K35" s="648"/>
      <c r="L35" s="647"/>
      <c r="M35" s="648"/>
      <c r="N35" s="648"/>
      <c r="O35" s="648"/>
      <c r="P35" s="648"/>
      <c r="Q35" s="647">
        <f t="shared" si="15"/>
        <v>-50000</v>
      </c>
      <c r="R35" s="648"/>
      <c r="S35" s="648"/>
      <c r="T35" s="648"/>
      <c r="U35" s="649">
        <f t="shared" si="1"/>
        <v>-50000</v>
      </c>
      <c r="V35" s="646"/>
      <c r="W35" s="647">
        <f t="shared" si="11"/>
        <v>0</v>
      </c>
      <c r="X35" s="648"/>
      <c r="Y35" s="647"/>
      <c r="Z35" s="631">
        <f>'①Tidak termasuk VAT TAX'!AJ35*10%</f>
        <v>1132649.7897637035</v>
      </c>
      <c r="AA35" s="648"/>
      <c r="AB35" s="649">
        <f t="shared" si="16"/>
        <v>1132649.7897637035</v>
      </c>
      <c r="AC35" s="633">
        <f t="shared" si="8"/>
        <v>1082649.7897637035</v>
      </c>
      <c r="AD35" s="634">
        <f t="shared" si="21"/>
        <v>-15282593.011453867</v>
      </c>
      <c r="AE35" s="634">
        <f t="shared" si="24"/>
        <v>1082649.7897637035</v>
      </c>
      <c r="AF35" s="634">
        <f t="shared" si="17"/>
        <v>1082649.7897637035</v>
      </c>
      <c r="AG35" s="634">
        <f t="shared" si="19"/>
        <v>1002212.7596331326</v>
      </c>
      <c r="AH35" s="635">
        <f t="shared" si="20"/>
        <v>1002212.7596331326</v>
      </c>
      <c r="AI35" s="633">
        <f t="shared" si="23"/>
        <v>109697.894146723</v>
      </c>
      <c r="AJ35" s="657"/>
      <c r="AK35" s="658"/>
      <c r="AL35" s="647">
        <f t="shared" si="18"/>
        <v>109697.894146723</v>
      </c>
      <c r="AM35" s="653"/>
      <c r="AN35" s="654"/>
      <c r="AO35" s="643"/>
      <c r="AP35" s="643"/>
      <c r="AQ35" s="643"/>
      <c r="AR35" s="643"/>
      <c r="AS35" s="627"/>
      <c r="AT35" s="641"/>
      <c r="AU35" s="642">
        <f t="shared" si="22"/>
        <v>10</v>
      </c>
    </row>
    <row r="36" spans="2:47" s="575" customFormat="1" ht="15.75" customHeight="1">
      <c r="B36" s="622">
        <f t="shared" si="14"/>
        <v>11</v>
      </c>
      <c r="C36" s="623">
        <f t="shared" si="12"/>
        <v>12</v>
      </c>
      <c r="D36" s="624" t="str">
        <f t="shared" si="13"/>
        <v xml:space="preserve">             </v>
      </c>
      <c r="E36" s="646"/>
      <c r="F36" s="647"/>
      <c r="G36" s="648"/>
      <c r="H36" s="647"/>
      <c r="I36" s="648"/>
      <c r="J36" s="647"/>
      <c r="K36" s="648"/>
      <c r="L36" s="647"/>
      <c r="M36" s="648"/>
      <c r="N36" s="648"/>
      <c r="O36" s="648"/>
      <c r="P36" s="648"/>
      <c r="Q36" s="647">
        <f t="shared" si="15"/>
        <v>-50000</v>
      </c>
      <c r="R36" s="648"/>
      <c r="S36" s="648"/>
      <c r="T36" s="648"/>
      <c r="U36" s="649">
        <f t="shared" si="1"/>
        <v>-50000</v>
      </c>
      <c r="V36" s="646"/>
      <c r="W36" s="647">
        <f t="shared" si="11"/>
        <v>0</v>
      </c>
      <c r="X36" s="648"/>
      <c r="Y36" s="647"/>
      <c r="Z36" s="631">
        <f>'①Tidak termasuk VAT TAX'!AJ36*10%</f>
        <v>1132649.7897637035</v>
      </c>
      <c r="AA36" s="648"/>
      <c r="AB36" s="649">
        <f t="shared" si="16"/>
        <v>1132649.7897637035</v>
      </c>
      <c r="AC36" s="633">
        <f>U36+AB36</f>
        <v>1082649.7897637035</v>
      </c>
      <c r="AD36" s="634">
        <f t="shared" si="21"/>
        <v>-14199943.221690163</v>
      </c>
      <c r="AE36" s="634">
        <f t="shared" si="24"/>
        <v>1082649.7897637035</v>
      </c>
      <c r="AF36" s="634">
        <f t="shared" si="17"/>
        <v>1082649.7897637035</v>
      </c>
      <c r="AG36" s="634">
        <f t="shared" si="19"/>
        <v>994505.34322315326</v>
      </c>
      <c r="AH36" s="635">
        <f t="shared" si="20"/>
        <v>994505.34322315326</v>
      </c>
      <c r="AI36" s="633">
        <f t="shared" si="23"/>
        <v>109697.894146723</v>
      </c>
      <c r="AJ36" s="657"/>
      <c r="AK36" s="658"/>
      <c r="AL36" s="647">
        <f t="shared" si="18"/>
        <v>109697.894146723</v>
      </c>
      <c r="AM36" s="653"/>
      <c r="AN36" s="654"/>
      <c r="AO36" s="643"/>
      <c r="AP36" s="643"/>
      <c r="AQ36" s="643"/>
      <c r="AR36" s="643"/>
      <c r="AS36" s="627"/>
      <c r="AT36" s="641"/>
      <c r="AU36" s="642">
        <f t="shared" si="22"/>
        <v>11</v>
      </c>
    </row>
    <row r="37" spans="2:47" s="575" customFormat="1" ht="15.75" customHeight="1">
      <c r="B37" s="622">
        <f t="shared" si="14"/>
        <v>12</v>
      </c>
      <c r="C37" s="623">
        <f t="shared" si="12"/>
        <v>1</v>
      </c>
      <c r="D37" s="624">
        <f t="shared" si="13"/>
        <v>2019</v>
      </c>
      <c r="E37" s="646"/>
      <c r="F37" s="647"/>
      <c r="G37" s="648"/>
      <c r="H37" s="647"/>
      <c r="I37" s="648"/>
      <c r="J37" s="647"/>
      <c r="K37" s="648"/>
      <c r="L37" s="647"/>
      <c r="M37" s="656"/>
      <c r="N37" s="648"/>
      <c r="O37" s="648"/>
      <c r="P37" s="648"/>
      <c r="Q37" s="647">
        <f t="shared" si="15"/>
        <v>-50000</v>
      </c>
      <c r="R37" s="648"/>
      <c r="S37" s="648"/>
      <c r="T37" s="648"/>
      <c r="U37" s="649">
        <f t="shared" si="1"/>
        <v>-50000</v>
      </c>
      <c r="V37" s="646"/>
      <c r="W37" s="647">
        <f t="shared" si="11"/>
        <v>0</v>
      </c>
      <c r="X37" s="648"/>
      <c r="Y37" s="647"/>
      <c r="Z37" s="631">
        <f>'①Tidak termasuk VAT TAX'!AJ37*10%</f>
        <v>1132649.7897637035</v>
      </c>
      <c r="AA37" s="648"/>
      <c r="AB37" s="649">
        <f t="shared" si="16"/>
        <v>1132649.7897637035</v>
      </c>
      <c r="AC37" s="633">
        <f t="shared" si="8"/>
        <v>1082649.7897637035</v>
      </c>
      <c r="AD37" s="634">
        <f t="shared" si="21"/>
        <v>-13117293.431926459</v>
      </c>
      <c r="AE37" s="634">
        <f t="shared" si="24"/>
        <v>1082649.7897637035</v>
      </c>
      <c r="AF37" s="634">
        <f t="shared" si="17"/>
        <v>1082649.7897637035</v>
      </c>
      <c r="AG37" s="634">
        <f t="shared" si="19"/>
        <v>986857.19992374443</v>
      </c>
      <c r="AH37" s="635">
        <f t="shared" si="20"/>
        <v>986857.19992374443</v>
      </c>
      <c r="AI37" s="633">
        <f t="shared" si="23"/>
        <v>109697.894146723</v>
      </c>
      <c r="AJ37" s="657"/>
      <c r="AK37" s="658"/>
      <c r="AL37" s="647">
        <f t="shared" si="18"/>
        <v>109697.894146723</v>
      </c>
      <c r="AM37" s="653"/>
      <c r="AN37" s="654"/>
      <c r="AO37" s="643"/>
      <c r="AP37" s="643"/>
      <c r="AQ37" s="643"/>
      <c r="AR37" s="643"/>
      <c r="AS37" s="627"/>
      <c r="AT37" s="641"/>
      <c r="AU37" s="642">
        <f t="shared" si="22"/>
        <v>12</v>
      </c>
    </row>
    <row r="38" spans="2:47" s="575" customFormat="1" ht="16.5" customHeight="1">
      <c r="B38" s="622">
        <f t="shared" si="14"/>
        <v>13</v>
      </c>
      <c r="C38" s="623">
        <f t="shared" si="12"/>
        <v>2</v>
      </c>
      <c r="D38" s="624" t="str">
        <f>IF($C37=12,$D$37+1,"             ")</f>
        <v xml:space="preserve">             </v>
      </c>
      <c r="E38" s="646"/>
      <c r="F38" s="647"/>
      <c r="G38" s="648"/>
      <c r="H38" s="647"/>
      <c r="I38" s="648"/>
      <c r="J38" s="647"/>
      <c r="K38" s="648"/>
      <c r="L38" s="647"/>
      <c r="M38" s="648"/>
      <c r="N38" s="648"/>
      <c r="O38" s="648"/>
      <c r="P38" s="648"/>
      <c r="Q38" s="647">
        <f t="shared" si="15"/>
        <v>-50000</v>
      </c>
      <c r="R38" s="648"/>
      <c r="S38" s="648"/>
      <c r="T38" s="648"/>
      <c r="U38" s="649">
        <f t="shared" si="1"/>
        <v>-50000</v>
      </c>
      <c r="V38" s="646"/>
      <c r="W38" s="647">
        <f t="shared" si="11"/>
        <v>0</v>
      </c>
      <c r="X38" s="648"/>
      <c r="Y38" s="647"/>
      <c r="Z38" s="631">
        <f>'①Tidak termasuk VAT TAX'!AJ38*10%</f>
        <v>1132649.7897637035</v>
      </c>
      <c r="AA38" s="648"/>
      <c r="AB38" s="649">
        <f t="shared" si="16"/>
        <v>1132649.7897637035</v>
      </c>
      <c r="AC38" s="633">
        <f t="shared" si="8"/>
        <v>1082649.7897637035</v>
      </c>
      <c r="AD38" s="634">
        <f t="shared" si="21"/>
        <v>-12034643.642162755</v>
      </c>
      <c r="AE38" s="634">
        <f t="shared" si="24"/>
        <v>1082649.7897637035</v>
      </c>
      <c r="AF38" s="634">
        <f t="shared" si="17"/>
        <v>1082649.7897637035</v>
      </c>
      <c r="AG38" s="634">
        <f t="shared" si="19"/>
        <v>979267.87390101142</v>
      </c>
      <c r="AH38" s="635">
        <f t="shared" si="20"/>
        <v>979267.87390101142</v>
      </c>
      <c r="AI38" s="633">
        <f t="shared" si="23"/>
        <v>109697.894146723</v>
      </c>
      <c r="AJ38" s="657"/>
      <c r="AK38" s="658"/>
      <c r="AL38" s="647">
        <f t="shared" si="18"/>
        <v>109697.894146723</v>
      </c>
      <c r="AM38" s="653"/>
      <c r="AN38" s="654"/>
      <c r="AO38" s="643"/>
      <c r="AP38" s="643"/>
      <c r="AQ38" s="643"/>
      <c r="AR38" s="643"/>
      <c r="AS38" s="627"/>
      <c r="AT38" s="641"/>
      <c r="AU38" s="642">
        <f t="shared" si="22"/>
        <v>13</v>
      </c>
    </row>
    <row r="39" spans="2:47" s="575" customFormat="1" ht="15.75" customHeight="1">
      <c r="B39" s="622">
        <f t="shared" si="14"/>
        <v>14</v>
      </c>
      <c r="C39" s="623">
        <f t="shared" si="12"/>
        <v>3</v>
      </c>
      <c r="D39" s="624" t="str">
        <f t="shared" ref="D39:D49" si="25">IF($C38=12,$D$37+1,"             ")</f>
        <v xml:space="preserve">             </v>
      </c>
      <c r="E39" s="646"/>
      <c r="F39" s="647"/>
      <c r="G39" s="648"/>
      <c r="H39" s="647"/>
      <c r="I39" s="648"/>
      <c r="J39" s="647"/>
      <c r="K39" s="648"/>
      <c r="L39" s="647"/>
      <c r="M39" s="648"/>
      <c r="N39" s="648"/>
      <c r="O39" s="648"/>
      <c r="P39" s="648"/>
      <c r="Q39" s="647">
        <f t="shared" si="15"/>
        <v>-50000</v>
      </c>
      <c r="R39" s="648"/>
      <c r="S39" s="648"/>
      <c r="T39" s="648"/>
      <c r="U39" s="649">
        <f t="shared" si="1"/>
        <v>-50000</v>
      </c>
      <c r="V39" s="646"/>
      <c r="W39" s="647">
        <f t="shared" si="11"/>
        <v>0</v>
      </c>
      <c r="X39" s="648"/>
      <c r="Y39" s="647"/>
      <c r="Z39" s="631">
        <f>'①Tidak termasuk VAT TAX'!AJ39*10%</f>
        <v>1132649.7897637035</v>
      </c>
      <c r="AA39" s="648"/>
      <c r="AB39" s="649">
        <f t="shared" si="16"/>
        <v>1132649.7897637035</v>
      </c>
      <c r="AC39" s="633">
        <f t="shared" si="8"/>
        <v>1082649.7897637035</v>
      </c>
      <c r="AD39" s="634">
        <f t="shared" si="21"/>
        <v>-10951993.852399051</v>
      </c>
      <c r="AE39" s="634">
        <f t="shared" si="24"/>
        <v>1082649.7897637035</v>
      </c>
      <c r="AF39" s="634">
        <f t="shared" si="17"/>
        <v>1082649.7897637035</v>
      </c>
      <c r="AG39" s="634">
        <f t="shared" si="19"/>
        <v>971736.91282660549</v>
      </c>
      <c r="AH39" s="635">
        <f t="shared" si="20"/>
        <v>971736.91282660549</v>
      </c>
      <c r="AI39" s="633">
        <f t="shared" si="23"/>
        <v>109697.894146723</v>
      </c>
      <c r="AJ39" s="657"/>
      <c r="AK39" s="658"/>
      <c r="AL39" s="647">
        <f t="shared" si="18"/>
        <v>109697.894146723</v>
      </c>
      <c r="AM39" s="653"/>
      <c r="AN39" s="654"/>
      <c r="AO39" s="643"/>
      <c r="AP39" s="643"/>
      <c r="AQ39" s="643"/>
      <c r="AR39" s="643"/>
      <c r="AS39" s="627"/>
      <c r="AT39" s="641"/>
      <c r="AU39" s="642">
        <f t="shared" si="22"/>
        <v>14</v>
      </c>
    </row>
    <row r="40" spans="2:47" s="575" customFormat="1" ht="15.75" customHeight="1">
      <c r="B40" s="622">
        <f t="shared" si="14"/>
        <v>15</v>
      </c>
      <c r="C40" s="623">
        <f t="shared" si="12"/>
        <v>4</v>
      </c>
      <c r="D40" s="624" t="str">
        <f t="shared" si="25"/>
        <v xml:space="preserve">             </v>
      </c>
      <c r="E40" s="646"/>
      <c r="F40" s="647"/>
      <c r="G40" s="648"/>
      <c r="H40" s="647"/>
      <c r="I40" s="648"/>
      <c r="J40" s="647"/>
      <c r="K40" s="648"/>
      <c r="L40" s="647"/>
      <c r="M40" s="648"/>
      <c r="N40" s="648"/>
      <c r="O40" s="648"/>
      <c r="P40" s="648"/>
      <c r="Q40" s="647">
        <f t="shared" si="15"/>
        <v>-50000</v>
      </c>
      <c r="R40" s="648"/>
      <c r="S40" s="648"/>
      <c r="T40" s="648"/>
      <c r="U40" s="649">
        <f t="shared" si="1"/>
        <v>-50000</v>
      </c>
      <c r="V40" s="646"/>
      <c r="W40" s="647">
        <f t="shared" si="11"/>
        <v>0</v>
      </c>
      <c r="X40" s="648"/>
      <c r="Y40" s="647"/>
      <c r="Z40" s="631">
        <f>'①Tidak termasuk VAT TAX'!AJ40*10%</f>
        <v>1132649.7897637035</v>
      </c>
      <c r="AA40" s="648"/>
      <c r="AB40" s="649">
        <f t="shared" si="16"/>
        <v>1132649.7897637035</v>
      </c>
      <c r="AC40" s="633">
        <f t="shared" si="8"/>
        <v>1082649.7897637035</v>
      </c>
      <c r="AD40" s="634">
        <f t="shared" si="21"/>
        <v>-9869344.0626353472</v>
      </c>
      <c r="AE40" s="634">
        <f t="shared" si="24"/>
        <v>1082649.7897637035</v>
      </c>
      <c r="AF40" s="634">
        <f t="shared" si="17"/>
        <v>1082649.7897637035</v>
      </c>
      <c r="AG40" s="634">
        <f t="shared" si="19"/>
        <v>964263.86785076209</v>
      </c>
      <c r="AH40" s="635">
        <f t="shared" si="20"/>
        <v>964263.86785076209</v>
      </c>
      <c r="AI40" s="633">
        <f t="shared" si="23"/>
        <v>109697.894146723</v>
      </c>
      <c r="AJ40" s="657"/>
      <c r="AK40" s="658"/>
      <c r="AL40" s="647">
        <f t="shared" si="18"/>
        <v>109697.894146723</v>
      </c>
      <c r="AM40" s="653"/>
      <c r="AN40" s="654"/>
      <c r="AO40" s="643"/>
      <c r="AP40" s="643"/>
      <c r="AQ40" s="643"/>
      <c r="AR40" s="643"/>
      <c r="AS40" s="627"/>
      <c r="AT40" s="641"/>
      <c r="AU40" s="642">
        <f t="shared" si="22"/>
        <v>15</v>
      </c>
    </row>
    <row r="41" spans="2:47" s="575" customFormat="1" ht="15.75" customHeight="1">
      <c r="B41" s="622">
        <f t="shared" si="14"/>
        <v>16</v>
      </c>
      <c r="C41" s="623">
        <f t="shared" si="12"/>
        <v>5</v>
      </c>
      <c r="D41" s="624" t="str">
        <f t="shared" si="25"/>
        <v xml:space="preserve">             </v>
      </c>
      <c r="E41" s="646"/>
      <c r="F41" s="647"/>
      <c r="G41" s="648"/>
      <c r="H41" s="647"/>
      <c r="I41" s="648"/>
      <c r="J41" s="647"/>
      <c r="K41" s="648"/>
      <c r="L41" s="647"/>
      <c r="M41" s="648"/>
      <c r="N41" s="648"/>
      <c r="O41" s="648"/>
      <c r="P41" s="648"/>
      <c r="Q41" s="647">
        <f t="shared" si="15"/>
        <v>-50000</v>
      </c>
      <c r="R41" s="648"/>
      <c r="S41" s="648"/>
      <c r="T41" s="648"/>
      <c r="U41" s="649">
        <f t="shared" si="1"/>
        <v>-50000</v>
      </c>
      <c r="V41" s="646"/>
      <c r="W41" s="647">
        <f t="shared" si="11"/>
        <v>0</v>
      </c>
      <c r="X41" s="648"/>
      <c r="Y41" s="647"/>
      <c r="Z41" s="631">
        <f>'①Tidak termasuk VAT TAX'!AJ41*10%</f>
        <v>1132649.7897637035</v>
      </c>
      <c r="AA41" s="648"/>
      <c r="AB41" s="649">
        <f t="shared" si="16"/>
        <v>1132649.7897637035</v>
      </c>
      <c r="AC41" s="633">
        <f t="shared" si="8"/>
        <v>1082649.7897637035</v>
      </c>
      <c r="AD41" s="634">
        <f t="shared" si="21"/>
        <v>-8786694.2728716433</v>
      </c>
      <c r="AE41" s="634">
        <f t="shared" si="24"/>
        <v>1082649.7897637035</v>
      </c>
      <c r="AF41" s="634">
        <f t="shared" si="17"/>
        <v>1082649.7897637035</v>
      </c>
      <c r="AG41" s="634">
        <f t="shared" si="19"/>
        <v>956848.29357555159</v>
      </c>
      <c r="AH41" s="635">
        <f t="shared" si="20"/>
        <v>956848.29357555159</v>
      </c>
      <c r="AI41" s="633">
        <f t="shared" si="23"/>
        <v>109697.894146723</v>
      </c>
      <c r="AJ41" s="657"/>
      <c r="AK41" s="658"/>
      <c r="AL41" s="647">
        <f t="shared" si="18"/>
        <v>109697.894146723</v>
      </c>
      <c r="AM41" s="653"/>
      <c r="AN41" s="654"/>
      <c r="AO41" s="643"/>
      <c r="AP41" s="643"/>
      <c r="AQ41" s="643"/>
      <c r="AR41" s="643"/>
      <c r="AS41" s="627"/>
      <c r="AT41" s="641"/>
      <c r="AU41" s="642">
        <f t="shared" si="22"/>
        <v>16</v>
      </c>
    </row>
    <row r="42" spans="2:47" s="575" customFormat="1" ht="15.75" customHeight="1">
      <c r="B42" s="622">
        <f t="shared" si="14"/>
        <v>17</v>
      </c>
      <c r="C42" s="623">
        <f t="shared" si="12"/>
        <v>6</v>
      </c>
      <c r="D42" s="624" t="str">
        <f t="shared" si="25"/>
        <v xml:space="preserve">             </v>
      </c>
      <c r="E42" s="646"/>
      <c r="F42" s="647"/>
      <c r="G42" s="648"/>
      <c r="H42" s="647"/>
      <c r="I42" s="648"/>
      <c r="J42" s="647"/>
      <c r="K42" s="648"/>
      <c r="L42" s="647"/>
      <c r="M42" s="648"/>
      <c r="N42" s="648"/>
      <c r="O42" s="648"/>
      <c r="P42" s="648"/>
      <c r="Q42" s="647">
        <f t="shared" si="15"/>
        <v>-50000</v>
      </c>
      <c r="R42" s="648"/>
      <c r="S42" s="648"/>
      <c r="T42" s="648"/>
      <c r="U42" s="649">
        <f t="shared" si="1"/>
        <v>-50000</v>
      </c>
      <c r="V42" s="646"/>
      <c r="W42" s="647">
        <f t="shared" si="11"/>
        <v>0</v>
      </c>
      <c r="X42" s="648"/>
      <c r="Y42" s="647"/>
      <c r="Z42" s="631">
        <f>'①Tidak termasuk VAT TAX'!AJ42*10%</f>
        <v>1132649.7897637035</v>
      </c>
      <c r="AA42" s="648"/>
      <c r="AB42" s="649">
        <f t="shared" si="16"/>
        <v>1132649.7897637035</v>
      </c>
      <c r="AC42" s="633">
        <f t="shared" si="8"/>
        <v>1082649.7897637035</v>
      </c>
      <c r="AD42" s="634">
        <f t="shared" si="21"/>
        <v>-7704044.4831079394</v>
      </c>
      <c r="AE42" s="634">
        <f t="shared" si="24"/>
        <v>1082649.7897637035</v>
      </c>
      <c r="AF42" s="634">
        <f t="shared" si="17"/>
        <v>1082649.7897637035</v>
      </c>
      <c r="AG42" s="634">
        <f t="shared" si="19"/>
        <v>949489.74802833213</v>
      </c>
      <c r="AH42" s="635">
        <f t="shared" si="20"/>
        <v>949489.74802833213</v>
      </c>
      <c r="AI42" s="633">
        <f t="shared" si="23"/>
        <v>109697.894146723</v>
      </c>
      <c r="AJ42" s="657"/>
      <c r="AK42" s="658"/>
      <c r="AL42" s="647">
        <f t="shared" si="18"/>
        <v>109697.894146723</v>
      </c>
      <c r="AM42" s="653"/>
      <c r="AN42" s="654"/>
      <c r="AO42" s="643"/>
      <c r="AP42" s="643"/>
      <c r="AQ42" s="643"/>
      <c r="AR42" s="643"/>
      <c r="AS42" s="627"/>
      <c r="AT42" s="641"/>
      <c r="AU42" s="642">
        <f t="shared" si="22"/>
        <v>17</v>
      </c>
    </row>
    <row r="43" spans="2:47" s="575" customFormat="1" ht="15.75" customHeight="1">
      <c r="B43" s="622">
        <f t="shared" si="14"/>
        <v>18</v>
      </c>
      <c r="C43" s="623">
        <f t="shared" si="12"/>
        <v>7</v>
      </c>
      <c r="D43" s="624" t="str">
        <f t="shared" si="25"/>
        <v xml:space="preserve">             </v>
      </c>
      <c r="E43" s="646"/>
      <c r="F43" s="647"/>
      <c r="G43" s="648"/>
      <c r="H43" s="647"/>
      <c r="I43" s="648"/>
      <c r="J43" s="647"/>
      <c r="K43" s="648"/>
      <c r="L43" s="647"/>
      <c r="M43" s="648"/>
      <c r="N43" s="648"/>
      <c r="O43" s="648"/>
      <c r="P43" s="648"/>
      <c r="Q43" s="647">
        <f t="shared" si="15"/>
        <v>-50000</v>
      </c>
      <c r="R43" s="648"/>
      <c r="S43" s="648"/>
      <c r="T43" s="648"/>
      <c r="U43" s="649">
        <f t="shared" si="1"/>
        <v>-50000</v>
      </c>
      <c r="V43" s="646"/>
      <c r="W43" s="647">
        <f t="shared" si="11"/>
        <v>0</v>
      </c>
      <c r="X43" s="648"/>
      <c r="Y43" s="647"/>
      <c r="Z43" s="631">
        <f>'①Tidak termasuk VAT TAX'!AJ43*10%</f>
        <v>1132649.7897637035</v>
      </c>
      <c r="AA43" s="648"/>
      <c r="AB43" s="649">
        <f t="shared" si="16"/>
        <v>1132649.7897637035</v>
      </c>
      <c r="AC43" s="633">
        <f t="shared" si="8"/>
        <v>1082649.7897637035</v>
      </c>
      <c r="AD43" s="634">
        <f t="shared" si="21"/>
        <v>-6621394.6933442354</v>
      </c>
      <c r="AE43" s="634">
        <f t="shared" si="24"/>
        <v>1082649.7897637035</v>
      </c>
      <c r="AF43" s="634">
        <f t="shared" si="17"/>
        <v>1082649.7897637035</v>
      </c>
      <c r="AG43" s="634">
        <f t="shared" si="19"/>
        <v>942187.79263540765</v>
      </c>
      <c r="AH43" s="635">
        <f t="shared" si="20"/>
        <v>942187.79263540765</v>
      </c>
      <c r="AI43" s="633">
        <f t="shared" si="23"/>
        <v>109697.894146723</v>
      </c>
      <c r="AJ43" s="657"/>
      <c r="AK43" s="658"/>
      <c r="AL43" s="647">
        <f t="shared" si="18"/>
        <v>109697.894146723</v>
      </c>
      <c r="AM43" s="653"/>
      <c r="AN43" s="654"/>
      <c r="AO43" s="643"/>
      <c r="AP43" s="643"/>
      <c r="AQ43" s="643"/>
      <c r="AR43" s="643"/>
      <c r="AS43" s="627"/>
      <c r="AT43" s="641"/>
      <c r="AU43" s="642">
        <f t="shared" si="22"/>
        <v>18</v>
      </c>
    </row>
    <row r="44" spans="2:47" s="575" customFormat="1" ht="15.75" customHeight="1">
      <c r="B44" s="622">
        <f t="shared" si="14"/>
        <v>19</v>
      </c>
      <c r="C44" s="623">
        <f t="shared" si="12"/>
        <v>8</v>
      </c>
      <c r="D44" s="624" t="str">
        <f t="shared" si="25"/>
        <v xml:space="preserve">             </v>
      </c>
      <c r="E44" s="646"/>
      <c r="F44" s="647"/>
      <c r="G44" s="648"/>
      <c r="H44" s="647"/>
      <c r="I44" s="648"/>
      <c r="J44" s="647"/>
      <c r="K44" s="648"/>
      <c r="L44" s="647"/>
      <c r="M44" s="648"/>
      <c r="N44" s="648"/>
      <c r="O44" s="648"/>
      <c r="P44" s="648"/>
      <c r="Q44" s="647">
        <f t="shared" si="15"/>
        <v>-50000</v>
      </c>
      <c r="R44" s="648"/>
      <c r="S44" s="648"/>
      <c r="T44" s="648"/>
      <c r="U44" s="649">
        <f t="shared" si="1"/>
        <v>-50000</v>
      </c>
      <c r="V44" s="646"/>
      <c r="W44" s="647">
        <f t="shared" si="11"/>
        <v>0</v>
      </c>
      <c r="X44" s="648"/>
      <c r="Y44" s="647"/>
      <c r="Z44" s="631">
        <f>'①Tidak termasuk VAT TAX'!AJ44*10%</f>
        <v>1132649.7897637035</v>
      </c>
      <c r="AA44" s="648"/>
      <c r="AB44" s="649">
        <f t="shared" si="16"/>
        <v>1132649.7897637035</v>
      </c>
      <c r="AC44" s="633">
        <f t="shared" si="8"/>
        <v>1082649.7897637035</v>
      </c>
      <c r="AD44" s="634">
        <f t="shared" si="21"/>
        <v>-5538744.9035805315</v>
      </c>
      <c r="AE44" s="634">
        <f t="shared" si="24"/>
        <v>1082649.7897637035</v>
      </c>
      <c r="AF44" s="634">
        <f t="shared" si="17"/>
        <v>1082649.7897637035</v>
      </c>
      <c r="AG44" s="634">
        <f t="shared" si="19"/>
        <v>934941.99219588959</v>
      </c>
      <c r="AH44" s="635">
        <f t="shared" si="20"/>
        <v>934941.99219588959</v>
      </c>
      <c r="AI44" s="633">
        <f t="shared" si="23"/>
        <v>109697.894146723</v>
      </c>
      <c r="AJ44" s="657"/>
      <c r="AK44" s="658"/>
      <c r="AL44" s="647">
        <f t="shared" si="18"/>
        <v>109697.894146723</v>
      </c>
      <c r="AM44" s="653"/>
      <c r="AN44" s="654"/>
      <c r="AO44" s="643"/>
      <c r="AP44" s="643"/>
      <c r="AQ44" s="643"/>
      <c r="AR44" s="643"/>
      <c r="AS44" s="627"/>
      <c r="AT44" s="641"/>
      <c r="AU44" s="642">
        <f t="shared" si="22"/>
        <v>19</v>
      </c>
    </row>
    <row r="45" spans="2:47" s="575" customFormat="1" ht="15.75" customHeight="1">
      <c r="B45" s="622">
        <f t="shared" si="14"/>
        <v>20</v>
      </c>
      <c r="C45" s="623">
        <f t="shared" si="12"/>
        <v>9</v>
      </c>
      <c r="D45" s="624" t="str">
        <f>IF($C44=12,$D$33+1,"             ")</f>
        <v xml:space="preserve">             </v>
      </c>
      <c r="E45" s="646"/>
      <c r="F45" s="647"/>
      <c r="G45" s="648"/>
      <c r="H45" s="647"/>
      <c r="I45" s="648"/>
      <c r="J45" s="647"/>
      <c r="K45" s="648"/>
      <c r="L45" s="647"/>
      <c r="M45" s="648"/>
      <c r="N45" s="648"/>
      <c r="O45" s="648"/>
      <c r="P45" s="648"/>
      <c r="Q45" s="647">
        <f t="shared" si="15"/>
        <v>-50000</v>
      </c>
      <c r="R45" s="648"/>
      <c r="S45" s="648"/>
      <c r="T45" s="648"/>
      <c r="U45" s="649">
        <f t="shared" si="1"/>
        <v>-50000</v>
      </c>
      <c r="V45" s="646"/>
      <c r="W45" s="647">
        <f t="shared" si="11"/>
        <v>0</v>
      </c>
      <c r="X45" s="648"/>
      <c r="Y45" s="647"/>
      <c r="Z45" s="631">
        <f>'①Tidak termasuk VAT TAX'!AJ45*10%</f>
        <v>1132649.7897637035</v>
      </c>
      <c r="AA45" s="648"/>
      <c r="AB45" s="649">
        <f t="shared" si="16"/>
        <v>1132649.7897637035</v>
      </c>
      <c r="AC45" s="633">
        <f t="shared" si="8"/>
        <v>1082649.7897637035</v>
      </c>
      <c r="AD45" s="634">
        <f t="shared" si="21"/>
        <v>-4456095.1138168275</v>
      </c>
      <c r="AE45" s="634">
        <f t="shared" si="24"/>
        <v>1082649.7897637035</v>
      </c>
      <c r="AF45" s="634">
        <f t="shared" si="17"/>
        <v>1082649.7897637035</v>
      </c>
      <c r="AG45" s="634">
        <f t="shared" si="19"/>
        <v>927751.91485575761</v>
      </c>
      <c r="AH45" s="635">
        <f t="shared" si="20"/>
        <v>927751.91485575761</v>
      </c>
      <c r="AI45" s="633">
        <f t="shared" si="23"/>
        <v>109697.894146723</v>
      </c>
      <c r="AJ45" s="657"/>
      <c r="AK45" s="658"/>
      <c r="AL45" s="647">
        <f t="shared" si="18"/>
        <v>109697.894146723</v>
      </c>
      <c r="AM45" s="653"/>
      <c r="AN45" s="654"/>
      <c r="AO45" s="643"/>
      <c r="AP45" s="643"/>
      <c r="AQ45" s="643"/>
      <c r="AR45" s="643"/>
      <c r="AS45" s="627"/>
      <c r="AT45" s="641"/>
      <c r="AU45" s="642">
        <f t="shared" si="22"/>
        <v>20</v>
      </c>
    </row>
    <row r="46" spans="2:47" s="575" customFormat="1" ht="15.75" customHeight="1">
      <c r="B46" s="622">
        <f t="shared" si="14"/>
        <v>21</v>
      </c>
      <c r="C46" s="623">
        <f t="shared" si="12"/>
        <v>10</v>
      </c>
      <c r="D46" s="624" t="str">
        <f t="shared" si="25"/>
        <v xml:space="preserve">             </v>
      </c>
      <c r="E46" s="646"/>
      <c r="F46" s="647"/>
      <c r="G46" s="648"/>
      <c r="H46" s="647"/>
      <c r="I46" s="648"/>
      <c r="J46" s="647"/>
      <c r="K46" s="648"/>
      <c r="L46" s="647"/>
      <c r="M46" s="648"/>
      <c r="N46" s="648"/>
      <c r="O46" s="648"/>
      <c r="P46" s="648"/>
      <c r="Q46" s="647">
        <f t="shared" si="15"/>
        <v>-50000</v>
      </c>
      <c r="R46" s="648"/>
      <c r="S46" s="648"/>
      <c r="T46" s="648"/>
      <c r="U46" s="649">
        <f t="shared" si="1"/>
        <v>-50000</v>
      </c>
      <c r="V46" s="646"/>
      <c r="W46" s="647">
        <f t="shared" si="11"/>
        <v>0</v>
      </c>
      <c r="X46" s="648"/>
      <c r="Y46" s="647"/>
      <c r="Z46" s="631">
        <f>'①Tidak termasuk VAT TAX'!AJ46*10%</f>
        <v>1132649.7897637035</v>
      </c>
      <c r="AA46" s="648"/>
      <c r="AB46" s="649">
        <f t="shared" si="16"/>
        <v>1132649.7897637035</v>
      </c>
      <c r="AC46" s="633">
        <f t="shared" si="8"/>
        <v>1082649.7897637035</v>
      </c>
      <c r="AD46" s="634">
        <f t="shared" si="21"/>
        <v>-3373445.3240531241</v>
      </c>
      <c r="AE46" s="634">
        <f t="shared" si="24"/>
        <v>1082649.7897637035</v>
      </c>
      <c r="AF46" s="634">
        <f t="shared" si="17"/>
        <v>1082649.7897637035</v>
      </c>
      <c r="AG46" s="634">
        <f t="shared" si="19"/>
        <v>920617.13208212121</v>
      </c>
      <c r="AH46" s="635">
        <f t="shared" si="20"/>
        <v>920617.13208212121</v>
      </c>
      <c r="AI46" s="633">
        <f t="shared" si="23"/>
        <v>109697.894146723</v>
      </c>
      <c r="AJ46" s="657"/>
      <c r="AK46" s="658"/>
      <c r="AL46" s="647">
        <f t="shared" si="18"/>
        <v>109697.894146723</v>
      </c>
      <c r="AM46" s="653"/>
      <c r="AN46" s="654"/>
      <c r="AO46" s="643"/>
      <c r="AP46" s="643"/>
      <c r="AQ46" s="643"/>
      <c r="AR46" s="643"/>
      <c r="AS46" s="627"/>
      <c r="AT46" s="641"/>
      <c r="AU46" s="642">
        <f t="shared" si="22"/>
        <v>21</v>
      </c>
    </row>
    <row r="47" spans="2:47" s="575" customFormat="1" ht="15.75" customHeight="1">
      <c r="B47" s="622">
        <f t="shared" si="14"/>
        <v>22</v>
      </c>
      <c r="C47" s="623">
        <f t="shared" si="12"/>
        <v>11</v>
      </c>
      <c r="D47" s="624" t="str">
        <f t="shared" si="25"/>
        <v xml:space="preserve">             </v>
      </c>
      <c r="E47" s="646"/>
      <c r="F47" s="647"/>
      <c r="G47" s="648"/>
      <c r="H47" s="647"/>
      <c r="I47" s="648"/>
      <c r="J47" s="647"/>
      <c r="K47" s="648"/>
      <c r="L47" s="647"/>
      <c r="M47" s="648"/>
      <c r="N47" s="648"/>
      <c r="O47" s="648"/>
      <c r="P47" s="648"/>
      <c r="Q47" s="647">
        <f t="shared" si="15"/>
        <v>-50000</v>
      </c>
      <c r="R47" s="648"/>
      <c r="S47" s="648"/>
      <c r="T47" s="648"/>
      <c r="U47" s="649">
        <f t="shared" si="1"/>
        <v>-50000</v>
      </c>
      <c r="V47" s="646"/>
      <c r="W47" s="647">
        <f t="shared" si="11"/>
        <v>0</v>
      </c>
      <c r="X47" s="648"/>
      <c r="Y47" s="647"/>
      <c r="Z47" s="631">
        <f>'①Tidak termasuk VAT TAX'!AJ47*10%</f>
        <v>1132649.7897637035</v>
      </c>
      <c r="AA47" s="648"/>
      <c r="AB47" s="649">
        <f t="shared" si="16"/>
        <v>1132649.7897637035</v>
      </c>
      <c r="AC47" s="633">
        <f t="shared" si="8"/>
        <v>1082649.7897637035</v>
      </c>
      <c r="AD47" s="634">
        <f t="shared" si="21"/>
        <v>-2290795.5342894206</v>
      </c>
      <c r="AE47" s="634">
        <f t="shared" si="24"/>
        <v>1082649.7897637035</v>
      </c>
      <c r="AF47" s="634">
        <f t="shared" si="17"/>
        <v>1082649.7897637035</v>
      </c>
      <c r="AG47" s="634">
        <f t="shared" si="19"/>
        <v>913537.21863767912</v>
      </c>
      <c r="AH47" s="635">
        <f t="shared" si="20"/>
        <v>913537.21863767912</v>
      </c>
      <c r="AI47" s="633">
        <f t="shared" si="23"/>
        <v>109697.894146723</v>
      </c>
      <c r="AJ47" s="657"/>
      <c r="AK47" s="658"/>
      <c r="AL47" s="647">
        <f t="shared" si="18"/>
        <v>109697.894146723</v>
      </c>
      <c r="AM47" s="653"/>
      <c r="AN47" s="654"/>
      <c r="AO47" s="643"/>
      <c r="AP47" s="643"/>
      <c r="AQ47" s="643"/>
      <c r="AR47" s="643"/>
      <c r="AS47" s="627"/>
      <c r="AT47" s="641"/>
      <c r="AU47" s="642">
        <f t="shared" si="22"/>
        <v>22</v>
      </c>
    </row>
    <row r="48" spans="2:47" s="575" customFormat="1" ht="15.75" customHeight="1">
      <c r="B48" s="622">
        <f t="shared" si="14"/>
        <v>23</v>
      </c>
      <c r="C48" s="623">
        <f t="shared" si="12"/>
        <v>12</v>
      </c>
      <c r="D48" s="624" t="str">
        <f t="shared" si="25"/>
        <v xml:space="preserve">             </v>
      </c>
      <c r="E48" s="646"/>
      <c r="F48" s="647"/>
      <c r="G48" s="648"/>
      <c r="H48" s="647"/>
      <c r="I48" s="648"/>
      <c r="J48" s="647"/>
      <c r="K48" s="648"/>
      <c r="L48" s="647"/>
      <c r="M48" s="648"/>
      <c r="N48" s="648"/>
      <c r="O48" s="648"/>
      <c r="P48" s="648"/>
      <c r="Q48" s="647">
        <f t="shared" si="15"/>
        <v>-50000</v>
      </c>
      <c r="R48" s="648"/>
      <c r="S48" s="648"/>
      <c r="T48" s="648"/>
      <c r="U48" s="649">
        <f t="shared" si="1"/>
        <v>-50000</v>
      </c>
      <c r="V48" s="646"/>
      <c r="W48" s="647">
        <f t="shared" si="11"/>
        <v>0</v>
      </c>
      <c r="X48" s="648"/>
      <c r="Y48" s="647"/>
      <c r="Z48" s="631">
        <f>'①Tidak termasuk VAT TAX'!AJ48*10%</f>
        <v>1132649.7897637035</v>
      </c>
      <c r="AA48" s="648"/>
      <c r="AB48" s="649">
        <f t="shared" si="16"/>
        <v>1132649.7897637035</v>
      </c>
      <c r="AC48" s="633">
        <f t="shared" si="8"/>
        <v>1082649.7897637035</v>
      </c>
      <c r="AD48" s="634">
        <f t="shared" si="21"/>
        <v>-1208145.7445257171</v>
      </c>
      <c r="AE48" s="634">
        <f t="shared" si="24"/>
        <v>1082649.7897637035</v>
      </c>
      <c r="AF48" s="634">
        <f t="shared" si="17"/>
        <v>1082649.7897637035</v>
      </c>
      <c r="AG48" s="634">
        <f t="shared" si="19"/>
        <v>906511.7525553751</v>
      </c>
      <c r="AH48" s="635">
        <f t="shared" si="20"/>
        <v>906511.7525553751</v>
      </c>
      <c r="AI48" s="633">
        <f t="shared" si="23"/>
        <v>109697.894146723</v>
      </c>
      <c r="AJ48" s="657"/>
      <c r="AK48" s="658"/>
      <c r="AL48" s="647">
        <f t="shared" si="18"/>
        <v>109697.894146723</v>
      </c>
      <c r="AM48" s="653"/>
      <c r="AN48" s="654"/>
      <c r="AO48" s="643"/>
      <c r="AP48" s="643"/>
      <c r="AQ48" s="643"/>
      <c r="AR48" s="643"/>
      <c r="AS48" s="627"/>
      <c r="AT48" s="641"/>
      <c r="AU48" s="642">
        <f t="shared" si="22"/>
        <v>23</v>
      </c>
    </row>
    <row r="49" spans="2:47" s="575" customFormat="1" ht="15.75" customHeight="1">
      <c r="B49" s="622">
        <f t="shared" si="14"/>
        <v>24</v>
      </c>
      <c r="C49" s="623">
        <f t="shared" si="12"/>
        <v>1</v>
      </c>
      <c r="D49" s="624">
        <f t="shared" si="25"/>
        <v>2020</v>
      </c>
      <c r="E49" s="646"/>
      <c r="F49" s="647"/>
      <c r="G49" s="648"/>
      <c r="H49" s="647"/>
      <c r="I49" s="648"/>
      <c r="J49" s="647"/>
      <c r="K49" s="648"/>
      <c r="L49" s="647"/>
      <c r="M49" s="656"/>
      <c r="N49" s="648"/>
      <c r="O49" s="648"/>
      <c r="P49" s="648"/>
      <c r="Q49" s="647">
        <f t="shared" si="15"/>
        <v>-50000</v>
      </c>
      <c r="R49" s="648"/>
      <c r="S49" s="648"/>
      <c r="T49" s="648"/>
      <c r="U49" s="649">
        <f t="shared" si="1"/>
        <v>-50000</v>
      </c>
      <c r="V49" s="646"/>
      <c r="W49" s="647">
        <f t="shared" si="11"/>
        <v>0</v>
      </c>
      <c r="X49" s="648"/>
      <c r="Y49" s="647"/>
      <c r="Z49" s="631">
        <f>'①Tidak termasuk VAT TAX'!AJ49*10%</f>
        <v>1132649.7897637035</v>
      </c>
      <c r="AA49" s="648"/>
      <c r="AB49" s="649">
        <f t="shared" si="16"/>
        <v>1132649.7897637035</v>
      </c>
      <c r="AC49" s="633">
        <f t="shared" si="8"/>
        <v>1082649.7897637035</v>
      </c>
      <c r="AD49" s="634">
        <f t="shared" si="21"/>
        <v>-125495.95476201363</v>
      </c>
      <c r="AE49" s="634">
        <f t="shared" si="24"/>
        <v>1082649.7897637035</v>
      </c>
      <c r="AF49" s="634">
        <f t="shared" si="17"/>
        <v>1082649.7897637035</v>
      </c>
      <c r="AG49" s="634">
        <f t="shared" si="19"/>
        <v>899540.31511324761</v>
      </c>
      <c r="AH49" s="635">
        <f t="shared" si="20"/>
        <v>899540.31511324761</v>
      </c>
      <c r="AI49" s="633">
        <f t="shared" si="23"/>
        <v>109697.894146723</v>
      </c>
      <c r="AJ49" s="657"/>
      <c r="AK49" s="658"/>
      <c r="AL49" s="647">
        <f t="shared" si="18"/>
        <v>109697.894146723</v>
      </c>
      <c r="AM49" s="653"/>
      <c r="AN49" s="654"/>
      <c r="AO49" s="643"/>
      <c r="AP49" s="643"/>
      <c r="AQ49" s="643"/>
      <c r="AR49" s="643"/>
      <c r="AS49" s="627"/>
      <c r="AT49" s="641"/>
      <c r="AU49" s="642">
        <f t="shared" si="22"/>
        <v>24</v>
      </c>
    </row>
    <row r="50" spans="2:47" s="575" customFormat="1" ht="15.75" customHeight="1">
      <c r="B50" s="622">
        <f t="shared" si="14"/>
        <v>25</v>
      </c>
      <c r="C50" s="623">
        <f t="shared" si="12"/>
        <v>2</v>
      </c>
      <c r="D50" s="624" t="str">
        <f>IF($C49=12,$D$49+1,"             ")</f>
        <v xml:space="preserve">             </v>
      </c>
      <c r="E50" s="646"/>
      <c r="F50" s="647"/>
      <c r="G50" s="648"/>
      <c r="H50" s="647"/>
      <c r="I50" s="648"/>
      <c r="J50" s="647"/>
      <c r="K50" s="648"/>
      <c r="L50" s="647"/>
      <c r="M50" s="648"/>
      <c r="N50" s="648"/>
      <c r="O50" s="648"/>
      <c r="P50" s="648"/>
      <c r="Q50" s="647">
        <f t="shared" si="15"/>
        <v>0</v>
      </c>
      <c r="R50" s="648"/>
      <c r="S50" s="648"/>
      <c r="T50" s="648"/>
      <c r="U50" s="649">
        <f t="shared" si="1"/>
        <v>0</v>
      </c>
      <c r="V50" s="646"/>
      <c r="W50" s="647">
        <f t="shared" si="11"/>
        <v>13492363.636363655</v>
      </c>
      <c r="X50" s="648"/>
      <c r="Y50" s="647"/>
      <c r="Z50" s="631">
        <f>'①Tidak termasuk VAT TAX'!AJ50*10%</f>
        <v>0</v>
      </c>
      <c r="AA50" s="648"/>
      <c r="AB50" s="649">
        <f t="shared" si="16"/>
        <v>13492363.636363655</v>
      </c>
      <c r="AC50" s="633">
        <f t="shared" si="8"/>
        <v>13492363.636363655</v>
      </c>
      <c r="AD50" s="634">
        <f t="shared" si="21"/>
        <v>13366867.681601642</v>
      </c>
      <c r="AE50" s="634">
        <f t="shared" si="24"/>
        <v>125495.95476201363</v>
      </c>
      <c r="AF50" s="634">
        <f t="shared" si="17"/>
        <v>0</v>
      </c>
      <c r="AG50" s="634">
        <f t="shared" si="19"/>
        <v>103468.83432234447</v>
      </c>
      <c r="AH50" s="635">
        <f t="shared" si="20"/>
        <v>103468.83432234447</v>
      </c>
      <c r="AI50" s="633">
        <f t="shared" si="23"/>
        <v>0</v>
      </c>
      <c r="AJ50" s="657"/>
      <c r="AK50" s="658"/>
      <c r="AL50" s="647">
        <f t="shared" si="18"/>
        <v>0</v>
      </c>
      <c r="AM50" s="653"/>
      <c r="AN50" s="654"/>
      <c r="AO50" s="643"/>
      <c r="AP50" s="643"/>
      <c r="AQ50" s="643"/>
      <c r="AR50" s="643"/>
      <c r="AS50" s="627"/>
      <c r="AT50" s="641"/>
      <c r="AU50" s="642">
        <f t="shared" si="22"/>
        <v>25</v>
      </c>
    </row>
    <row r="51" spans="2:47" s="575" customFormat="1" ht="15.75" customHeight="1">
      <c r="B51" s="622">
        <f t="shared" si="14"/>
        <v>26</v>
      </c>
      <c r="C51" s="623">
        <f t="shared" si="12"/>
        <v>3</v>
      </c>
      <c r="D51" s="624" t="str">
        <f t="shared" ref="D51:D61" si="26">IF($C50=12,$D$49+1,"             ")</f>
        <v xml:space="preserve">             </v>
      </c>
      <c r="E51" s="646"/>
      <c r="F51" s="647"/>
      <c r="G51" s="648"/>
      <c r="H51" s="647"/>
      <c r="I51" s="648"/>
      <c r="J51" s="647"/>
      <c r="K51" s="648"/>
      <c r="L51" s="647"/>
      <c r="M51" s="648"/>
      <c r="N51" s="648"/>
      <c r="O51" s="648"/>
      <c r="P51" s="648"/>
      <c r="Q51" s="647">
        <f t="shared" si="15"/>
        <v>0</v>
      </c>
      <c r="R51" s="648"/>
      <c r="S51" s="648"/>
      <c r="T51" s="648"/>
      <c r="U51" s="649">
        <f t="shared" si="1"/>
        <v>0</v>
      </c>
      <c r="V51" s="646"/>
      <c r="W51" s="647">
        <f t="shared" si="11"/>
        <v>0</v>
      </c>
      <c r="X51" s="648"/>
      <c r="Y51" s="647"/>
      <c r="Z51" s="631">
        <f>'①Tidak termasuk VAT TAX'!AJ51*10%</f>
        <v>0</v>
      </c>
      <c r="AA51" s="648"/>
      <c r="AB51" s="649">
        <f t="shared" si="16"/>
        <v>0</v>
      </c>
      <c r="AC51" s="633">
        <f t="shared" si="8"/>
        <v>0</v>
      </c>
      <c r="AD51" s="634">
        <f t="shared" si="21"/>
        <v>13366867.681601642</v>
      </c>
      <c r="AE51" s="634">
        <f t="shared" si="24"/>
        <v>-13366867.681601642</v>
      </c>
      <c r="AF51" s="634">
        <f t="shared" si="17"/>
        <v>0</v>
      </c>
      <c r="AG51" s="634">
        <f t="shared" si="19"/>
        <v>-10935953.918416766</v>
      </c>
      <c r="AH51" s="635">
        <f t="shared" si="20"/>
        <v>0</v>
      </c>
      <c r="AI51" s="633">
        <f t="shared" si="23"/>
        <v>0</v>
      </c>
      <c r="AJ51" s="657"/>
      <c r="AK51" s="658"/>
      <c r="AL51" s="647">
        <f t="shared" si="18"/>
        <v>0</v>
      </c>
      <c r="AM51" s="653"/>
      <c r="AN51" s="654"/>
      <c r="AO51" s="643"/>
      <c r="AP51" s="643"/>
      <c r="AQ51" s="643"/>
      <c r="AR51" s="643"/>
      <c r="AS51" s="627"/>
      <c r="AT51" s="641"/>
      <c r="AU51" s="642">
        <f t="shared" si="22"/>
        <v>26</v>
      </c>
    </row>
    <row r="52" spans="2:47" s="575" customFormat="1" ht="15.75" customHeight="1">
      <c r="B52" s="622">
        <f t="shared" si="14"/>
        <v>27</v>
      </c>
      <c r="C52" s="623">
        <f t="shared" si="12"/>
        <v>4</v>
      </c>
      <c r="D52" s="624" t="str">
        <f t="shared" si="26"/>
        <v xml:space="preserve">             </v>
      </c>
      <c r="E52" s="646"/>
      <c r="F52" s="647"/>
      <c r="G52" s="648"/>
      <c r="H52" s="647"/>
      <c r="I52" s="648"/>
      <c r="J52" s="647"/>
      <c r="K52" s="648"/>
      <c r="L52" s="647"/>
      <c r="M52" s="648"/>
      <c r="N52" s="648"/>
      <c r="O52" s="648"/>
      <c r="P52" s="648"/>
      <c r="Q52" s="647">
        <f t="shared" si="15"/>
        <v>0</v>
      </c>
      <c r="R52" s="648"/>
      <c r="S52" s="648"/>
      <c r="T52" s="648"/>
      <c r="U52" s="649">
        <f t="shared" si="1"/>
        <v>0</v>
      </c>
      <c r="V52" s="646"/>
      <c r="W52" s="647">
        <f t="shared" si="11"/>
        <v>0</v>
      </c>
      <c r="X52" s="648"/>
      <c r="Y52" s="647"/>
      <c r="Z52" s="631">
        <f>'①Tidak termasuk VAT TAX'!AJ52*10%</f>
        <v>0</v>
      </c>
      <c r="AA52" s="648"/>
      <c r="AB52" s="649">
        <f t="shared" si="16"/>
        <v>0</v>
      </c>
      <c r="AC52" s="633">
        <f t="shared" si="8"/>
        <v>0</v>
      </c>
      <c r="AD52" s="634">
        <f t="shared" si="21"/>
        <v>13366867.681601642</v>
      </c>
      <c r="AE52" s="634">
        <f t="shared" si="24"/>
        <v>-13366867.681601642</v>
      </c>
      <c r="AF52" s="634">
        <f t="shared" si="17"/>
        <v>0</v>
      </c>
      <c r="AG52" s="634">
        <f t="shared" si="19"/>
        <v>-10851852.064913688</v>
      </c>
      <c r="AH52" s="635">
        <f t="shared" si="20"/>
        <v>0</v>
      </c>
      <c r="AI52" s="633">
        <f t="shared" si="23"/>
        <v>0</v>
      </c>
      <c r="AJ52" s="657"/>
      <c r="AK52" s="658"/>
      <c r="AL52" s="647">
        <f t="shared" si="18"/>
        <v>0</v>
      </c>
      <c r="AM52" s="653"/>
      <c r="AN52" s="654"/>
      <c r="AO52" s="643"/>
      <c r="AP52" s="643"/>
      <c r="AQ52" s="643"/>
      <c r="AR52" s="643"/>
      <c r="AS52" s="627"/>
      <c r="AT52" s="641"/>
      <c r="AU52" s="642">
        <f t="shared" si="22"/>
        <v>27</v>
      </c>
    </row>
    <row r="53" spans="2:47" s="575" customFormat="1" ht="15.75" customHeight="1">
      <c r="B53" s="622">
        <f t="shared" si="14"/>
        <v>28</v>
      </c>
      <c r="C53" s="623">
        <f t="shared" si="12"/>
        <v>5</v>
      </c>
      <c r="D53" s="624" t="str">
        <f t="shared" si="26"/>
        <v xml:space="preserve">             </v>
      </c>
      <c r="E53" s="646"/>
      <c r="F53" s="647"/>
      <c r="G53" s="648"/>
      <c r="H53" s="647"/>
      <c r="I53" s="648"/>
      <c r="J53" s="647"/>
      <c r="K53" s="648"/>
      <c r="L53" s="647"/>
      <c r="M53" s="648"/>
      <c r="N53" s="648"/>
      <c r="O53" s="648"/>
      <c r="P53" s="648"/>
      <c r="Q53" s="647">
        <f t="shared" si="15"/>
        <v>0</v>
      </c>
      <c r="R53" s="648"/>
      <c r="S53" s="648"/>
      <c r="T53" s="648"/>
      <c r="U53" s="649">
        <f t="shared" si="1"/>
        <v>0</v>
      </c>
      <c r="V53" s="646"/>
      <c r="W53" s="647">
        <f t="shared" si="11"/>
        <v>0</v>
      </c>
      <c r="X53" s="648"/>
      <c r="Y53" s="647"/>
      <c r="Z53" s="631">
        <f>'①Tidak termasuk VAT TAX'!AJ53*10%</f>
        <v>0</v>
      </c>
      <c r="AA53" s="648"/>
      <c r="AB53" s="649">
        <f t="shared" si="16"/>
        <v>0</v>
      </c>
      <c r="AC53" s="633">
        <f t="shared" si="8"/>
        <v>0</v>
      </c>
      <c r="AD53" s="634">
        <f t="shared" si="21"/>
        <v>13366867.681601642</v>
      </c>
      <c r="AE53" s="634">
        <f t="shared" si="24"/>
        <v>-13366867.681601642</v>
      </c>
      <c r="AF53" s="634">
        <f t="shared" si="17"/>
        <v>0</v>
      </c>
      <c r="AG53" s="634">
        <f t="shared" si="19"/>
        <v>-10768396.988254717</v>
      </c>
      <c r="AH53" s="635">
        <f t="shared" si="20"/>
        <v>0</v>
      </c>
      <c r="AI53" s="633">
        <f t="shared" si="23"/>
        <v>0</v>
      </c>
      <c r="AJ53" s="657"/>
      <c r="AK53" s="658"/>
      <c r="AL53" s="647">
        <f t="shared" si="18"/>
        <v>0</v>
      </c>
      <c r="AM53" s="653"/>
      <c r="AN53" s="654"/>
      <c r="AO53" s="643"/>
      <c r="AP53" s="643"/>
      <c r="AQ53" s="643"/>
      <c r="AR53" s="643"/>
      <c r="AS53" s="627"/>
      <c r="AT53" s="641"/>
      <c r="AU53" s="642">
        <f t="shared" si="22"/>
        <v>28</v>
      </c>
    </row>
    <row r="54" spans="2:47" s="575" customFormat="1" ht="15.75" customHeight="1">
      <c r="B54" s="622">
        <f t="shared" si="14"/>
        <v>29</v>
      </c>
      <c r="C54" s="623">
        <f t="shared" si="12"/>
        <v>6</v>
      </c>
      <c r="D54" s="624" t="str">
        <f t="shared" si="26"/>
        <v xml:space="preserve">             </v>
      </c>
      <c r="E54" s="646"/>
      <c r="F54" s="647"/>
      <c r="G54" s="648"/>
      <c r="H54" s="647"/>
      <c r="I54" s="648"/>
      <c r="J54" s="647"/>
      <c r="K54" s="648"/>
      <c r="L54" s="647"/>
      <c r="M54" s="648"/>
      <c r="N54" s="648"/>
      <c r="O54" s="648"/>
      <c r="P54" s="648"/>
      <c r="Q54" s="647">
        <f t="shared" si="15"/>
        <v>0</v>
      </c>
      <c r="R54" s="648"/>
      <c r="S54" s="648"/>
      <c r="T54" s="648"/>
      <c r="U54" s="649">
        <f t="shared" ref="U54:U85" si="27">SUM(E54:T54)</f>
        <v>0</v>
      </c>
      <c r="V54" s="646"/>
      <c r="W54" s="647">
        <f t="shared" si="11"/>
        <v>0</v>
      </c>
      <c r="X54" s="648"/>
      <c r="Y54" s="647"/>
      <c r="Z54" s="631">
        <f>'①Tidak termasuk VAT TAX'!AJ54*10%</f>
        <v>0</v>
      </c>
      <c r="AA54" s="648"/>
      <c r="AB54" s="649">
        <f t="shared" si="16"/>
        <v>0</v>
      </c>
      <c r="AC54" s="633">
        <f t="shared" si="8"/>
        <v>0</v>
      </c>
      <c r="AD54" s="634">
        <f t="shared" si="21"/>
        <v>13366867.681601642</v>
      </c>
      <c r="AE54" s="634">
        <f t="shared" si="24"/>
        <v>-13366867.681601642</v>
      </c>
      <c r="AF54" s="634">
        <f t="shared" si="17"/>
        <v>0</v>
      </c>
      <c r="AG54" s="634">
        <f t="shared" si="19"/>
        <v>-10685583.714467591</v>
      </c>
      <c r="AH54" s="635">
        <f t="shared" si="20"/>
        <v>0</v>
      </c>
      <c r="AI54" s="633">
        <f t="shared" si="23"/>
        <v>0</v>
      </c>
      <c r="AJ54" s="657"/>
      <c r="AK54" s="658"/>
      <c r="AL54" s="647">
        <f t="shared" si="18"/>
        <v>0</v>
      </c>
      <c r="AM54" s="653"/>
      <c r="AN54" s="654"/>
      <c r="AO54" s="643"/>
      <c r="AP54" s="643"/>
      <c r="AQ54" s="643"/>
      <c r="AR54" s="643"/>
      <c r="AS54" s="627"/>
      <c r="AT54" s="641"/>
      <c r="AU54" s="642">
        <f t="shared" si="22"/>
        <v>29</v>
      </c>
    </row>
    <row r="55" spans="2:47" s="575" customFormat="1" ht="15.75" customHeight="1">
      <c r="B55" s="622">
        <f t="shared" si="14"/>
        <v>30</v>
      </c>
      <c r="C55" s="623">
        <f t="shared" si="12"/>
        <v>7</v>
      </c>
      <c r="D55" s="624" t="str">
        <f t="shared" si="26"/>
        <v xml:space="preserve">             </v>
      </c>
      <c r="E55" s="646"/>
      <c r="F55" s="647"/>
      <c r="G55" s="648"/>
      <c r="H55" s="647"/>
      <c r="I55" s="648"/>
      <c r="J55" s="647"/>
      <c r="K55" s="648"/>
      <c r="L55" s="647"/>
      <c r="M55" s="648"/>
      <c r="N55" s="648"/>
      <c r="O55" s="648"/>
      <c r="P55" s="648"/>
      <c r="Q55" s="647">
        <f t="shared" si="15"/>
        <v>0</v>
      </c>
      <c r="R55" s="648"/>
      <c r="S55" s="648"/>
      <c r="T55" s="648"/>
      <c r="U55" s="649">
        <f t="shared" si="27"/>
        <v>0</v>
      </c>
      <c r="V55" s="646"/>
      <c r="W55" s="647">
        <f t="shared" si="11"/>
        <v>0</v>
      </c>
      <c r="X55" s="648"/>
      <c r="Y55" s="647"/>
      <c r="Z55" s="631">
        <f>'①Tidak termasuk VAT TAX'!AJ55*10%</f>
        <v>0</v>
      </c>
      <c r="AA55" s="648"/>
      <c r="AB55" s="649">
        <f t="shared" si="16"/>
        <v>0</v>
      </c>
      <c r="AC55" s="633">
        <f t="shared" si="8"/>
        <v>0</v>
      </c>
      <c r="AD55" s="634">
        <f t="shared" si="21"/>
        <v>13366867.681601642</v>
      </c>
      <c r="AE55" s="634">
        <f t="shared" si="24"/>
        <v>-13366867.681601642</v>
      </c>
      <c r="AF55" s="634">
        <f t="shared" si="17"/>
        <v>0</v>
      </c>
      <c r="AG55" s="634">
        <f t="shared" si="19"/>
        <v>-10603407.307831895</v>
      </c>
      <c r="AH55" s="635">
        <f t="shared" si="20"/>
        <v>0</v>
      </c>
      <c r="AI55" s="633">
        <f t="shared" si="23"/>
        <v>0</v>
      </c>
      <c r="AJ55" s="657"/>
      <c r="AK55" s="658"/>
      <c r="AL55" s="647">
        <f t="shared" si="18"/>
        <v>0</v>
      </c>
      <c r="AM55" s="653"/>
      <c r="AN55" s="654"/>
      <c r="AO55" s="643"/>
      <c r="AP55" s="643"/>
      <c r="AQ55" s="643"/>
      <c r="AR55" s="643"/>
      <c r="AS55" s="627"/>
      <c r="AT55" s="641"/>
      <c r="AU55" s="642">
        <f t="shared" si="22"/>
        <v>30</v>
      </c>
    </row>
    <row r="56" spans="2:47" s="575" customFormat="1" ht="15.75" customHeight="1">
      <c r="B56" s="622">
        <f t="shared" si="14"/>
        <v>31</v>
      </c>
      <c r="C56" s="623">
        <f t="shared" si="12"/>
        <v>8</v>
      </c>
      <c r="D56" s="624" t="str">
        <f t="shared" si="26"/>
        <v xml:space="preserve">             </v>
      </c>
      <c r="E56" s="646"/>
      <c r="F56" s="647"/>
      <c r="G56" s="648"/>
      <c r="H56" s="647"/>
      <c r="I56" s="648"/>
      <c r="J56" s="647"/>
      <c r="K56" s="648"/>
      <c r="L56" s="647"/>
      <c r="M56" s="648"/>
      <c r="N56" s="648"/>
      <c r="O56" s="648"/>
      <c r="P56" s="648"/>
      <c r="Q56" s="647">
        <f t="shared" si="15"/>
        <v>0</v>
      </c>
      <c r="R56" s="648"/>
      <c r="S56" s="648"/>
      <c r="T56" s="648"/>
      <c r="U56" s="649">
        <f t="shared" si="27"/>
        <v>0</v>
      </c>
      <c r="V56" s="646"/>
      <c r="W56" s="647">
        <f t="shared" si="11"/>
        <v>0</v>
      </c>
      <c r="X56" s="648"/>
      <c r="Y56" s="647"/>
      <c r="Z56" s="631">
        <f>'①Tidak termasuk VAT TAX'!AJ56*10%</f>
        <v>0</v>
      </c>
      <c r="AA56" s="648"/>
      <c r="AB56" s="649">
        <f t="shared" si="16"/>
        <v>0</v>
      </c>
      <c r="AC56" s="633">
        <f t="shared" si="8"/>
        <v>0</v>
      </c>
      <c r="AD56" s="634">
        <f t="shared" si="21"/>
        <v>13366867.681601642</v>
      </c>
      <c r="AE56" s="634">
        <f t="shared" si="24"/>
        <v>-13366867.681601642</v>
      </c>
      <c r="AF56" s="634">
        <f t="shared" si="17"/>
        <v>0</v>
      </c>
      <c r="AG56" s="634">
        <f t="shared" si="19"/>
        <v>-10521862.870584864</v>
      </c>
      <c r="AH56" s="635">
        <f t="shared" si="20"/>
        <v>0</v>
      </c>
      <c r="AI56" s="633">
        <f t="shared" si="23"/>
        <v>0</v>
      </c>
      <c r="AJ56" s="657"/>
      <c r="AK56" s="658"/>
      <c r="AL56" s="647">
        <f t="shared" si="18"/>
        <v>0</v>
      </c>
      <c r="AM56" s="653"/>
      <c r="AN56" s="654"/>
      <c r="AO56" s="643"/>
      <c r="AP56" s="643"/>
      <c r="AQ56" s="643"/>
      <c r="AR56" s="643"/>
      <c r="AS56" s="627"/>
      <c r="AT56" s="641"/>
      <c r="AU56" s="642">
        <f t="shared" si="22"/>
        <v>31</v>
      </c>
    </row>
    <row r="57" spans="2:47" s="575" customFormat="1" ht="15.75" customHeight="1">
      <c r="B57" s="622">
        <f t="shared" si="14"/>
        <v>32</v>
      </c>
      <c r="C57" s="623">
        <f t="shared" si="12"/>
        <v>9</v>
      </c>
      <c r="D57" s="624" t="str">
        <f>IF($C56=12,$D$45+1,"             ")</f>
        <v xml:space="preserve">             </v>
      </c>
      <c r="E57" s="646"/>
      <c r="F57" s="647"/>
      <c r="G57" s="648"/>
      <c r="H57" s="647"/>
      <c r="I57" s="648"/>
      <c r="J57" s="647"/>
      <c r="K57" s="648"/>
      <c r="L57" s="647"/>
      <c r="M57" s="648"/>
      <c r="N57" s="648"/>
      <c r="O57" s="648"/>
      <c r="P57" s="648"/>
      <c r="Q57" s="647">
        <f t="shared" si="15"/>
        <v>0</v>
      </c>
      <c r="R57" s="648"/>
      <c r="S57" s="648"/>
      <c r="T57" s="648"/>
      <c r="U57" s="649">
        <f t="shared" si="27"/>
        <v>0</v>
      </c>
      <c r="V57" s="646"/>
      <c r="W57" s="647">
        <f t="shared" ref="W57:W90" si="28">IF($AU57=$J$7+1,$M$15,0)</f>
        <v>0</v>
      </c>
      <c r="X57" s="648"/>
      <c r="Y57" s="647"/>
      <c r="Z57" s="631">
        <f>'①Tidak termasuk VAT TAX'!AJ57*10%</f>
        <v>0</v>
      </c>
      <c r="AA57" s="648"/>
      <c r="AB57" s="649">
        <f t="shared" si="16"/>
        <v>0</v>
      </c>
      <c r="AC57" s="633">
        <f t="shared" si="8"/>
        <v>0</v>
      </c>
      <c r="AD57" s="634">
        <f t="shared" si="21"/>
        <v>13366867.681601642</v>
      </c>
      <c r="AE57" s="634">
        <f t="shared" si="24"/>
        <v>-13366867.681601642</v>
      </c>
      <c r="AF57" s="634">
        <f t="shared" si="17"/>
        <v>0</v>
      </c>
      <c r="AG57" s="634">
        <f t="shared" si="19"/>
        <v>-10440945.542629484</v>
      </c>
      <c r="AH57" s="635">
        <f t="shared" si="20"/>
        <v>0</v>
      </c>
      <c r="AI57" s="633">
        <f t="shared" si="23"/>
        <v>0</v>
      </c>
      <c r="AJ57" s="657"/>
      <c r="AK57" s="658"/>
      <c r="AL57" s="647">
        <f t="shared" si="18"/>
        <v>0</v>
      </c>
      <c r="AM57" s="653"/>
      <c r="AN57" s="654"/>
      <c r="AO57" s="643"/>
      <c r="AP57" s="643"/>
      <c r="AQ57" s="643"/>
      <c r="AR57" s="643"/>
      <c r="AS57" s="627"/>
      <c r="AT57" s="641"/>
      <c r="AU57" s="642">
        <f t="shared" si="22"/>
        <v>32</v>
      </c>
    </row>
    <row r="58" spans="2:47" s="575" customFormat="1" ht="15.75" customHeight="1">
      <c r="B58" s="622">
        <f t="shared" si="14"/>
        <v>33</v>
      </c>
      <c r="C58" s="623">
        <f t="shared" si="12"/>
        <v>10</v>
      </c>
      <c r="D58" s="624" t="str">
        <f t="shared" si="26"/>
        <v xml:space="preserve">             </v>
      </c>
      <c r="E58" s="646"/>
      <c r="F58" s="647"/>
      <c r="G58" s="648"/>
      <c r="H58" s="647"/>
      <c r="I58" s="648"/>
      <c r="J58" s="647"/>
      <c r="K58" s="648"/>
      <c r="L58" s="647"/>
      <c r="M58" s="648"/>
      <c r="N58" s="648"/>
      <c r="O58" s="648"/>
      <c r="P58" s="648"/>
      <c r="Q58" s="647">
        <f t="shared" si="15"/>
        <v>0</v>
      </c>
      <c r="R58" s="648"/>
      <c r="S58" s="648"/>
      <c r="T58" s="648"/>
      <c r="U58" s="649">
        <f t="shared" si="27"/>
        <v>0</v>
      </c>
      <c r="V58" s="646"/>
      <c r="W58" s="647">
        <f t="shared" si="28"/>
        <v>0</v>
      </c>
      <c r="X58" s="648"/>
      <c r="Y58" s="647"/>
      <c r="Z58" s="631">
        <f>'①Tidak termasuk VAT TAX'!AJ58*10%</f>
        <v>0</v>
      </c>
      <c r="AA58" s="648"/>
      <c r="AB58" s="649">
        <f t="shared" si="16"/>
        <v>0</v>
      </c>
      <c r="AC58" s="633">
        <f t="shared" si="8"/>
        <v>0</v>
      </c>
      <c r="AD58" s="634">
        <f t="shared" si="21"/>
        <v>13366867.681601642</v>
      </c>
      <c r="AE58" s="634">
        <f>IF(AD58&lt;=0,AC58,-AD57)</f>
        <v>-13366867.681601642</v>
      </c>
      <c r="AF58" s="634">
        <f t="shared" si="17"/>
        <v>0</v>
      </c>
      <c r="AG58" s="634">
        <f t="shared" ref="AG58:AG90" si="29">PV($G$14/12,$B58,0,$AE58*-1,0)</f>
        <v>-10360650.501244837</v>
      </c>
      <c r="AH58" s="635">
        <f t="shared" si="20"/>
        <v>0</v>
      </c>
      <c r="AI58" s="633">
        <f t="shared" si="23"/>
        <v>0</v>
      </c>
      <c r="AJ58" s="657"/>
      <c r="AK58" s="658"/>
      <c r="AL58" s="647">
        <f t="shared" si="18"/>
        <v>0</v>
      </c>
      <c r="AM58" s="653"/>
      <c r="AN58" s="654"/>
      <c r="AO58" s="643"/>
      <c r="AP58" s="643"/>
      <c r="AQ58" s="643"/>
      <c r="AR58" s="643"/>
      <c r="AS58" s="627"/>
      <c r="AT58" s="641"/>
      <c r="AU58" s="642">
        <f t="shared" si="22"/>
        <v>33</v>
      </c>
    </row>
    <row r="59" spans="2:47" s="575" customFormat="1" ht="15.75" customHeight="1">
      <c r="B59" s="622">
        <f t="shared" si="14"/>
        <v>34</v>
      </c>
      <c r="C59" s="623">
        <f t="shared" si="12"/>
        <v>11</v>
      </c>
      <c r="D59" s="624" t="str">
        <f t="shared" si="26"/>
        <v xml:space="preserve">             </v>
      </c>
      <c r="E59" s="646"/>
      <c r="F59" s="647"/>
      <c r="G59" s="648"/>
      <c r="H59" s="647"/>
      <c r="I59" s="648"/>
      <c r="J59" s="647"/>
      <c r="K59" s="648"/>
      <c r="L59" s="647"/>
      <c r="M59" s="648"/>
      <c r="N59" s="648"/>
      <c r="O59" s="648"/>
      <c r="P59" s="648"/>
      <c r="Q59" s="647">
        <f t="shared" si="15"/>
        <v>0</v>
      </c>
      <c r="R59" s="648"/>
      <c r="S59" s="648"/>
      <c r="T59" s="648"/>
      <c r="U59" s="649">
        <f t="shared" si="27"/>
        <v>0</v>
      </c>
      <c r="V59" s="646"/>
      <c r="W59" s="647">
        <f t="shared" si="28"/>
        <v>0</v>
      </c>
      <c r="X59" s="648"/>
      <c r="Y59" s="647"/>
      <c r="Z59" s="631">
        <f>'①Tidak termasuk VAT TAX'!AJ59*10%</f>
        <v>0</v>
      </c>
      <c r="AA59" s="648"/>
      <c r="AB59" s="649">
        <f t="shared" si="16"/>
        <v>0</v>
      </c>
      <c r="AC59" s="633">
        <f t="shared" si="8"/>
        <v>0</v>
      </c>
      <c r="AD59" s="634">
        <f t="shared" si="21"/>
        <v>13366867.681601642</v>
      </c>
      <c r="AE59" s="634">
        <f t="shared" ref="AE59:AE90" si="30">IF(AD59&lt;=0,AC59,-AD58)</f>
        <v>-13366867.681601642</v>
      </c>
      <c r="AF59" s="634">
        <f t="shared" si="17"/>
        <v>0</v>
      </c>
      <c r="AG59" s="634">
        <f t="shared" si="29"/>
        <v>-10280972.960798649</v>
      </c>
      <c r="AH59" s="635">
        <f t="shared" si="20"/>
        <v>0</v>
      </c>
      <c r="AI59" s="633">
        <f t="shared" si="23"/>
        <v>0</v>
      </c>
      <c r="AJ59" s="657"/>
      <c r="AK59" s="658"/>
      <c r="AL59" s="647">
        <f t="shared" si="18"/>
        <v>0</v>
      </c>
      <c r="AM59" s="653"/>
      <c r="AN59" s="654"/>
      <c r="AO59" s="643"/>
      <c r="AP59" s="643"/>
      <c r="AQ59" s="643"/>
      <c r="AR59" s="643"/>
      <c r="AS59" s="627"/>
      <c r="AT59" s="641"/>
      <c r="AU59" s="642">
        <f t="shared" si="22"/>
        <v>34</v>
      </c>
    </row>
    <row r="60" spans="2:47" s="575" customFormat="1" ht="15.75" customHeight="1">
      <c r="B60" s="622">
        <f t="shared" si="14"/>
        <v>35</v>
      </c>
      <c r="C60" s="623">
        <f t="shared" si="12"/>
        <v>12</v>
      </c>
      <c r="D60" s="624" t="str">
        <f t="shared" si="26"/>
        <v xml:space="preserve">             </v>
      </c>
      <c r="E60" s="646"/>
      <c r="F60" s="647"/>
      <c r="G60" s="648"/>
      <c r="H60" s="647"/>
      <c r="I60" s="648"/>
      <c r="J60" s="647"/>
      <c r="K60" s="648"/>
      <c r="L60" s="647"/>
      <c r="M60" s="648"/>
      <c r="N60" s="648"/>
      <c r="O60" s="648"/>
      <c r="P60" s="648"/>
      <c r="Q60" s="647">
        <f t="shared" si="15"/>
        <v>0</v>
      </c>
      <c r="R60" s="648"/>
      <c r="S60" s="648"/>
      <c r="T60" s="648"/>
      <c r="U60" s="649">
        <f t="shared" si="27"/>
        <v>0</v>
      </c>
      <c r="V60" s="646"/>
      <c r="W60" s="647">
        <f t="shared" si="28"/>
        <v>0</v>
      </c>
      <c r="X60" s="648"/>
      <c r="Y60" s="647"/>
      <c r="Z60" s="631">
        <f>'①Tidak termasuk VAT TAX'!AJ60*10%</f>
        <v>0</v>
      </c>
      <c r="AA60" s="648"/>
      <c r="AB60" s="649">
        <f t="shared" si="16"/>
        <v>0</v>
      </c>
      <c r="AC60" s="633">
        <f>U60+AB60</f>
        <v>0</v>
      </c>
      <c r="AD60" s="634">
        <f t="shared" si="21"/>
        <v>13366867.681601642</v>
      </c>
      <c r="AE60" s="634">
        <f t="shared" si="30"/>
        <v>-13366867.681601642</v>
      </c>
      <c r="AF60" s="634">
        <f t="shared" si="17"/>
        <v>0</v>
      </c>
      <c r="AG60" s="634">
        <f t="shared" si="29"/>
        <v>-10201908.172462067</v>
      </c>
      <c r="AH60" s="635">
        <f t="shared" si="20"/>
        <v>0</v>
      </c>
      <c r="AI60" s="633">
        <f>IF(AU60&lt;=$J$7,AI59,0)</f>
        <v>0</v>
      </c>
      <c r="AJ60" s="657"/>
      <c r="AK60" s="658"/>
      <c r="AL60" s="647">
        <f t="shared" si="18"/>
        <v>0</v>
      </c>
      <c r="AM60" s="653"/>
      <c r="AN60" s="654"/>
      <c r="AO60" s="643"/>
      <c r="AP60" s="643"/>
      <c r="AQ60" s="643"/>
      <c r="AR60" s="643"/>
      <c r="AS60" s="627"/>
      <c r="AT60" s="641"/>
      <c r="AU60" s="642">
        <f t="shared" si="22"/>
        <v>35</v>
      </c>
    </row>
    <row r="61" spans="2:47" s="575" customFormat="1" ht="15.75" customHeight="1">
      <c r="B61" s="622">
        <f t="shared" si="14"/>
        <v>36</v>
      </c>
      <c r="C61" s="623">
        <f t="shared" si="12"/>
        <v>1</v>
      </c>
      <c r="D61" s="624">
        <f t="shared" si="26"/>
        <v>2021</v>
      </c>
      <c r="E61" s="646"/>
      <c r="F61" s="647"/>
      <c r="G61" s="648"/>
      <c r="H61" s="647"/>
      <c r="I61" s="648"/>
      <c r="J61" s="647"/>
      <c r="K61" s="648"/>
      <c r="L61" s="647"/>
      <c r="M61" s="656"/>
      <c r="N61" s="648"/>
      <c r="O61" s="648"/>
      <c r="P61" s="648"/>
      <c r="Q61" s="647">
        <f t="shared" si="15"/>
        <v>0</v>
      </c>
      <c r="R61" s="648"/>
      <c r="S61" s="648"/>
      <c r="T61" s="648"/>
      <c r="U61" s="649">
        <f t="shared" si="27"/>
        <v>0</v>
      </c>
      <c r="V61" s="646"/>
      <c r="W61" s="647">
        <f t="shared" si="28"/>
        <v>0</v>
      </c>
      <c r="X61" s="648"/>
      <c r="Y61" s="647"/>
      <c r="Z61" s="631">
        <f>'①Tidak termasuk VAT TAX'!AJ61*10%</f>
        <v>0</v>
      </c>
      <c r="AA61" s="648"/>
      <c r="AB61" s="649">
        <f t="shared" si="16"/>
        <v>0</v>
      </c>
      <c r="AC61" s="633">
        <f t="shared" si="8"/>
        <v>0</v>
      </c>
      <c r="AD61" s="634">
        <f t="shared" si="21"/>
        <v>13366867.681601642</v>
      </c>
      <c r="AE61" s="634">
        <f>IF(AD61&lt;=0,AC61,-AD60)</f>
        <v>-13366867.681601642</v>
      </c>
      <c r="AF61" s="634">
        <f>IF(AD61&lt;=0,AE61,)</f>
        <v>0</v>
      </c>
      <c r="AG61" s="634">
        <f t="shared" si="29"/>
        <v>-10123451.423926638</v>
      </c>
      <c r="AH61" s="635">
        <f t="shared" si="20"/>
        <v>0</v>
      </c>
      <c r="AI61" s="633">
        <f t="shared" si="23"/>
        <v>0</v>
      </c>
      <c r="AJ61" s="657"/>
      <c r="AK61" s="658"/>
      <c r="AL61" s="647">
        <f t="shared" si="18"/>
        <v>0</v>
      </c>
      <c r="AM61" s="653"/>
      <c r="AN61" s="654"/>
      <c r="AO61" s="643"/>
      <c r="AP61" s="643"/>
      <c r="AQ61" s="643"/>
      <c r="AR61" s="643"/>
      <c r="AS61" s="627"/>
      <c r="AT61" s="641"/>
      <c r="AU61" s="642">
        <f t="shared" si="22"/>
        <v>36</v>
      </c>
    </row>
    <row r="62" spans="2:47" s="575" customFormat="1" ht="15.75" customHeight="1">
      <c r="B62" s="622">
        <f t="shared" si="14"/>
        <v>37</v>
      </c>
      <c r="C62" s="623">
        <f t="shared" si="12"/>
        <v>2</v>
      </c>
      <c r="D62" s="624" t="str">
        <f>IF($C61=12,$D$61+1,"             ")</f>
        <v xml:space="preserve">             </v>
      </c>
      <c r="E62" s="646"/>
      <c r="F62" s="647"/>
      <c r="G62" s="648"/>
      <c r="H62" s="647"/>
      <c r="I62" s="648"/>
      <c r="J62" s="647"/>
      <c r="K62" s="648"/>
      <c r="L62" s="647"/>
      <c r="M62" s="648"/>
      <c r="N62" s="648"/>
      <c r="O62" s="648"/>
      <c r="P62" s="648"/>
      <c r="Q62" s="647">
        <f t="shared" si="15"/>
        <v>0</v>
      </c>
      <c r="R62" s="648"/>
      <c r="S62" s="648"/>
      <c r="T62" s="648"/>
      <c r="U62" s="649">
        <f t="shared" si="27"/>
        <v>0</v>
      </c>
      <c r="V62" s="646"/>
      <c r="W62" s="647">
        <f t="shared" si="28"/>
        <v>0</v>
      </c>
      <c r="X62" s="648"/>
      <c r="Y62" s="647"/>
      <c r="Z62" s="631">
        <f>'①Tidak termasuk VAT TAX'!AJ62*10%</f>
        <v>0</v>
      </c>
      <c r="AA62" s="648"/>
      <c r="AB62" s="649">
        <f t="shared" si="16"/>
        <v>0</v>
      </c>
      <c r="AC62" s="633">
        <f>U62+AB62</f>
        <v>0</v>
      </c>
      <c r="AD62" s="634">
        <f t="shared" si="21"/>
        <v>13366867.681601642</v>
      </c>
      <c r="AE62" s="634">
        <f t="shared" si="30"/>
        <v>-13366867.681601642</v>
      </c>
      <c r="AF62" s="634">
        <f t="shared" ref="AF62:AF90" si="31">IF(AD62&lt;=0,AE62,)</f>
        <v>0</v>
      </c>
      <c r="AG62" s="634">
        <f t="shared" si="29"/>
        <v>-10045598.039123431</v>
      </c>
      <c r="AH62" s="635">
        <f t="shared" si="20"/>
        <v>0</v>
      </c>
      <c r="AI62" s="633">
        <f t="shared" si="23"/>
        <v>0</v>
      </c>
      <c r="AJ62" s="657"/>
      <c r="AK62" s="658"/>
      <c r="AL62" s="647">
        <f t="shared" si="18"/>
        <v>0</v>
      </c>
      <c r="AM62" s="653"/>
      <c r="AN62" s="654"/>
      <c r="AO62" s="643"/>
      <c r="AP62" s="643"/>
      <c r="AQ62" s="643"/>
      <c r="AR62" s="643"/>
      <c r="AS62" s="627"/>
      <c r="AT62" s="641"/>
      <c r="AU62" s="642">
        <f t="shared" si="22"/>
        <v>37</v>
      </c>
    </row>
    <row r="63" spans="2:47" s="575" customFormat="1" ht="15.75" customHeight="1">
      <c r="B63" s="622">
        <f t="shared" si="14"/>
        <v>38</v>
      </c>
      <c r="C63" s="623">
        <f t="shared" si="12"/>
        <v>3</v>
      </c>
      <c r="D63" s="624" t="str">
        <f t="shared" ref="D63:D73" si="32">IF($C62=12,$D$61+1,"             ")</f>
        <v xml:space="preserve">             </v>
      </c>
      <c r="E63" s="646"/>
      <c r="F63" s="647"/>
      <c r="G63" s="648"/>
      <c r="H63" s="647"/>
      <c r="I63" s="648"/>
      <c r="J63" s="647"/>
      <c r="K63" s="648"/>
      <c r="L63" s="647"/>
      <c r="M63" s="648"/>
      <c r="N63" s="648"/>
      <c r="O63" s="648"/>
      <c r="P63" s="648"/>
      <c r="Q63" s="647">
        <f t="shared" si="15"/>
        <v>0</v>
      </c>
      <c r="R63" s="648"/>
      <c r="S63" s="648"/>
      <c r="T63" s="648"/>
      <c r="U63" s="649">
        <f t="shared" si="27"/>
        <v>0</v>
      </c>
      <c r="V63" s="646"/>
      <c r="W63" s="647">
        <f t="shared" si="28"/>
        <v>0</v>
      </c>
      <c r="X63" s="648"/>
      <c r="Y63" s="647"/>
      <c r="Z63" s="631">
        <f>'①Tidak termasuk VAT TAX'!AJ63*10%</f>
        <v>0</v>
      </c>
      <c r="AA63" s="648"/>
      <c r="AB63" s="649">
        <f t="shared" si="16"/>
        <v>0</v>
      </c>
      <c r="AC63" s="633">
        <f t="shared" si="8"/>
        <v>0</v>
      </c>
      <c r="AD63" s="634">
        <f t="shared" si="21"/>
        <v>13366867.681601642</v>
      </c>
      <c r="AE63" s="634">
        <f>IF(AD63&lt;=0,AC63,-AD62)</f>
        <v>-13366867.681601642</v>
      </c>
      <c r="AF63" s="634">
        <f t="shared" si="31"/>
        <v>0</v>
      </c>
      <c r="AG63" s="634">
        <f t="shared" si="29"/>
        <v>-9968343.3779443633</v>
      </c>
      <c r="AH63" s="635">
        <f t="shared" si="20"/>
        <v>0</v>
      </c>
      <c r="AI63" s="633">
        <f t="shared" si="23"/>
        <v>0</v>
      </c>
      <c r="AJ63" s="657"/>
      <c r="AK63" s="658"/>
      <c r="AL63" s="647">
        <f t="shared" si="18"/>
        <v>0</v>
      </c>
      <c r="AM63" s="653"/>
      <c r="AN63" s="654"/>
      <c r="AO63" s="643"/>
      <c r="AP63" s="643"/>
      <c r="AQ63" s="643"/>
      <c r="AR63" s="643"/>
      <c r="AS63" s="627"/>
      <c r="AT63" s="641"/>
      <c r="AU63" s="642">
        <f t="shared" si="22"/>
        <v>38</v>
      </c>
    </row>
    <row r="64" spans="2:47" s="575" customFormat="1" ht="15.75" customHeight="1">
      <c r="B64" s="622">
        <f t="shared" si="14"/>
        <v>39</v>
      </c>
      <c r="C64" s="623">
        <f t="shared" si="12"/>
        <v>4</v>
      </c>
      <c r="D64" s="624" t="str">
        <f t="shared" si="32"/>
        <v xml:space="preserve">             </v>
      </c>
      <c r="E64" s="646"/>
      <c r="F64" s="647"/>
      <c r="G64" s="648"/>
      <c r="H64" s="647"/>
      <c r="I64" s="648"/>
      <c r="J64" s="647"/>
      <c r="K64" s="648"/>
      <c r="L64" s="647"/>
      <c r="M64" s="648"/>
      <c r="N64" s="648"/>
      <c r="O64" s="648"/>
      <c r="P64" s="648"/>
      <c r="Q64" s="647">
        <f t="shared" si="15"/>
        <v>0</v>
      </c>
      <c r="R64" s="648"/>
      <c r="S64" s="648"/>
      <c r="T64" s="648"/>
      <c r="U64" s="649">
        <f t="shared" si="27"/>
        <v>0</v>
      </c>
      <c r="V64" s="646"/>
      <c r="W64" s="647">
        <f t="shared" si="28"/>
        <v>0</v>
      </c>
      <c r="X64" s="648"/>
      <c r="Y64" s="647"/>
      <c r="Z64" s="631">
        <f>'①Tidak termasuk VAT TAX'!AJ64*10%</f>
        <v>0</v>
      </c>
      <c r="AA64" s="648"/>
      <c r="AB64" s="649">
        <f t="shared" si="16"/>
        <v>0</v>
      </c>
      <c r="AC64" s="633">
        <f t="shared" si="8"/>
        <v>0</v>
      </c>
      <c r="AD64" s="634">
        <f t="shared" si="21"/>
        <v>13366867.681601642</v>
      </c>
      <c r="AE64" s="634">
        <f>IF(AD64&lt;=0,AC64,-AD63)</f>
        <v>-13366867.681601642</v>
      </c>
      <c r="AF64" s="634">
        <f t="shared" si="31"/>
        <v>0</v>
      </c>
      <c r="AG64" s="634">
        <f t="shared" si="29"/>
        <v>-9891682.8359656297</v>
      </c>
      <c r="AH64" s="635">
        <f t="shared" si="20"/>
        <v>0</v>
      </c>
      <c r="AI64" s="633">
        <f t="shared" si="23"/>
        <v>0</v>
      </c>
      <c r="AJ64" s="657"/>
      <c r="AK64" s="658"/>
      <c r="AL64" s="647">
        <f t="shared" si="18"/>
        <v>0</v>
      </c>
      <c r="AM64" s="653"/>
      <c r="AN64" s="654"/>
      <c r="AO64" s="643"/>
      <c r="AP64" s="643"/>
      <c r="AQ64" s="643"/>
      <c r="AR64" s="643"/>
      <c r="AS64" s="627"/>
      <c r="AT64" s="641"/>
      <c r="AU64" s="642">
        <f t="shared" si="22"/>
        <v>39</v>
      </c>
    </row>
    <row r="65" spans="2:47" s="575" customFormat="1" ht="15.75" customHeight="1">
      <c r="B65" s="622">
        <f t="shared" si="14"/>
        <v>40</v>
      </c>
      <c r="C65" s="623">
        <f t="shared" si="12"/>
        <v>5</v>
      </c>
      <c r="D65" s="624" t="str">
        <f t="shared" si="32"/>
        <v xml:space="preserve">             </v>
      </c>
      <c r="E65" s="646"/>
      <c r="F65" s="647"/>
      <c r="G65" s="648"/>
      <c r="H65" s="647"/>
      <c r="I65" s="648"/>
      <c r="J65" s="647"/>
      <c r="K65" s="648"/>
      <c r="L65" s="647"/>
      <c r="M65" s="648"/>
      <c r="N65" s="648"/>
      <c r="O65" s="648"/>
      <c r="P65" s="648"/>
      <c r="Q65" s="647">
        <f t="shared" si="15"/>
        <v>0</v>
      </c>
      <c r="R65" s="648"/>
      <c r="S65" s="648"/>
      <c r="T65" s="648"/>
      <c r="U65" s="649">
        <f t="shared" si="27"/>
        <v>0</v>
      </c>
      <c r="V65" s="646"/>
      <c r="W65" s="647">
        <f t="shared" si="28"/>
        <v>0</v>
      </c>
      <c r="X65" s="648"/>
      <c r="Y65" s="647"/>
      <c r="Z65" s="631">
        <f>'①Tidak termasuk VAT TAX'!AJ65*10%</f>
        <v>0</v>
      </c>
      <c r="AA65" s="648"/>
      <c r="AB65" s="649">
        <f t="shared" si="16"/>
        <v>0</v>
      </c>
      <c r="AC65" s="633">
        <f>U65+AB65</f>
        <v>0</v>
      </c>
      <c r="AD65" s="634">
        <f>AD64+AC65</f>
        <v>13366867.681601642</v>
      </c>
      <c r="AE65" s="634">
        <f t="shared" si="30"/>
        <v>-13366867.681601642</v>
      </c>
      <c r="AF65" s="634">
        <f>IF(AD65&lt;=0,AE65,)</f>
        <v>0</v>
      </c>
      <c r="AG65" s="634">
        <f t="shared" si="29"/>
        <v>-9815611.844173288</v>
      </c>
      <c r="AH65" s="635">
        <f t="shared" si="20"/>
        <v>0</v>
      </c>
      <c r="AI65" s="633">
        <f t="shared" si="23"/>
        <v>0</v>
      </c>
      <c r="AJ65" s="657"/>
      <c r="AK65" s="658"/>
      <c r="AL65" s="647">
        <f t="shared" si="18"/>
        <v>0</v>
      </c>
      <c r="AM65" s="653"/>
      <c r="AN65" s="654"/>
      <c r="AO65" s="643"/>
      <c r="AP65" s="643"/>
      <c r="AQ65" s="643"/>
      <c r="AR65" s="643"/>
      <c r="AS65" s="627"/>
      <c r="AT65" s="641"/>
      <c r="AU65" s="642">
        <f t="shared" si="22"/>
        <v>40</v>
      </c>
    </row>
    <row r="66" spans="2:47" s="575" customFormat="1" ht="15.75" customHeight="1">
      <c r="B66" s="622">
        <f t="shared" si="14"/>
        <v>41</v>
      </c>
      <c r="C66" s="623">
        <f t="shared" si="12"/>
        <v>6</v>
      </c>
      <c r="D66" s="624" t="str">
        <f t="shared" si="32"/>
        <v xml:space="preserve">             </v>
      </c>
      <c r="E66" s="646"/>
      <c r="F66" s="647"/>
      <c r="G66" s="648"/>
      <c r="H66" s="647"/>
      <c r="I66" s="648"/>
      <c r="J66" s="647"/>
      <c r="K66" s="648"/>
      <c r="L66" s="647"/>
      <c r="M66" s="648"/>
      <c r="N66" s="648"/>
      <c r="O66" s="648"/>
      <c r="P66" s="648"/>
      <c r="Q66" s="647">
        <f t="shared" si="15"/>
        <v>0</v>
      </c>
      <c r="R66" s="648"/>
      <c r="S66" s="648"/>
      <c r="T66" s="648"/>
      <c r="U66" s="649">
        <f t="shared" si="27"/>
        <v>0</v>
      </c>
      <c r="V66" s="646"/>
      <c r="W66" s="647">
        <f t="shared" si="28"/>
        <v>0</v>
      </c>
      <c r="X66" s="648"/>
      <c r="Y66" s="647"/>
      <c r="Z66" s="631">
        <f>'①Tidak termasuk VAT TAX'!AJ66*10%</f>
        <v>0</v>
      </c>
      <c r="AA66" s="648"/>
      <c r="AB66" s="649">
        <f t="shared" si="16"/>
        <v>0</v>
      </c>
      <c r="AC66" s="633">
        <f t="shared" si="8"/>
        <v>0</v>
      </c>
      <c r="AD66" s="634">
        <f t="shared" si="21"/>
        <v>13366867.681601642</v>
      </c>
      <c r="AE66" s="634">
        <f t="shared" si="30"/>
        <v>-13366867.681601642</v>
      </c>
      <c r="AF66" s="634">
        <f t="shared" si="31"/>
        <v>0</v>
      </c>
      <c r="AG66" s="634">
        <f t="shared" si="29"/>
        <v>-9740125.868690934</v>
      </c>
      <c r="AH66" s="635">
        <f t="shared" si="20"/>
        <v>0</v>
      </c>
      <c r="AI66" s="633">
        <f t="shared" si="23"/>
        <v>0</v>
      </c>
      <c r="AJ66" s="657"/>
      <c r="AK66" s="658"/>
      <c r="AL66" s="647">
        <f t="shared" si="18"/>
        <v>0</v>
      </c>
      <c r="AM66" s="653"/>
      <c r="AN66" s="654"/>
      <c r="AO66" s="643"/>
      <c r="AP66" s="643"/>
      <c r="AQ66" s="643"/>
      <c r="AR66" s="643"/>
      <c r="AS66" s="627"/>
      <c r="AT66" s="641"/>
      <c r="AU66" s="642">
        <f t="shared" si="22"/>
        <v>41</v>
      </c>
    </row>
    <row r="67" spans="2:47" s="575" customFormat="1" ht="15.75" customHeight="1">
      <c r="B67" s="622">
        <f t="shared" si="14"/>
        <v>42</v>
      </c>
      <c r="C67" s="623">
        <f t="shared" si="12"/>
        <v>7</v>
      </c>
      <c r="D67" s="624" t="str">
        <f t="shared" si="32"/>
        <v xml:space="preserve">             </v>
      </c>
      <c r="E67" s="646"/>
      <c r="F67" s="647"/>
      <c r="G67" s="648"/>
      <c r="H67" s="647"/>
      <c r="I67" s="648"/>
      <c r="J67" s="647"/>
      <c r="K67" s="648"/>
      <c r="L67" s="647"/>
      <c r="M67" s="648"/>
      <c r="N67" s="648"/>
      <c r="O67" s="648"/>
      <c r="P67" s="648"/>
      <c r="Q67" s="647">
        <f t="shared" si="15"/>
        <v>0</v>
      </c>
      <c r="R67" s="648"/>
      <c r="S67" s="648"/>
      <c r="T67" s="648"/>
      <c r="U67" s="649">
        <f t="shared" si="27"/>
        <v>0</v>
      </c>
      <c r="V67" s="646"/>
      <c r="W67" s="647">
        <f t="shared" si="28"/>
        <v>0</v>
      </c>
      <c r="X67" s="648"/>
      <c r="Y67" s="647"/>
      <c r="Z67" s="631">
        <f>'①Tidak termasuk VAT TAX'!AJ67*10%</f>
        <v>0</v>
      </c>
      <c r="AA67" s="648"/>
      <c r="AB67" s="649">
        <f t="shared" si="16"/>
        <v>0</v>
      </c>
      <c r="AC67" s="633">
        <f>U67+AB67</f>
        <v>0</v>
      </c>
      <c r="AD67" s="634">
        <f t="shared" si="21"/>
        <v>13366867.681601642</v>
      </c>
      <c r="AE67" s="634">
        <f t="shared" si="30"/>
        <v>-13366867.681601642</v>
      </c>
      <c r="AF67" s="634">
        <f t="shared" si="31"/>
        <v>0</v>
      </c>
      <c r="AG67" s="634">
        <f>PV($G$14/12,$B67,0,$AE67*-1,0)</f>
        <v>-9665220.4105094858</v>
      </c>
      <c r="AH67" s="635">
        <f t="shared" si="20"/>
        <v>0</v>
      </c>
      <c r="AI67" s="633">
        <f t="shared" si="23"/>
        <v>0</v>
      </c>
      <c r="AJ67" s="657"/>
      <c r="AK67" s="658"/>
      <c r="AL67" s="647">
        <f t="shared" si="18"/>
        <v>0</v>
      </c>
      <c r="AM67" s="653"/>
      <c r="AN67" s="654"/>
      <c r="AO67" s="643"/>
      <c r="AP67" s="643"/>
      <c r="AQ67" s="643"/>
      <c r="AR67" s="643"/>
      <c r="AS67" s="627"/>
      <c r="AT67" s="641"/>
      <c r="AU67" s="642">
        <f t="shared" si="22"/>
        <v>42</v>
      </c>
    </row>
    <row r="68" spans="2:47" s="575" customFormat="1" ht="15.75" customHeight="1">
      <c r="B68" s="622">
        <f t="shared" si="14"/>
        <v>43</v>
      </c>
      <c r="C68" s="623">
        <f t="shared" si="12"/>
        <v>8</v>
      </c>
      <c r="D68" s="624" t="str">
        <f t="shared" si="32"/>
        <v xml:space="preserve">             </v>
      </c>
      <c r="E68" s="646"/>
      <c r="F68" s="647"/>
      <c r="G68" s="648"/>
      <c r="H68" s="647"/>
      <c r="I68" s="648"/>
      <c r="J68" s="647"/>
      <c r="K68" s="648"/>
      <c r="L68" s="647"/>
      <c r="M68" s="648"/>
      <c r="N68" s="648"/>
      <c r="O68" s="648"/>
      <c r="P68" s="648"/>
      <c r="Q68" s="647">
        <f t="shared" si="15"/>
        <v>0</v>
      </c>
      <c r="R68" s="648"/>
      <c r="S68" s="648"/>
      <c r="T68" s="648"/>
      <c r="U68" s="649">
        <f t="shared" si="27"/>
        <v>0</v>
      </c>
      <c r="V68" s="646"/>
      <c r="W68" s="647">
        <f t="shared" si="28"/>
        <v>0</v>
      </c>
      <c r="X68" s="648"/>
      <c r="Y68" s="647"/>
      <c r="Z68" s="631">
        <f>'①Tidak termasuk VAT TAX'!AJ68*10%</f>
        <v>0</v>
      </c>
      <c r="AA68" s="648"/>
      <c r="AB68" s="649">
        <f t="shared" si="16"/>
        <v>0</v>
      </c>
      <c r="AC68" s="633">
        <f t="shared" si="8"/>
        <v>0</v>
      </c>
      <c r="AD68" s="634">
        <f t="shared" si="21"/>
        <v>13366867.681601642</v>
      </c>
      <c r="AE68" s="634">
        <f>IF(AD68&lt;=0,AC68,-AD67)</f>
        <v>-13366867.681601642</v>
      </c>
      <c r="AF68" s="634">
        <f t="shared" si="31"/>
        <v>0</v>
      </c>
      <c r="AG68" s="634">
        <f>PV($G$14/12,$B68,0,$AE68*-1,0)</f>
        <v>-9590891.0052190386</v>
      </c>
      <c r="AH68" s="635">
        <f t="shared" si="20"/>
        <v>0</v>
      </c>
      <c r="AI68" s="633">
        <f t="shared" si="23"/>
        <v>0</v>
      </c>
      <c r="AJ68" s="657"/>
      <c r="AK68" s="658"/>
      <c r="AL68" s="647">
        <f t="shared" si="18"/>
        <v>0</v>
      </c>
      <c r="AM68" s="653"/>
      <c r="AN68" s="654"/>
      <c r="AO68" s="643"/>
      <c r="AP68" s="643"/>
      <c r="AQ68" s="643"/>
      <c r="AR68" s="643"/>
      <c r="AS68" s="627"/>
      <c r="AT68" s="641"/>
      <c r="AU68" s="642">
        <f t="shared" si="22"/>
        <v>43</v>
      </c>
    </row>
    <row r="69" spans="2:47" s="575" customFormat="1" ht="15.75" customHeight="1">
      <c r="B69" s="622">
        <f t="shared" si="14"/>
        <v>44</v>
      </c>
      <c r="C69" s="623">
        <f t="shared" si="12"/>
        <v>9</v>
      </c>
      <c r="D69" s="624" t="str">
        <f>IF($C68=12,$D$57+1,"             ")</f>
        <v xml:space="preserve">             </v>
      </c>
      <c r="E69" s="646"/>
      <c r="F69" s="647"/>
      <c r="G69" s="648"/>
      <c r="H69" s="647"/>
      <c r="I69" s="648"/>
      <c r="J69" s="647"/>
      <c r="K69" s="648"/>
      <c r="L69" s="647"/>
      <c r="M69" s="648"/>
      <c r="N69" s="648"/>
      <c r="O69" s="648"/>
      <c r="P69" s="648"/>
      <c r="Q69" s="647">
        <f t="shared" si="15"/>
        <v>0</v>
      </c>
      <c r="R69" s="648"/>
      <c r="S69" s="648"/>
      <c r="T69" s="648"/>
      <c r="U69" s="649">
        <f t="shared" si="27"/>
        <v>0</v>
      </c>
      <c r="V69" s="646"/>
      <c r="W69" s="647">
        <f t="shared" si="28"/>
        <v>0</v>
      </c>
      <c r="X69" s="648"/>
      <c r="Y69" s="647"/>
      <c r="Z69" s="631">
        <f>'①Tidak termasuk VAT TAX'!AJ69*10%</f>
        <v>0</v>
      </c>
      <c r="AA69" s="648"/>
      <c r="AB69" s="649">
        <f t="shared" si="16"/>
        <v>0</v>
      </c>
      <c r="AC69" s="633">
        <f t="shared" si="8"/>
        <v>0</v>
      </c>
      <c r="AD69" s="634">
        <f t="shared" si="21"/>
        <v>13366867.681601642</v>
      </c>
      <c r="AE69" s="634">
        <f t="shared" si="30"/>
        <v>-13366867.681601642</v>
      </c>
      <c r="AF69" s="634">
        <f t="shared" si="31"/>
        <v>0</v>
      </c>
      <c r="AG69" s="634">
        <f t="shared" si="29"/>
        <v>-9517133.2227427848</v>
      </c>
      <c r="AH69" s="635">
        <f t="shared" si="20"/>
        <v>0</v>
      </c>
      <c r="AI69" s="633">
        <f t="shared" si="23"/>
        <v>0</v>
      </c>
      <c r="AJ69" s="657"/>
      <c r="AK69" s="658"/>
      <c r="AL69" s="647">
        <f t="shared" si="18"/>
        <v>0</v>
      </c>
      <c r="AM69" s="653"/>
      <c r="AN69" s="654"/>
      <c r="AO69" s="643"/>
      <c r="AP69" s="643"/>
      <c r="AQ69" s="643"/>
      <c r="AR69" s="643"/>
      <c r="AS69" s="627"/>
      <c r="AT69" s="641"/>
      <c r="AU69" s="642">
        <f t="shared" si="22"/>
        <v>44</v>
      </c>
    </row>
    <row r="70" spans="2:47" s="575" customFormat="1" ht="15.75" customHeight="1">
      <c r="B70" s="622">
        <f t="shared" si="14"/>
        <v>45</v>
      </c>
      <c r="C70" s="623">
        <f t="shared" si="12"/>
        <v>10</v>
      </c>
      <c r="D70" s="624" t="str">
        <f t="shared" si="32"/>
        <v xml:space="preserve">             </v>
      </c>
      <c r="E70" s="646"/>
      <c r="F70" s="647"/>
      <c r="G70" s="648"/>
      <c r="H70" s="647"/>
      <c r="I70" s="648"/>
      <c r="J70" s="647"/>
      <c r="K70" s="648"/>
      <c r="L70" s="647"/>
      <c r="M70" s="648"/>
      <c r="N70" s="648"/>
      <c r="O70" s="648"/>
      <c r="P70" s="648"/>
      <c r="Q70" s="647">
        <f t="shared" si="15"/>
        <v>0</v>
      </c>
      <c r="R70" s="648"/>
      <c r="S70" s="648"/>
      <c r="T70" s="648"/>
      <c r="U70" s="649">
        <f t="shared" si="27"/>
        <v>0</v>
      </c>
      <c r="V70" s="646"/>
      <c r="W70" s="647">
        <f t="shared" si="28"/>
        <v>0</v>
      </c>
      <c r="X70" s="648"/>
      <c r="Y70" s="647"/>
      <c r="Z70" s="631">
        <f>'①Tidak termasuk VAT TAX'!AJ70*10%</f>
        <v>0</v>
      </c>
      <c r="AA70" s="648"/>
      <c r="AB70" s="649">
        <f t="shared" si="16"/>
        <v>0</v>
      </c>
      <c r="AC70" s="633">
        <f t="shared" si="8"/>
        <v>0</v>
      </c>
      <c r="AD70" s="634">
        <f t="shared" si="21"/>
        <v>13366867.681601642</v>
      </c>
      <c r="AE70" s="634">
        <f t="shared" si="30"/>
        <v>-13366867.681601642</v>
      </c>
      <c r="AF70" s="634">
        <f t="shared" si="31"/>
        <v>0</v>
      </c>
      <c r="AG70" s="634">
        <f t="shared" si="29"/>
        <v>-9443942.6670729667</v>
      </c>
      <c r="AH70" s="635">
        <f t="shared" si="20"/>
        <v>0</v>
      </c>
      <c r="AI70" s="633">
        <f t="shared" si="23"/>
        <v>0</v>
      </c>
      <c r="AJ70" s="657"/>
      <c r="AK70" s="658"/>
      <c r="AL70" s="647">
        <f t="shared" si="18"/>
        <v>0</v>
      </c>
      <c r="AM70" s="653"/>
      <c r="AN70" s="654"/>
      <c r="AO70" s="643"/>
      <c r="AP70" s="643"/>
      <c r="AQ70" s="643"/>
      <c r="AR70" s="643"/>
      <c r="AS70" s="627"/>
      <c r="AT70" s="641"/>
      <c r="AU70" s="642">
        <f t="shared" si="22"/>
        <v>45</v>
      </c>
    </row>
    <row r="71" spans="2:47" s="575" customFormat="1" ht="15.75" customHeight="1">
      <c r="B71" s="622">
        <f t="shared" si="14"/>
        <v>46</v>
      </c>
      <c r="C71" s="623">
        <f t="shared" si="12"/>
        <v>11</v>
      </c>
      <c r="D71" s="624" t="str">
        <f t="shared" si="32"/>
        <v xml:space="preserve">             </v>
      </c>
      <c r="E71" s="646"/>
      <c r="F71" s="647"/>
      <c r="G71" s="648"/>
      <c r="H71" s="647"/>
      <c r="I71" s="648"/>
      <c r="J71" s="647"/>
      <c r="K71" s="648"/>
      <c r="L71" s="647"/>
      <c r="M71" s="648"/>
      <c r="N71" s="648"/>
      <c r="O71" s="648"/>
      <c r="P71" s="648"/>
      <c r="Q71" s="647">
        <f t="shared" si="15"/>
        <v>0</v>
      </c>
      <c r="R71" s="648"/>
      <c r="S71" s="648"/>
      <c r="T71" s="648"/>
      <c r="U71" s="649">
        <f t="shared" si="27"/>
        <v>0</v>
      </c>
      <c r="V71" s="646"/>
      <c r="W71" s="647">
        <f t="shared" si="28"/>
        <v>0</v>
      </c>
      <c r="X71" s="648"/>
      <c r="Y71" s="647"/>
      <c r="Z71" s="631">
        <f>'①Tidak termasuk VAT TAX'!AJ71*10%</f>
        <v>0</v>
      </c>
      <c r="AA71" s="648"/>
      <c r="AB71" s="649">
        <f t="shared" si="16"/>
        <v>0</v>
      </c>
      <c r="AC71" s="633">
        <f t="shared" si="8"/>
        <v>0</v>
      </c>
      <c r="AD71" s="634">
        <f t="shared" si="21"/>
        <v>13366867.681601642</v>
      </c>
      <c r="AE71" s="634">
        <f t="shared" si="30"/>
        <v>-13366867.681601642</v>
      </c>
      <c r="AF71" s="634">
        <f t="shared" si="31"/>
        <v>0</v>
      </c>
      <c r="AG71" s="634">
        <f t="shared" si="29"/>
        <v>-9371314.9760088995</v>
      </c>
      <c r="AH71" s="635">
        <f t="shared" si="20"/>
        <v>0</v>
      </c>
      <c r="AI71" s="633">
        <f t="shared" si="23"/>
        <v>0</v>
      </c>
      <c r="AJ71" s="657"/>
      <c r="AK71" s="658"/>
      <c r="AL71" s="647">
        <f t="shared" si="18"/>
        <v>0</v>
      </c>
      <c r="AM71" s="653"/>
      <c r="AN71" s="654"/>
      <c r="AO71" s="643"/>
      <c r="AP71" s="643"/>
      <c r="AQ71" s="643"/>
      <c r="AR71" s="643"/>
      <c r="AS71" s="627"/>
      <c r="AT71" s="641"/>
      <c r="AU71" s="642">
        <f t="shared" si="22"/>
        <v>46</v>
      </c>
    </row>
    <row r="72" spans="2:47" s="575" customFormat="1" ht="15.75" customHeight="1">
      <c r="B72" s="622">
        <f t="shared" si="14"/>
        <v>47</v>
      </c>
      <c r="C72" s="623">
        <f t="shared" si="12"/>
        <v>12</v>
      </c>
      <c r="D72" s="624" t="str">
        <f t="shared" si="32"/>
        <v xml:space="preserve">             </v>
      </c>
      <c r="E72" s="646"/>
      <c r="F72" s="647"/>
      <c r="G72" s="648"/>
      <c r="H72" s="647"/>
      <c r="I72" s="648"/>
      <c r="J72" s="647"/>
      <c r="K72" s="648"/>
      <c r="L72" s="647"/>
      <c r="M72" s="648"/>
      <c r="N72" s="648"/>
      <c r="O72" s="648"/>
      <c r="P72" s="648"/>
      <c r="Q72" s="647">
        <f t="shared" si="15"/>
        <v>0</v>
      </c>
      <c r="R72" s="648"/>
      <c r="S72" s="648"/>
      <c r="T72" s="648"/>
      <c r="U72" s="649">
        <f t="shared" si="27"/>
        <v>0</v>
      </c>
      <c r="V72" s="646"/>
      <c r="W72" s="647">
        <f t="shared" si="28"/>
        <v>0</v>
      </c>
      <c r="X72" s="648"/>
      <c r="Y72" s="647"/>
      <c r="Z72" s="631">
        <f>'①Tidak termasuk VAT TAX'!AJ72*10%</f>
        <v>0</v>
      </c>
      <c r="AA72" s="648"/>
      <c r="AB72" s="649">
        <f t="shared" si="16"/>
        <v>0</v>
      </c>
      <c r="AC72" s="633">
        <f t="shared" si="8"/>
        <v>0</v>
      </c>
      <c r="AD72" s="634">
        <f t="shared" si="21"/>
        <v>13366867.681601642</v>
      </c>
      <c r="AE72" s="634">
        <f t="shared" si="30"/>
        <v>-13366867.681601642</v>
      </c>
      <c r="AF72" s="634">
        <f t="shared" si="31"/>
        <v>0</v>
      </c>
      <c r="AG72" s="634">
        <f t="shared" si="29"/>
        <v>-9299245.8208969496</v>
      </c>
      <c r="AH72" s="635">
        <f t="shared" si="20"/>
        <v>0</v>
      </c>
      <c r="AI72" s="633">
        <f t="shared" si="23"/>
        <v>0</v>
      </c>
      <c r="AJ72" s="657"/>
      <c r="AK72" s="658"/>
      <c r="AL72" s="647">
        <f t="shared" si="18"/>
        <v>0</v>
      </c>
      <c r="AM72" s="653"/>
      <c r="AN72" s="654"/>
      <c r="AO72" s="643"/>
      <c r="AP72" s="643"/>
      <c r="AQ72" s="643"/>
      <c r="AR72" s="643"/>
      <c r="AS72" s="627"/>
      <c r="AT72" s="641"/>
      <c r="AU72" s="642">
        <f t="shared" si="22"/>
        <v>47</v>
      </c>
    </row>
    <row r="73" spans="2:47" s="575" customFormat="1" ht="15.75" customHeight="1">
      <c r="B73" s="622">
        <f t="shared" si="14"/>
        <v>48</v>
      </c>
      <c r="C73" s="623">
        <f t="shared" si="12"/>
        <v>1</v>
      </c>
      <c r="D73" s="624">
        <f t="shared" si="32"/>
        <v>2022</v>
      </c>
      <c r="E73" s="646"/>
      <c r="F73" s="647"/>
      <c r="G73" s="648"/>
      <c r="H73" s="647"/>
      <c r="I73" s="648"/>
      <c r="J73" s="647"/>
      <c r="K73" s="648"/>
      <c r="L73" s="647"/>
      <c r="M73" s="648"/>
      <c r="N73" s="648"/>
      <c r="O73" s="648"/>
      <c r="P73" s="648"/>
      <c r="Q73" s="647">
        <f t="shared" si="15"/>
        <v>0</v>
      </c>
      <c r="R73" s="648"/>
      <c r="S73" s="648"/>
      <c r="T73" s="648"/>
      <c r="U73" s="649">
        <f t="shared" si="27"/>
        <v>0</v>
      </c>
      <c r="V73" s="646"/>
      <c r="W73" s="647">
        <f t="shared" si="28"/>
        <v>0</v>
      </c>
      <c r="X73" s="648"/>
      <c r="Y73" s="647"/>
      <c r="Z73" s="631">
        <f>'①Tidak termasuk VAT TAX'!AJ73*10%</f>
        <v>0</v>
      </c>
      <c r="AA73" s="648"/>
      <c r="AB73" s="649">
        <f t="shared" si="16"/>
        <v>0</v>
      </c>
      <c r="AC73" s="633">
        <f t="shared" si="8"/>
        <v>0</v>
      </c>
      <c r="AD73" s="634">
        <f t="shared" si="21"/>
        <v>13366867.681601642</v>
      </c>
      <c r="AE73" s="634">
        <f t="shared" si="30"/>
        <v>-13366867.681601642</v>
      </c>
      <c r="AF73" s="634">
        <f t="shared" si="31"/>
        <v>0</v>
      </c>
      <c r="AG73" s="634">
        <f t="shared" si="29"/>
        <v>-9227730.9063725621</v>
      </c>
      <c r="AH73" s="635">
        <f t="shared" si="20"/>
        <v>0</v>
      </c>
      <c r="AI73" s="633">
        <f t="shared" si="23"/>
        <v>0</v>
      </c>
      <c r="AJ73" s="657"/>
      <c r="AK73" s="658"/>
      <c r="AL73" s="647">
        <f t="shared" si="18"/>
        <v>0</v>
      </c>
      <c r="AM73" s="653"/>
      <c r="AN73" s="654"/>
      <c r="AO73" s="643"/>
      <c r="AP73" s="643"/>
      <c r="AQ73" s="643"/>
      <c r="AR73" s="643"/>
      <c r="AS73" s="627"/>
      <c r="AT73" s="641"/>
      <c r="AU73" s="642">
        <f t="shared" si="22"/>
        <v>48</v>
      </c>
    </row>
    <row r="74" spans="2:47" s="575" customFormat="1" ht="15.75" customHeight="1">
      <c r="B74" s="622">
        <f t="shared" si="14"/>
        <v>49</v>
      </c>
      <c r="C74" s="623">
        <f t="shared" si="12"/>
        <v>2</v>
      </c>
      <c r="D74" s="624" t="str">
        <f>IF($C73=12,$D$73+1,"             ")</f>
        <v xml:space="preserve">             </v>
      </c>
      <c r="E74" s="646"/>
      <c r="F74" s="647"/>
      <c r="G74" s="648"/>
      <c r="H74" s="647"/>
      <c r="I74" s="648"/>
      <c r="J74" s="647"/>
      <c r="K74" s="648"/>
      <c r="L74" s="647"/>
      <c r="M74" s="648"/>
      <c r="N74" s="648"/>
      <c r="O74" s="648"/>
      <c r="P74" s="648"/>
      <c r="Q74" s="647">
        <f t="shared" si="15"/>
        <v>0</v>
      </c>
      <c r="R74" s="648"/>
      <c r="S74" s="648"/>
      <c r="T74" s="648"/>
      <c r="U74" s="649">
        <f t="shared" si="27"/>
        <v>0</v>
      </c>
      <c r="V74" s="646"/>
      <c r="W74" s="647">
        <f t="shared" si="28"/>
        <v>0</v>
      </c>
      <c r="X74" s="648"/>
      <c r="Y74" s="647"/>
      <c r="Z74" s="631">
        <f>'①Tidak termasuk VAT TAX'!AJ74*10%</f>
        <v>0</v>
      </c>
      <c r="AA74" s="648"/>
      <c r="AB74" s="649">
        <f t="shared" si="16"/>
        <v>0</v>
      </c>
      <c r="AC74" s="633">
        <f t="shared" si="8"/>
        <v>0</v>
      </c>
      <c r="AD74" s="634">
        <f t="shared" si="21"/>
        <v>13366867.681601642</v>
      </c>
      <c r="AE74" s="634">
        <f t="shared" si="30"/>
        <v>-13366867.681601642</v>
      </c>
      <c r="AF74" s="634">
        <f t="shared" si="31"/>
        <v>0</v>
      </c>
      <c r="AG74" s="634">
        <f t="shared" si="29"/>
        <v>-9156765.9701042548</v>
      </c>
      <c r="AH74" s="635">
        <f t="shared" si="20"/>
        <v>0</v>
      </c>
      <c r="AI74" s="633">
        <f t="shared" si="23"/>
        <v>0</v>
      </c>
      <c r="AJ74" s="657"/>
      <c r="AK74" s="658"/>
      <c r="AL74" s="647">
        <f t="shared" si="18"/>
        <v>0</v>
      </c>
      <c r="AM74" s="660"/>
      <c r="AN74" s="654"/>
      <c r="AO74" s="643"/>
      <c r="AP74" s="643"/>
      <c r="AQ74" s="643"/>
      <c r="AR74" s="643"/>
      <c r="AS74" s="627"/>
      <c r="AT74" s="641"/>
      <c r="AU74" s="642">
        <f t="shared" si="22"/>
        <v>49</v>
      </c>
    </row>
    <row r="75" spans="2:47" s="575" customFormat="1" ht="15.75" customHeight="1">
      <c r="B75" s="622">
        <f>B74+1</f>
        <v>50</v>
      </c>
      <c r="C75" s="623">
        <f>IF($C74=12,1,$C74+1)</f>
        <v>3</v>
      </c>
      <c r="D75" s="624" t="str">
        <f>IF($C74=12,$D$73+1,"             ")</f>
        <v xml:space="preserve">             </v>
      </c>
      <c r="E75" s="646"/>
      <c r="F75" s="647"/>
      <c r="G75" s="648"/>
      <c r="H75" s="647"/>
      <c r="I75" s="648"/>
      <c r="J75" s="647"/>
      <c r="K75" s="648"/>
      <c r="L75" s="647"/>
      <c r="M75" s="648"/>
      <c r="N75" s="648"/>
      <c r="O75" s="648"/>
      <c r="P75" s="648"/>
      <c r="Q75" s="647">
        <f t="shared" si="15"/>
        <v>0</v>
      </c>
      <c r="R75" s="648"/>
      <c r="S75" s="648"/>
      <c r="T75" s="648"/>
      <c r="U75" s="649">
        <f t="shared" si="27"/>
        <v>0</v>
      </c>
      <c r="V75" s="646"/>
      <c r="W75" s="647">
        <f t="shared" si="28"/>
        <v>0</v>
      </c>
      <c r="X75" s="648"/>
      <c r="Y75" s="647"/>
      <c r="Z75" s="631">
        <f>'①Tidak termasuk VAT TAX'!AJ75*10%</f>
        <v>0</v>
      </c>
      <c r="AA75" s="648"/>
      <c r="AB75" s="649">
        <f t="shared" si="16"/>
        <v>0</v>
      </c>
      <c r="AC75" s="633">
        <f t="shared" si="8"/>
        <v>0</v>
      </c>
      <c r="AD75" s="634">
        <f t="shared" si="21"/>
        <v>13366867.681601642</v>
      </c>
      <c r="AE75" s="634">
        <f t="shared" si="30"/>
        <v>-13366867.681601642</v>
      </c>
      <c r="AF75" s="634">
        <f t="shared" si="31"/>
        <v>0</v>
      </c>
      <c r="AG75" s="634">
        <f t="shared" si="29"/>
        <v>-9086346.7825395726</v>
      </c>
      <c r="AH75" s="635">
        <f t="shared" si="20"/>
        <v>0</v>
      </c>
      <c r="AI75" s="633">
        <f>IF(AU75&lt;=$J$7,AI74,0)</f>
        <v>0</v>
      </c>
      <c r="AJ75" s="657"/>
      <c r="AK75" s="658"/>
      <c r="AL75" s="647">
        <f t="shared" si="18"/>
        <v>0</v>
      </c>
      <c r="AM75" s="660"/>
      <c r="AN75" s="654"/>
      <c r="AO75" s="643"/>
      <c r="AP75" s="643"/>
      <c r="AQ75" s="643"/>
      <c r="AR75" s="643"/>
      <c r="AS75" s="627"/>
      <c r="AT75" s="641"/>
      <c r="AU75" s="642">
        <f>AU74+1</f>
        <v>50</v>
      </c>
    </row>
    <row r="76" spans="2:47" s="575" customFormat="1" ht="15.75" customHeight="1">
      <c r="B76" s="622">
        <f t="shared" si="14"/>
        <v>51</v>
      </c>
      <c r="C76" s="623">
        <f t="shared" si="12"/>
        <v>4</v>
      </c>
      <c r="D76" s="624" t="str">
        <f t="shared" ref="D76:D84" si="33">IF($C75=12,$D$73+1,"             ")</f>
        <v xml:space="preserve">             </v>
      </c>
      <c r="E76" s="646"/>
      <c r="F76" s="647"/>
      <c r="G76" s="648"/>
      <c r="H76" s="647"/>
      <c r="I76" s="648"/>
      <c r="J76" s="647"/>
      <c r="K76" s="648"/>
      <c r="L76" s="647"/>
      <c r="M76" s="648"/>
      <c r="N76" s="648"/>
      <c r="O76" s="648"/>
      <c r="P76" s="648"/>
      <c r="Q76" s="647">
        <f t="shared" si="15"/>
        <v>0</v>
      </c>
      <c r="R76" s="648"/>
      <c r="S76" s="648"/>
      <c r="T76" s="648"/>
      <c r="U76" s="649">
        <f t="shared" si="27"/>
        <v>0</v>
      </c>
      <c r="V76" s="646"/>
      <c r="W76" s="647">
        <f t="shared" si="28"/>
        <v>0</v>
      </c>
      <c r="X76" s="648"/>
      <c r="Y76" s="647"/>
      <c r="Z76" s="631">
        <f>'①Tidak termasuk VAT TAX'!AJ76*10%</f>
        <v>0</v>
      </c>
      <c r="AA76" s="648"/>
      <c r="AB76" s="649">
        <f t="shared" si="16"/>
        <v>0</v>
      </c>
      <c r="AC76" s="633">
        <f t="shared" si="8"/>
        <v>0</v>
      </c>
      <c r="AD76" s="634">
        <f t="shared" si="21"/>
        <v>13366867.681601642</v>
      </c>
      <c r="AE76" s="634">
        <f t="shared" si="30"/>
        <v>-13366867.681601642</v>
      </c>
      <c r="AF76" s="634">
        <f t="shared" si="31"/>
        <v>0</v>
      </c>
      <c r="AG76" s="634">
        <f t="shared" si="29"/>
        <v>-9016469.1466530114</v>
      </c>
      <c r="AH76" s="635">
        <f t="shared" si="20"/>
        <v>0</v>
      </c>
      <c r="AI76" s="633">
        <f t="shared" si="23"/>
        <v>0</v>
      </c>
      <c r="AJ76" s="657"/>
      <c r="AK76" s="658"/>
      <c r="AL76" s="647">
        <f t="shared" si="18"/>
        <v>0</v>
      </c>
      <c r="AM76" s="660"/>
      <c r="AN76" s="654"/>
      <c r="AO76" s="643"/>
      <c r="AP76" s="643"/>
      <c r="AQ76" s="643"/>
      <c r="AR76" s="643"/>
      <c r="AS76" s="627"/>
      <c r="AT76" s="641"/>
      <c r="AU76" s="642">
        <f t="shared" si="22"/>
        <v>51</v>
      </c>
    </row>
    <row r="77" spans="2:47" s="575" customFormat="1" ht="15.75" customHeight="1">
      <c r="B77" s="622">
        <f t="shared" si="14"/>
        <v>52</v>
      </c>
      <c r="C77" s="623">
        <f t="shared" si="12"/>
        <v>5</v>
      </c>
      <c r="D77" s="624" t="str">
        <f t="shared" si="33"/>
        <v xml:space="preserve">             </v>
      </c>
      <c r="E77" s="646"/>
      <c r="F77" s="647"/>
      <c r="G77" s="648"/>
      <c r="H77" s="647"/>
      <c r="I77" s="648"/>
      <c r="J77" s="647"/>
      <c r="K77" s="648"/>
      <c r="L77" s="647"/>
      <c r="M77" s="648"/>
      <c r="N77" s="648"/>
      <c r="O77" s="648"/>
      <c r="P77" s="648"/>
      <c r="Q77" s="647">
        <f t="shared" si="15"/>
        <v>0</v>
      </c>
      <c r="R77" s="648"/>
      <c r="S77" s="648"/>
      <c r="T77" s="648"/>
      <c r="U77" s="649">
        <f t="shared" si="27"/>
        <v>0</v>
      </c>
      <c r="V77" s="646"/>
      <c r="W77" s="647">
        <f t="shared" si="28"/>
        <v>0</v>
      </c>
      <c r="X77" s="648"/>
      <c r="Y77" s="647"/>
      <c r="Z77" s="631">
        <f>'①Tidak termasuk VAT TAX'!AJ77*10%</f>
        <v>0</v>
      </c>
      <c r="AA77" s="648"/>
      <c r="AB77" s="649">
        <f t="shared" si="16"/>
        <v>0</v>
      </c>
      <c r="AC77" s="633">
        <f t="shared" si="8"/>
        <v>0</v>
      </c>
      <c r="AD77" s="634">
        <f t="shared" si="21"/>
        <v>13366867.681601642</v>
      </c>
      <c r="AE77" s="634">
        <f t="shared" si="30"/>
        <v>-13366867.681601642</v>
      </c>
      <c r="AF77" s="634">
        <f t="shared" si="31"/>
        <v>0</v>
      </c>
      <c r="AG77" s="634">
        <f t="shared" si="29"/>
        <v>-8947128.8976958711</v>
      </c>
      <c r="AH77" s="635">
        <f t="shared" si="20"/>
        <v>0</v>
      </c>
      <c r="AI77" s="633">
        <f t="shared" si="23"/>
        <v>0</v>
      </c>
      <c r="AJ77" s="657"/>
      <c r="AK77" s="658"/>
      <c r="AL77" s="647">
        <f t="shared" si="18"/>
        <v>0</v>
      </c>
      <c r="AM77" s="660"/>
      <c r="AN77" s="654"/>
      <c r="AO77" s="643"/>
      <c r="AP77" s="643"/>
      <c r="AQ77" s="643"/>
      <c r="AR77" s="643"/>
      <c r="AS77" s="627"/>
      <c r="AT77" s="641"/>
      <c r="AU77" s="642">
        <f t="shared" si="22"/>
        <v>52</v>
      </c>
    </row>
    <row r="78" spans="2:47" s="575" customFormat="1" ht="15.75" customHeight="1">
      <c r="B78" s="622">
        <f t="shared" si="14"/>
        <v>53</v>
      </c>
      <c r="C78" s="623">
        <f t="shared" si="12"/>
        <v>6</v>
      </c>
      <c r="D78" s="624" t="str">
        <f t="shared" si="33"/>
        <v xml:space="preserve">             </v>
      </c>
      <c r="E78" s="646"/>
      <c r="F78" s="647"/>
      <c r="G78" s="648"/>
      <c r="H78" s="647"/>
      <c r="I78" s="648"/>
      <c r="J78" s="647"/>
      <c r="K78" s="648"/>
      <c r="L78" s="647"/>
      <c r="M78" s="648"/>
      <c r="N78" s="648"/>
      <c r="O78" s="648"/>
      <c r="P78" s="648"/>
      <c r="Q78" s="647">
        <f t="shared" si="15"/>
        <v>0</v>
      </c>
      <c r="R78" s="648"/>
      <c r="S78" s="648"/>
      <c r="T78" s="648"/>
      <c r="U78" s="649">
        <f t="shared" si="27"/>
        <v>0</v>
      </c>
      <c r="V78" s="646"/>
      <c r="W78" s="647">
        <f t="shared" si="28"/>
        <v>0</v>
      </c>
      <c r="X78" s="648"/>
      <c r="Y78" s="647"/>
      <c r="Z78" s="631">
        <f>'①Tidak termasuk VAT TAX'!AJ78*10%</f>
        <v>0</v>
      </c>
      <c r="AA78" s="648"/>
      <c r="AB78" s="649">
        <f t="shared" si="16"/>
        <v>0</v>
      </c>
      <c r="AC78" s="633">
        <f t="shared" si="8"/>
        <v>0</v>
      </c>
      <c r="AD78" s="634">
        <f t="shared" si="21"/>
        <v>13366867.681601642</v>
      </c>
      <c r="AE78" s="634">
        <f t="shared" si="30"/>
        <v>-13366867.681601642</v>
      </c>
      <c r="AF78" s="634">
        <f t="shared" si="31"/>
        <v>0</v>
      </c>
      <c r="AG78" s="634">
        <f t="shared" si="29"/>
        <v>-8878321.9029480238</v>
      </c>
      <c r="AH78" s="635">
        <f t="shared" si="20"/>
        <v>0</v>
      </c>
      <c r="AI78" s="633">
        <f t="shared" si="23"/>
        <v>0</v>
      </c>
      <c r="AJ78" s="657"/>
      <c r="AK78" s="658"/>
      <c r="AL78" s="647">
        <f t="shared" si="18"/>
        <v>0</v>
      </c>
      <c r="AM78" s="660"/>
      <c r="AN78" s="654"/>
      <c r="AO78" s="643"/>
      <c r="AP78" s="643"/>
      <c r="AQ78" s="643"/>
      <c r="AR78" s="643"/>
      <c r="AS78" s="627"/>
      <c r="AT78" s="641"/>
      <c r="AU78" s="642">
        <f t="shared" si="22"/>
        <v>53</v>
      </c>
    </row>
    <row r="79" spans="2:47" s="575" customFormat="1" ht="15.75" customHeight="1">
      <c r="B79" s="622">
        <f t="shared" si="14"/>
        <v>54</v>
      </c>
      <c r="C79" s="623">
        <f t="shared" si="12"/>
        <v>7</v>
      </c>
      <c r="D79" s="624" t="str">
        <f t="shared" si="33"/>
        <v xml:space="preserve">             </v>
      </c>
      <c r="E79" s="646"/>
      <c r="F79" s="647"/>
      <c r="G79" s="648"/>
      <c r="H79" s="647"/>
      <c r="I79" s="648"/>
      <c r="J79" s="647"/>
      <c r="K79" s="648"/>
      <c r="L79" s="647"/>
      <c r="M79" s="648"/>
      <c r="N79" s="648"/>
      <c r="O79" s="648"/>
      <c r="P79" s="648"/>
      <c r="Q79" s="647">
        <f t="shared" si="15"/>
        <v>0</v>
      </c>
      <c r="R79" s="648"/>
      <c r="S79" s="648"/>
      <c r="T79" s="648"/>
      <c r="U79" s="649">
        <f t="shared" si="27"/>
        <v>0</v>
      </c>
      <c r="V79" s="646"/>
      <c r="W79" s="647">
        <f t="shared" si="28"/>
        <v>0</v>
      </c>
      <c r="X79" s="648"/>
      <c r="Y79" s="647"/>
      <c r="Z79" s="631">
        <f>'①Tidak termasuk VAT TAX'!AJ79*10%</f>
        <v>0</v>
      </c>
      <c r="AA79" s="648"/>
      <c r="AB79" s="649">
        <f t="shared" si="16"/>
        <v>0</v>
      </c>
      <c r="AC79" s="633">
        <f t="shared" si="8"/>
        <v>0</v>
      </c>
      <c r="AD79" s="634">
        <f t="shared" si="21"/>
        <v>13366867.681601642</v>
      </c>
      <c r="AE79" s="634">
        <f t="shared" si="30"/>
        <v>-13366867.681601642</v>
      </c>
      <c r="AF79" s="634">
        <f t="shared" si="31"/>
        <v>0</v>
      </c>
      <c r="AG79" s="634">
        <f t="shared" si="29"/>
        <v>-8810044.0614716187</v>
      </c>
      <c r="AH79" s="635">
        <f t="shared" si="20"/>
        <v>0</v>
      </c>
      <c r="AI79" s="633">
        <f t="shared" si="23"/>
        <v>0</v>
      </c>
      <c r="AJ79" s="657"/>
      <c r="AK79" s="658"/>
      <c r="AL79" s="647">
        <f t="shared" si="18"/>
        <v>0</v>
      </c>
      <c r="AM79" s="660"/>
      <c r="AN79" s="654"/>
      <c r="AO79" s="643"/>
      <c r="AP79" s="643"/>
      <c r="AQ79" s="643"/>
      <c r="AR79" s="643"/>
      <c r="AS79" s="627"/>
      <c r="AT79" s="641"/>
      <c r="AU79" s="642">
        <f t="shared" si="22"/>
        <v>54</v>
      </c>
    </row>
    <row r="80" spans="2:47" s="575" customFormat="1" ht="15.75" customHeight="1">
      <c r="B80" s="622">
        <f t="shared" si="14"/>
        <v>55</v>
      </c>
      <c r="C80" s="623">
        <f t="shared" si="12"/>
        <v>8</v>
      </c>
      <c r="D80" s="624" t="str">
        <f t="shared" si="33"/>
        <v xml:space="preserve">             </v>
      </c>
      <c r="E80" s="646"/>
      <c r="F80" s="647"/>
      <c r="G80" s="648"/>
      <c r="H80" s="647"/>
      <c r="I80" s="648"/>
      <c r="J80" s="647"/>
      <c r="K80" s="648"/>
      <c r="L80" s="647"/>
      <c r="M80" s="648"/>
      <c r="N80" s="648"/>
      <c r="O80" s="648"/>
      <c r="P80" s="648"/>
      <c r="Q80" s="647">
        <f t="shared" si="15"/>
        <v>0</v>
      </c>
      <c r="R80" s="648"/>
      <c r="S80" s="648"/>
      <c r="T80" s="648"/>
      <c r="U80" s="649">
        <f t="shared" si="27"/>
        <v>0</v>
      </c>
      <c r="V80" s="646"/>
      <c r="W80" s="647">
        <f t="shared" si="28"/>
        <v>0</v>
      </c>
      <c r="X80" s="648"/>
      <c r="Y80" s="647"/>
      <c r="Z80" s="631">
        <f>'①Tidak termasuk VAT TAX'!AJ80*10%</f>
        <v>0</v>
      </c>
      <c r="AA80" s="648"/>
      <c r="AB80" s="649">
        <f t="shared" si="16"/>
        <v>0</v>
      </c>
      <c r="AC80" s="633">
        <f t="shared" si="8"/>
        <v>0</v>
      </c>
      <c r="AD80" s="634">
        <f>AD79+AC80</f>
        <v>13366867.681601642</v>
      </c>
      <c r="AE80" s="634">
        <f t="shared" si="30"/>
        <v>-13366867.681601642</v>
      </c>
      <c r="AF80" s="634">
        <f t="shared" si="31"/>
        <v>0</v>
      </c>
      <c r="AG80" s="634">
        <f t="shared" si="29"/>
        <v>-8742291.3038666528</v>
      </c>
      <c r="AH80" s="635">
        <f t="shared" si="20"/>
        <v>0</v>
      </c>
      <c r="AI80" s="633">
        <f t="shared" si="23"/>
        <v>0</v>
      </c>
      <c r="AJ80" s="657"/>
      <c r="AK80" s="658"/>
      <c r="AL80" s="647">
        <f t="shared" si="18"/>
        <v>0</v>
      </c>
      <c r="AM80" s="660"/>
      <c r="AN80" s="654"/>
      <c r="AO80" s="643"/>
      <c r="AP80" s="643"/>
      <c r="AQ80" s="643"/>
      <c r="AR80" s="643"/>
      <c r="AS80" s="627"/>
      <c r="AT80" s="641"/>
      <c r="AU80" s="642">
        <f t="shared" si="22"/>
        <v>55</v>
      </c>
    </row>
    <row r="81" spans="2:65" ht="15.75" customHeight="1">
      <c r="B81" s="622">
        <f t="shared" si="14"/>
        <v>56</v>
      </c>
      <c r="C81" s="623">
        <f t="shared" si="12"/>
        <v>9</v>
      </c>
      <c r="D81" s="624"/>
      <c r="E81" s="646"/>
      <c r="F81" s="647"/>
      <c r="G81" s="648"/>
      <c r="H81" s="647"/>
      <c r="I81" s="648"/>
      <c r="J81" s="647"/>
      <c r="K81" s="648"/>
      <c r="L81" s="647"/>
      <c r="M81" s="648"/>
      <c r="N81" s="648"/>
      <c r="O81" s="648"/>
      <c r="P81" s="648"/>
      <c r="Q81" s="647">
        <f t="shared" si="15"/>
        <v>0</v>
      </c>
      <c r="R81" s="648"/>
      <c r="S81" s="648"/>
      <c r="T81" s="648"/>
      <c r="U81" s="649">
        <f t="shared" si="27"/>
        <v>0</v>
      </c>
      <c r="V81" s="646"/>
      <c r="W81" s="647">
        <f t="shared" si="28"/>
        <v>0</v>
      </c>
      <c r="X81" s="648"/>
      <c r="Y81" s="647"/>
      <c r="Z81" s="631">
        <f>'①Tidak termasuk VAT TAX'!AJ81*10%</f>
        <v>0</v>
      </c>
      <c r="AA81" s="648"/>
      <c r="AB81" s="649">
        <f t="shared" si="16"/>
        <v>0</v>
      </c>
      <c r="AC81" s="633">
        <f t="shared" si="8"/>
        <v>0</v>
      </c>
      <c r="AD81" s="634">
        <f>AD80+AC81</f>
        <v>13366867.681601642</v>
      </c>
      <c r="AE81" s="634">
        <f t="shared" si="30"/>
        <v>-13366867.681601642</v>
      </c>
      <c r="AF81" s="634">
        <f t="shared" si="31"/>
        <v>0</v>
      </c>
      <c r="AG81" s="634">
        <f>PV($G$14/12,$B81,0,$AE81*-1,0)</f>
        <v>-8675059.5920284353</v>
      </c>
      <c r="AH81" s="635">
        <f t="shared" si="20"/>
        <v>0</v>
      </c>
      <c r="AI81" s="633">
        <f t="shared" si="23"/>
        <v>0</v>
      </c>
      <c r="AJ81" s="657"/>
      <c r="AK81" s="658"/>
      <c r="AL81" s="647">
        <f t="shared" si="18"/>
        <v>0</v>
      </c>
      <c r="AM81" s="660"/>
      <c r="AN81" s="654"/>
      <c r="AO81" s="643"/>
      <c r="AP81" s="643"/>
      <c r="AQ81" s="643"/>
      <c r="AR81" s="643"/>
      <c r="AS81" s="627"/>
      <c r="AT81" s="641"/>
      <c r="AU81" s="642">
        <f t="shared" si="22"/>
        <v>56</v>
      </c>
      <c r="AV81" s="575"/>
      <c r="AW81" s="575"/>
      <c r="AX81" s="575"/>
      <c r="AY81" s="575"/>
      <c r="AZ81" s="575"/>
      <c r="BA81" s="575"/>
      <c r="BB81" s="575"/>
      <c r="BC81" s="575"/>
      <c r="BJ81" s="575"/>
      <c r="BK81" s="575"/>
    </row>
    <row r="82" spans="2:65" ht="15.75" customHeight="1">
      <c r="B82" s="622">
        <f t="shared" si="14"/>
        <v>57</v>
      </c>
      <c r="C82" s="623">
        <f t="shared" si="12"/>
        <v>10</v>
      </c>
      <c r="D82" s="624" t="str">
        <f t="shared" si="33"/>
        <v xml:space="preserve">             </v>
      </c>
      <c r="E82" s="646"/>
      <c r="F82" s="647"/>
      <c r="G82" s="648"/>
      <c r="H82" s="647"/>
      <c r="I82" s="648"/>
      <c r="J82" s="647"/>
      <c r="K82" s="648"/>
      <c r="L82" s="647"/>
      <c r="M82" s="648"/>
      <c r="N82" s="648"/>
      <c r="O82" s="648"/>
      <c r="P82" s="648"/>
      <c r="Q82" s="647">
        <f t="shared" si="15"/>
        <v>0</v>
      </c>
      <c r="R82" s="648"/>
      <c r="S82" s="648"/>
      <c r="T82" s="648"/>
      <c r="U82" s="649">
        <f t="shared" si="27"/>
        <v>0</v>
      </c>
      <c r="V82" s="646"/>
      <c r="W82" s="647">
        <f t="shared" si="28"/>
        <v>0</v>
      </c>
      <c r="X82" s="648"/>
      <c r="Y82" s="647"/>
      <c r="Z82" s="631">
        <f>'①Tidak termasuk VAT TAX'!AJ82*10%</f>
        <v>0</v>
      </c>
      <c r="AA82" s="648"/>
      <c r="AB82" s="649">
        <f t="shared" si="16"/>
        <v>0</v>
      </c>
      <c r="AC82" s="633">
        <f t="shared" si="8"/>
        <v>0</v>
      </c>
      <c r="AD82" s="634">
        <f t="shared" si="21"/>
        <v>13366867.681601642</v>
      </c>
      <c r="AE82" s="634">
        <f t="shared" si="30"/>
        <v>-13366867.681601642</v>
      </c>
      <c r="AF82" s="634">
        <f t="shared" si="31"/>
        <v>0</v>
      </c>
      <c r="AG82" s="634">
        <f t="shared" si="29"/>
        <v>-8608344.9189069048</v>
      </c>
      <c r="AH82" s="635">
        <f t="shared" si="20"/>
        <v>0</v>
      </c>
      <c r="AI82" s="633">
        <f t="shared" si="23"/>
        <v>0</v>
      </c>
      <c r="AJ82" s="657"/>
      <c r="AK82" s="658"/>
      <c r="AL82" s="647">
        <f t="shared" si="18"/>
        <v>0</v>
      </c>
      <c r="AM82" s="660"/>
      <c r="AN82" s="654"/>
      <c r="AO82" s="643"/>
      <c r="AP82" s="643"/>
      <c r="AQ82" s="643"/>
      <c r="AR82" s="643"/>
      <c r="AS82" s="627"/>
      <c r="AT82" s="641"/>
      <c r="AU82" s="642">
        <f t="shared" si="22"/>
        <v>57</v>
      </c>
      <c r="AV82" s="575"/>
      <c r="AW82" s="575"/>
      <c r="AX82" s="575"/>
      <c r="AY82" s="575"/>
      <c r="AZ82" s="575"/>
      <c r="BA82" s="575"/>
      <c r="BB82" s="575"/>
      <c r="BC82" s="575"/>
      <c r="BJ82" s="575"/>
      <c r="BK82" s="575"/>
    </row>
    <row r="83" spans="2:65" ht="15.75" customHeight="1">
      <c r="B83" s="622">
        <f t="shared" si="14"/>
        <v>58</v>
      </c>
      <c r="C83" s="623">
        <f t="shared" si="12"/>
        <v>11</v>
      </c>
      <c r="D83" s="624" t="str">
        <f t="shared" si="33"/>
        <v xml:space="preserve">             </v>
      </c>
      <c r="E83" s="646"/>
      <c r="F83" s="647"/>
      <c r="G83" s="648"/>
      <c r="H83" s="647"/>
      <c r="I83" s="648"/>
      <c r="J83" s="647"/>
      <c r="K83" s="648"/>
      <c r="L83" s="647"/>
      <c r="M83" s="648"/>
      <c r="N83" s="648"/>
      <c r="O83" s="648"/>
      <c r="P83" s="648"/>
      <c r="Q83" s="647">
        <f t="shared" si="15"/>
        <v>0</v>
      </c>
      <c r="R83" s="648"/>
      <c r="S83" s="648"/>
      <c r="T83" s="648"/>
      <c r="U83" s="649">
        <f t="shared" si="27"/>
        <v>0</v>
      </c>
      <c r="V83" s="646"/>
      <c r="W83" s="647">
        <f t="shared" si="28"/>
        <v>0</v>
      </c>
      <c r="X83" s="648"/>
      <c r="Y83" s="647"/>
      <c r="Z83" s="631">
        <f>'①Tidak termasuk VAT TAX'!AJ83*10%</f>
        <v>0</v>
      </c>
      <c r="AA83" s="648"/>
      <c r="AB83" s="649">
        <f t="shared" si="16"/>
        <v>0</v>
      </c>
      <c r="AC83" s="633">
        <f t="shared" si="8"/>
        <v>0</v>
      </c>
      <c r="AD83" s="634">
        <f t="shared" si="21"/>
        <v>13366867.681601642</v>
      </c>
      <c r="AE83" s="634">
        <f t="shared" si="30"/>
        <v>-13366867.681601642</v>
      </c>
      <c r="AF83" s="634">
        <f t="shared" si="31"/>
        <v>0</v>
      </c>
      <c r="AG83" s="634">
        <f t="shared" si="29"/>
        <v>-8542143.3082678299</v>
      </c>
      <c r="AH83" s="635">
        <f t="shared" si="20"/>
        <v>0</v>
      </c>
      <c r="AI83" s="633">
        <f>IF(AU83&lt;=$J$7,AI82,0)</f>
        <v>0</v>
      </c>
      <c r="AJ83" s="657"/>
      <c r="AK83" s="658"/>
      <c r="AL83" s="647">
        <f t="shared" si="18"/>
        <v>0</v>
      </c>
      <c r="AM83" s="660"/>
      <c r="AN83" s="654"/>
      <c r="AO83" s="643"/>
      <c r="AP83" s="643"/>
      <c r="AQ83" s="643"/>
      <c r="AR83" s="643"/>
      <c r="AS83" s="627"/>
      <c r="AT83" s="641"/>
      <c r="AU83" s="642">
        <f t="shared" si="22"/>
        <v>58</v>
      </c>
      <c r="AV83" s="575"/>
      <c r="AW83" s="575"/>
      <c r="AX83" s="575"/>
      <c r="AY83" s="575"/>
      <c r="AZ83" s="575"/>
      <c r="BA83" s="575"/>
      <c r="BB83" s="575"/>
      <c r="BC83" s="575"/>
      <c r="BJ83" s="575"/>
      <c r="BK83" s="575"/>
    </row>
    <row r="84" spans="2:65" ht="15.75" customHeight="1">
      <c r="B84" s="622">
        <f t="shared" si="14"/>
        <v>59</v>
      </c>
      <c r="C84" s="623">
        <f t="shared" si="12"/>
        <v>12</v>
      </c>
      <c r="D84" s="624" t="str">
        <f t="shared" si="33"/>
        <v xml:space="preserve">             </v>
      </c>
      <c r="E84" s="646"/>
      <c r="F84" s="647"/>
      <c r="G84" s="648"/>
      <c r="H84" s="647"/>
      <c r="I84" s="648"/>
      <c r="J84" s="647"/>
      <c r="K84" s="648"/>
      <c r="L84" s="647"/>
      <c r="M84" s="648"/>
      <c r="N84" s="648"/>
      <c r="O84" s="648"/>
      <c r="P84" s="648"/>
      <c r="Q84" s="647">
        <f t="shared" si="15"/>
        <v>0</v>
      </c>
      <c r="R84" s="648"/>
      <c r="S84" s="648"/>
      <c r="T84" s="648"/>
      <c r="U84" s="649">
        <f t="shared" si="27"/>
        <v>0</v>
      </c>
      <c r="V84" s="646"/>
      <c r="W84" s="647">
        <f t="shared" si="28"/>
        <v>0</v>
      </c>
      <c r="X84" s="648"/>
      <c r="Y84" s="647"/>
      <c r="Z84" s="631">
        <f>'①Tidak termasuk VAT TAX'!AJ84*10%</f>
        <v>0</v>
      </c>
      <c r="AA84" s="648"/>
      <c r="AB84" s="649">
        <f t="shared" si="16"/>
        <v>0</v>
      </c>
      <c r="AC84" s="633">
        <f t="shared" si="8"/>
        <v>0</v>
      </c>
      <c r="AD84" s="634">
        <f t="shared" si="21"/>
        <v>13366867.681601642</v>
      </c>
      <c r="AE84" s="634">
        <f t="shared" si="30"/>
        <v>-13366867.681601642</v>
      </c>
      <c r="AF84" s="634">
        <f t="shared" si="31"/>
        <v>0</v>
      </c>
      <c r="AG84" s="634">
        <f t="shared" si="29"/>
        <v>-8476450.8144557998</v>
      </c>
      <c r="AH84" s="635">
        <f t="shared" si="20"/>
        <v>0</v>
      </c>
      <c r="AI84" s="633">
        <f>IF(AU84&lt;=$J$7,AI83,0)</f>
        <v>0</v>
      </c>
      <c r="AJ84" s="657"/>
      <c r="AK84" s="658"/>
      <c r="AL84" s="647">
        <f t="shared" si="18"/>
        <v>0</v>
      </c>
      <c r="AM84" s="660"/>
      <c r="AN84" s="654"/>
      <c r="AO84" s="643"/>
      <c r="AP84" s="643"/>
      <c r="AQ84" s="643"/>
      <c r="AR84" s="643"/>
      <c r="AS84" s="627"/>
      <c r="AT84" s="641"/>
      <c r="AU84" s="642">
        <f t="shared" si="22"/>
        <v>59</v>
      </c>
      <c r="AV84" s="575"/>
      <c r="AW84" s="575"/>
      <c r="AX84" s="575"/>
      <c r="AY84" s="575"/>
      <c r="AZ84" s="575"/>
      <c r="BA84" s="575"/>
      <c r="BB84" s="575"/>
      <c r="BC84" s="575"/>
      <c r="BJ84" s="575"/>
      <c r="BK84" s="575"/>
    </row>
    <row r="85" spans="2:65" ht="15.75" customHeight="1">
      <c r="B85" s="622">
        <f t="shared" si="14"/>
        <v>60</v>
      </c>
      <c r="C85" s="623">
        <f t="shared" si="12"/>
        <v>1</v>
      </c>
      <c r="D85" s="624">
        <f>IF($C84=12,$D$73+1,"             ")</f>
        <v>2023</v>
      </c>
      <c r="E85" s="646"/>
      <c r="F85" s="647"/>
      <c r="G85" s="648"/>
      <c r="H85" s="647"/>
      <c r="I85" s="648"/>
      <c r="J85" s="647"/>
      <c r="K85" s="648"/>
      <c r="L85" s="647"/>
      <c r="M85" s="648"/>
      <c r="N85" s="648"/>
      <c r="O85" s="648"/>
      <c r="P85" s="648"/>
      <c r="Q85" s="647">
        <f t="shared" si="15"/>
        <v>0</v>
      </c>
      <c r="R85" s="648"/>
      <c r="S85" s="648"/>
      <c r="T85" s="648"/>
      <c r="U85" s="649">
        <f t="shared" si="27"/>
        <v>0</v>
      </c>
      <c r="V85" s="646"/>
      <c r="W85" s="647">
        <f t="shared" si="28"/>
        <v>0</v>
      </c>
      <c r="X85" s="648"/>
      <c r="Y85" s="647"/>
      <c r="Z85" s="631">
        <f>'①Tidak termasuk VAT TAX'!AJ85*10%</f>
        <v>0</v>
      </c>
      <c r="AA85" s="648"/>
      <c r="AB85" s="649">
        <f t="shared" si="16"/>
        <v>0</v>
      </c>
      <c r="AC85" s="633">
        <f t="shared" si="8"/>
        <v>0</v>
      </c>
      <c r="AD85" s="634">
        <f>AD84+AC85</f>
        <v>13366867.681601642</v>
      </c>
      <c r="AE85" s="634">
        <f t="shared" si="30"/>
        <v>-13366867.681601642</v>
      </c>
      <c r="AF85" s="634">
        <f t="shared" si="31"/>
        <v>0</v>
      </c>
      <c r="AG85" s="634">
        <f t="shared" si="29"/>
        <v>-8411263.5221590679</v>
      </c>
      <c r="AH85" s="635">
        <f t="shared" si="20"/>
        <v>0</v>
      </c>
      <c r="AI85" s="633">
        <f>IF(AU85&lt;=$J$7,AI84,0)</f>
        <v>0</v>
      </c>
      <c r="AJ85" s="657"/>
      <c r="AK85" s="658"/>
      <c r="AL85" s="647">
        <f t="shared" si="18"/>
        <v>0</v>
      </c>
      <c r="AM85" s="660"/>
      <c r="AN85" s="654"/>
      <c r="AO85" s="643"/>
      <c r="AP85" s="643"/>
      <c r="AQ85" s="643"/>
      <c r="AR85" s="643"/>
      <c r="AS85" s="627"/>
      <c r="AT85" s="641"/>
      <c r="AU85" s="642">
        <f t="shared" si="22"/>
        <v>60</v>
      </c>
      <c r="AV85" s="575"/>
      <c r="AW85" s="575"/>
      <c r="AX85" s="575"/>
      <c r="AY85" s="575"/>
      <c r="AZ85" s="575"/>
      <c r="BA85" s="575"/>
      <c r="BB85" s="575"/>
      <c r="BC85" s="575"/>
      <c r="BJ85" s="575"/>
      <c r="BK85" s="575"/>
    </row>
    <row r="86" spans="2:65" ht="15.75" customHeight="1">
      <c r="B86" s="622">
        <f t="shared" si="14"/>
        <v>61</v>
      </c>
      <c r="C86" s="623">
        <f t="shared" si="12"/>
        <v>2</v>
      </c>
      <c r="D86" s="624" t="str">
        <f>IF($C85=12,$D$85+1,"             ")</f>
        <v xml:space="preserve">             </v>
      </c>
      <c r="E86" s="646"/>
      <c r="F86" s="647"/>
      <c r="G86" s="648"/>
      <c r="H86" s="647"/>
      <c r="I86" s="648"/>
      <c r="J86" s="647"/>
      <c r="K86" s="648"/>
      <c r="L86" s="647"/>
      <c r="M86" s="648"/>
      <c r="N86" s="648"/>
      <c r="O86" s="648"/>
      <c r="P86" s="648"/>
      <c r="Q86" s="647">
        <f t="shared" si="15"/>
        <v>0</v>
      </c>
      <c r="R86" s="648"/>
      <c r="S86" s="648"/>
      <c r="T86" s="648"/>
      <c r="U86" s="649">
        <f t="shared" ref="U86:U90" si="34">SUM(E86:T86)</f>
        <v>0</v>
      </c>
      <c r="V86" s="646"/>
      <c r="W86" s="647">
        <f>IF($AU86=$J$7+1,$M$15,0)</f>
        <v>0</v>
      </c>
      <c r="X86" s="648"/>
      <c r="Y86" s="647"/>
      <c r="Z86" s="631">
        <f>'①Tidak termasuk VAT TAX'!AJ86*10%</f>
        <v>0</v>
      </c>
      <c r="AA86" s="648"/>
      <c r="AB86" s="649">
        <f t="shared" si="16"/>
        <v>0</v>
      </c>
      <c r="AC86" s="633">
        <f>U86+AB86</f>
        <v>0</v>
      </c>
      <c r="AD86" s="634"/>
      <c r="AE86" s="634"/>
      <c r="AF86" s="634">
        <f t="shared" si="31"/>
        <v>0</v>
      </c>
      <c r="AG86" s="634">
        <f t="shared" si="29"/>
        <v>0</v>
      </c>
      <c r="AH86" s="635">
        <f t="shared" si="20"/>
        <v>0</v>
      </c>
      <c r="AI86" s="633">
        <f>IF(AU86&lt;=$J$7,AI85,0)</f>
        <v>0</v>
      </c>
      <c r="AJ86" s="657"/>
      <c r="AK86" s="658"/>
      <c r="AL86" s="647">
        <f t="shared" ref="AL86:AL89" si="35">AI87</f>
        <v>0</v>
      </c>
      <c r="AM86" s="660"/>
      <c r="AN86" s="654"/>
      <c r="AO86" s="643"/>
      <c r="AP86" s="643"/>
      <c r="AQ86" s="643"/>
      <c r="AR86" s="643"/>
      <c r="AS86" s="627"/>
      <c r="AT86" s="641"/>
      <c r="AU86" s="642">
        <f t="shared" si="22"/>
        <v>61</v>
      </c>
      <c r="AV86" s="575"/>
      <c r="AW86" s="575"/>
      <c r="AX86" s="575"/>
      <c r="AY86" s="575"/>
      <c r="AZ86" s="575"/>
      <c r="BA86" s="575"/>
      <c r="BB86" s="575"/>
      <c r="BC86" s="575"/>
      <c r="BJ86" s="575"/>
      <c r="BK86" s="575"/>
    </row>
    <row r="87" spans="2:65" ht="15.75" customHeight="1">
      <c r="B87" s="622">
        <f t="shared" si="14"/>
        <v>62</v>
      </c>
      <c r="C87" s="623">
        <f t="shared" si="12"/>
        <v>3</v>
      </c>
      <c r="D87" s="624" t="str">
        <f>IF($C86=12,$D$85+1,"             ")</f>
        <v xml:space="preserve">             </v>
      </c>
      <c r="E87" s="646"/>
      <c r="F87" s="647"/>
      <c r="G87" s="648"/>
      <c r="H87" s="647"/>
      <c r="I87" s="648"/>
      <c r="J87" s="647"/>
      <c r="K87" s="648"/>
      <c r="L87" s="647"/>
      <c r="M87" s="648"/>
      <c r="N87" s="648"/>
      <c r="O87" s="648"/>
      <c r="P87" s="648"/>
      <c r="Q87" s="647">
        <f t="shared" si="15"/>
        <v>0</v>
      </c>
      <c r="R87" s="648"/>
      <c r="S87" s="648"/>
      <c r="T87" s="648"/>
      <c r="U87" s="649">
        <f t="shared" si="34"/>
        <v>0</v>
      </c>
      <c r="V87" s="646"/>
      <c r="W87" s="647">
        <f t="shared" si="28"/>
        <v>0</v>
      </c>
      <c r="X87" s="648"/>
      <c r="Y87" s="647"/>
      <c r="Z87" s="631">
        <f>'①Tidak termasuk VAT TAX'!AJ87*10%</f>
        <v>0</v>
      </c>
      <c r="AA87" s="648"/>
      <c r="AB87" s="649">
        <f t="shared" si="16"/>
        <v>0</v>
      </c>
      <c r="AC87" s="633">
        <f>U87+AB87</f>
        <v>0</v>
      </c>
      <c r="AD87" s="634"/>
      <c r="AE87" s="634">
        <f t="shared" si="30"/>
        <v>0</v>
      </c>
      <c r="AF87" s="634">
        <f t="shared" si="31"/>
        <v>0</v>
      </c>
      <c r="AG87" s="634">
        <f t="shared" si="29"/>
        <v>0</v>
      </c>
      <c r="AH87" s="635">
        <f t="shared" si="20"/>
        <v>0</v>
      </c>
      <c r="AI87" s="633">
        <f t="shared" si="23"/>
        <v>0</v>
      </c>
      <c r="AJ87" s="657"/>
      <c r="AK87" s="658"/>
      <c r="AL87" s="647">
        <f t="shared" si="35"/>
        <v>0</v>
      </c>
      <c r="AM87" s="660"/>
      <c r="AN87" s="654"/>
      <c r="AO87" s="643"/>
      <c r="AP87" s="643"/>
      <c r="AQ87" s="643"/>
      <c r="AR87" s="643"/>
      <c r="AS87" s="627"/>
      <c r="AT87" s="641"/>
      <c r="AU87" s="642">
        <f t="shared" si="22"/>
        <v>62</v>
      </c>
      <c r="AV87" s="575"/>
      <c r="AW87" s="575"/>
      <c r="AX87" s="575"/>
      <c r="AY87" s="575"/>
      <c r="AZ87" s="575"/>
      <c r="BA87" s="575"/>
      <c r="BB87" s="575"/>
      <c r="BC87" s="575"/>
      <c r="BJ87" s="575"/>
      <c r="BK87" s="575"/>
    </row>
    <row r="88" spans="2:65" ht="15.75" customHeight="1">
      <c r="B88" s="622">
        <f t="shared" si="14"/>
        <v>63</v>
      </c>
      <c r="C88" s="623">
        <f t="shared" si="12"/>
        <v>4</v>
      </c>
      <c r="D88" s="624" t="str">
        <f>IF($C87=12,$D$85+1,"             ")</f>
        <v xml:space="preserve">             </v>
      </c>
      <c r="E88" s="646"/>
      <c r="F88" s="647"/>
      <c r="G88" s="648"/>
      <c r="H88" s="647"/>
      <c r="I88" s="648"/>
      <c r="J88" s="647"/>
      <c r="K88" s="648"/>
      <c r="L88" s="647"/>
      <c r="M88" s="648"/>
      <c r="N88" s="648"/>
      <c r="O88" s="648"/>
      <c r="P88" s="648"/>
      <c r="Q88" s="647">
        <f t="shared" si="15"/>
        <v>0</v>
      </c>
      <c r="R88" s="648"/>
      <c r="S88" s="648"/>
      <c r="T88" s="648"/>
      <c r="U88" s="649">
        <f t="shared" si="34"/>
        <v>0</v>
      </c>
      <c r="V88" s="646"/>
      <c r="W88" s="647">
        <f t="shared" si="28"/>
        <v>0</v>
      </c>
      <c r="X88" s="648"/>
      <c r="Y88" s="647"/>
      <c r="Z88" s="631">
        <f>'①Tidak termasuk VAT TAX'!AJ88*10%</f>
        <v>0</v>
      </c>
      <c r="AA88" s="648"/>
      <c r="AB88" s="649">
        <f t="shared" si="16"/>
        <v>0</v>
      </c>
      <c r="AC88" s="633">
        <f>U88+AB88</f>
        <v>0</v>
      </c>
      <c r="AD88" s="634"/>
      <c r="AE88" s="634">
        <f t="shared" si="30"/>
        <v>0</v>
      </c>
      <c r="AF88" s="634">
        <f t="shared" si="31"/>
        <v>0</v>
      </c>
      <c r="AG88" s="634">
        <f t="shared" si="29"/>
        <v>0</v>
      </c>
      <c r="AH88" s="635">
        <f t="shared" si="20"/>
        <v>0</v>
      </c>
      <c r="AI88" s="633">
        <f t="shared" si="23"/>
        <v>0</v>
      </c>
      <c r="AJ88" s="657"/>
      <c r="AK88" s="658"/>
      <c r="AL88" s="647">
        <f t="shared" si="35"/>
        <v>0</v>
      </c>
      <c r="AM88" s="660"/>
      <c r="AN88" s="654"/>
      <c r="AO88" s="643"/>
      <c r="AP88" s="643"/>
      <c r="AQ88" s="643"/>
      <c r="AR88" s="643"/>
      <c r="AS88" s="627"/>
      <c r="AT88" s="641"/>
      <c r="AU88" s="642">
        <f t="shared" si="22"/>
        <v>63</v>
      </c>
      <c r="AV88" s="575"/>
      <c r="AW88" s="575"/>
      <c r="AX88" s="575"/>
      <c r="AY88" s="575"/>
      <c r="AZ88" s="575"/>
      <c r="BA88" s="575"/>
      <c r="BB88" s="575"/>
      <c r="BC88" s="575"/>
      <c r="BJ88" s="575"/>
      <c r="BK88" s="575"/>
    </row>
    <row r="89" spans="2:65" ht="15.75" customHeight="1">
      <c r="B89" s="622">
        <f t="shared" si="14"/>
        <v>64</v>
      </c>
      <c r="C89" s="623">
        <f t="shared" si="12"/>
        <v>5</v>
      </c>
      <c r="D89" s="624" t="str">
        <f>IF($C88=12,$D$85+1,"             ")</f>
        <v xml:space="preserve">             </v>
      </c>
      <c r="E89" s="646"/>
      <c r="F89" s="647"/>
      <c r="G89" s="648"/>
      <c r="H89" s="647"/>
      <c r="I89" s="648"/>
      <c r="J89" s="647"/>
      <c r="K89" s="648"/>
      <c r="L89" s="647"/>
      <c r="M89" s="648"/>
      <c r="N89" s="648"/>
      <c r="O89" s="648"/>
      <c r="P89" s="648"/>
      <c r="Q89" s="647">
        <f t="shared" si="15"/>
        <v>0</v>
      </c>
      <c r="R89" s="648"/>
      <c r="S89" s="648"/>
      <c r="T89" s="648"/>
      <c r="U89" s="649">
        <f t="shared" si="34"/>
        <v>0</v>
      </c>
      <c r="V89" s="646"/>
      <c r="W89" s="647">
        <f t="shared" si="28"/>
        <v>0</v>
      </c>
      <c r="X89" s="648"/>
      <c r="Y89" s="647"/>
      <c r="Z89" s="631">
        <f>'①Tidak termasuk VAT TAX'!AJ89*10%</f>
        <v>0</v>
      </c>
      <c r="AA89" s="648"/>
      <c r="AB89" s="649">
        <f t="shared" si="16"/>
        <v>0</v>
      </c>
      <c r="AC89" s="633">
        <f>U89+AB89</f>
        <v>0</v>
      </c>
      <c r="AD89" s="634"/>
      <c r="AE89" s="634">
        <f t="shared" si="30"/>
        <v>0</v>
      </c>
      <c r="AF89" s="634">
        <f t="shared" si="31"/>
        <v>0</v>
      </c>
      <c r="AG89" s="634">
        <f t="shared" si="29"/>
        <v>0</v>
      </c>
      <c r="AH89" s="635">
        <f t="shared" si="20"/>
        <v>0</v>
      </c>
      <c r="AI89" s="633">
        <f t="shared" si="23"/>
        <v>0</v>
      </c>
      <c r="AJ89" s="657"/>
      <c r="AK89" s="658"/>
      <c r="AL89" s="647">
        <f t="shared" si="35"/>
        <v>0</v>
      </c>
      <c r="AM89" s="660"/>
      <c r="AN89" s="654"/>
      <c r="AO89" s="643"/>
      <c r="AP89" s="643"/>
      <c r="AQ89" s="643"/>
      <c r="AR89" s="643"/>
      <c r="AS89" s="627"/>
      <c r="AT89" s="641"/>
      <c r="AU89" s="642">
        <f t="shared" si="22"/>
        <v>64</v>
      </c>
      <c r="AV89" s="575"/>
      <c r="AW89" s="575"/>
      <c r="AX89" s="575"/>
      <c r="AY89" s="575"/>
      <c r="AZ89" s="575"/>
      <c r="BA89" s="575"/>
      <c r="BB89" s="575"/>
      <c r="BC89" s="575"/>
      <c r="BJ89" s="575"/>
      <c r="BK89" s="575"/>
    </row>
    <row r="90" spans="2:65" ht="15.75" customHeight="1" thickBot="1">
      <c r="B90" s="661">
        <f t="shared" si="14"/>
        <v>65</v>
      </c>
      <c r="C90" s="662">
        <f>IF($C89=12,1,$C89+1)</f>
        <v>6</v>
      </c>
      <c r="D90" s="663" t="str">
        <f>IF($C89=12,$D$85+1,"             ")</f>
        <v xml:space="preserve">             </v>
      </c>
      <c r="E90" s="664"/>
      <c r="F90" s="665"/>
      <c r="G90" s="666"/>
      <c r="H90" s="665"/>
      <c r="I90" s="666"/>
      <c r="J90" s="665"/>
      <c r="K90" s="666"/>
      <c r="L90" s="665"/>
      <c r="M90" s="666"/>
      <c r="N90" s="666"/>
      <c r="O90" s="666"/>
      <c r="P90" s="666"/>
      <c r="Q90" s="647">
        <f t="shared" si="15"/>
        <v>0</v>
      </c>
      <c r="R90" s="666"/>
      <c r="S90" s="666"/>
      <c r="T90" s="666"/>
      <c r="U90" s="667">
        <f t="shared" si="34"/>
        <v>0</v>
      </c>
      <c r="V90" s="664"/>
      <c r="W90" s="665">
        <f t="shared" si="28"/>
        <v>0</v>
      </c>
      <c r="X90" s="666"/>
      <c r="Y90" s="665"/>
      <c r="Z90" s="668">
        <f>'①Tidak termasuk VAT TAX'!AJ90*10%</f>
        <v>0</v>
      </c>
      <c r="AA90" s="666"/>
      <c r="AB90" s="667">
        <f t="shared" ref="AB90" si="36">SUM(V90:AA90)</f>
        <v>0</v>
      </c>
      <c r="AC90" s="669">
        <f>U90+AB90</f>
        <v>0</v>
      </c>
      <c r="AD90" s="670"/>
      <c r="AE90" s="670">
        <f t="shared" si="30"/>
        <v>0</v>
      </c>
      <c r="AF90" s="670">
        <f t="shared" si="31"/>
        <v>0</v>
      </c>
      <c r="AG90" s="670">
        <f t="shared" si="29"/>
        <v>0</v>
      </c>
      <c r="AH90" s="671">
        <f t="shared" si="20"/>
        <v>0</v>
      </c>
      <c r="AI90" s="669">
        <f t="shared" si="23"/>
        <v>0</v>
      </c>
      <c r="AJ90" s="672"/>
      <c r="AK90" s="673"/>
      <c r="AL90" s="665"/>
      <c r="AM90" s="674"/>
      <c r="AN90" s="675"/>
      <c r="AO90" s="676"/>
      <c r="AP90" s="676"/>
      <c r="AQ90" s="676"/>
      <c r="AR90" s="676"/>
      <c r="AS90" s="677"/>
      <c r="AT90" s="678"/>
      <c r="AU90" s="679">
        <f t="shared" si="22"/>
        <v>65</v>
      </c>
      <c r="AV90" s="575"/>
      <c r="AW90" s="575"/>
      <c r="AX90" s="575"/>
      <c r="AY90" s="575"/>
      <c r="AZ90" s="575"/>
      <c r="BA90" s="575"/>
      <c r="BB90" s="575"/>
      <c r="BC90" s="575"/>
      <c r="BJ90" s="575"/>
      <c r="BK90" s="575"/>
    </row>
    <row r="91" spans="2:65" s="556" customFormat="1" ht="20.100000000000001" customHeight="1" thickTop="1" thickBot="1">
      <c r="B91" s="702"/>
      <c r="C91" s="703"/>
      <c r="D91" s="704"/>
      <c r="E91" s="705"/>
      <c r="F91" s="706">
        <f t="shared" ref="F91:J91" si="37">SUM(F22:F90)</f>
        <v>-28109090.909090906</v>
      </c>
      <c r="G91" s="707"/>
      <c r="H91" s="706">
        <f t="shared" si="37"/>
        <v>0</v>
      </c>
      <c r="I91" s="707"/>
      <c r="J91" s="706">
        <f t="shared" si="37"/>
        <v>0</v>
      </c>
      <c r="K91" s="707"/>
      <c r="L91" s="706">
        <f t="shared" ref="L91:Z91" si="38">SUM(L22:L90)</f>
        <v>0</v>
      </c>
      <c r="M91" s="707"/>
      <c r="N91" s="707"/>
      <c r="O91" s="707"/>
      <c r="P91" s="707"/>
      <c r="Q91" s="706">
        <f t="shared" si="38"/>
        <v>-1200000</v>
      </c>
      <c r="R91" s="707">
        <f t="shared" si="38"/>
        <v>0</v>
      </c>
      <c r="S91" s="707">
        <f t="shared" si="38"/>
        <v>0</v>
      </c>
      <c r="T91" s="707">
        <f t="shared" si="38"/>
        <v>0</v>
      </c>
      <c r="U91" s="708">
        <f t="shared" si="38"/>
        <v>-29309090.909090906</v>
      </c>
      <c r="V91" s="709"/>
      <c r="W91" s="710">
        <f t="shared" si="38"/>
        <v>13492363.636363655</v>
      </c>
      <c r="X91" s="711">
        <f t="shared" si="38"/>
        <v>0</v>
      </c>
      <c r="Y91" s="710">
        <f t="shared" si="38"/>
        <v>2000000</v>
      </c>
      <c r="Z91" s="712">
        <f t="shared" si="38"/>
        <v>27183594.954328891</v>
      </c>
      <c r="AA91" s="711">
        <f>SUM(AA22:AA75)</f>
        <v>0</v>
      </c>
      <c r="AB91" s="713">
        <f t="shared" ref="AB91:AI91" si="39">SUM(AB22:AB90)</f>
        <v>42675958.59069255</v>
      </c>
      <c r="AC91" s="680">
        <f t="shared" si="21"/>
        <v>42675958.59069255</v>
      </c>
      <c r="AD91" s="680">
        <f t="shared" si="21"/>
        <v>42675958.59069255</v>
      </c>
      <c r="AE91" s="680">
        <f>SUM(AE26:AE90)</f>
        <v>-439731277.94696659</v>
      </c>
      <c r="AF91" s="680">
        <f>SUM(AF26:AF90)</f>
        <v>27983594.954328891</v>
      </c>
      <c r="AG91" s="715">
        <f>SUM(AG22:AG90)</f>
        <v>-339096430.54777062</v>
      </c>
      <c r="AH91" s="716">
        <f>SUM(AH22:AH90)</f>
        <v>-2393973.8864219971</v>
      </c>
      <c r="AI91" s="717">
        <f t="shared" si="39"/>
        <v>2632749.4595213528</v>
      </c>
      <c r="AJ91" s="718"/>
      <c r="AK91" s="681"/>
      <c r="AL91" s="682">
        <f>SUM(AL22:AL90)</f>
        <v>2632749.4595213528</v>
      </c>
      <c r="AM91" s="719"/>
      <c r="AN91" s="720"/>
      <c r="AO91" s="721"/>
      <c r="AP91" s="721"/>
      <c r="AQ91" s="721"/>
      <c r="AR91" s="721"/>
      <c r="AS91" s="722"/>
      <c r="AT91" s="723"/>
      <c r="AU91" s="724"/>
    </row>
    <row r="92" spans="2:65" s="585" customFormat="1" ht="22.5" customHeight="1" thickTop="1">
      <c r="B92" s="725"/>
      <c r="C92" s="726"/>
      <c r="D92" s="725"/>
      <c r="E92" s="727"/>
      <c r="F92" s="727"/>
      <c r="G92" s="727"/>
      <c r="H92" s="727"/>
      <c r="I92" s="727"/>
      <c r="J92" s="727"/>
      <c r="K92" s="727"/>
      <c r="L92" s="727"/>
      <c r="M92" s="727"/>
      <c r="N92" s="727"/>
      <c r="O92" s="727"/>
      <c r="P92" s="727"/>
      <c r="Q92" s="727"/>
      <c r="R92" s="727"/>
      <c r="S92" s="727"/>
      <c r="T92" s="727"/>
      <c r="U92" s="727"/>
      <c r="V92" s="727"/>
      <c r="W92" s="727"/>
      <c r="X92" s="727"/>
      <c r="Y92" s="727"/>
      <c r="Z92" s="727"/>
      <c r="AA92" s="727"/>
      <c r="AB92" s="728"/>
      <c r="AC92" s="728"/>
      <c r="AD92" s="728"/>
      <c r="AE92" s="728"/>
      <c r="AF92" s="728"/>
      <c r="AG92" s="728"/>
      <c r="AH92" s="728"/>
      <c r="AI92" s="728"/>
      <c r="AJ92" s="728"/>
      <c r="AK92" s="729"/>
      <c r="AL92" s="729"/>
      <c r="AM92" s="727"/>
      <c r="AP92" s="559"/>
      <c r="AR92" s="559"/>
      <c r="AS92" s="559"/>
      <c r="AT92" s="559"/>
      <c r="AU92" s="559"/>
      <c r="AV92" s="559"/>
      <c r="AW92" s="559"/>
      <c r="AX92" s="559"/>
      <c r="AY92" s="559"/>
      <c r="AZ92" s="559"/>
      <c r="BA92" s="559"/>
      <c r="BB92" s="559"/>
      <c r="BC92" s="559"/>
      <c r="BD92" s="559">
        <f>K168+L168+M168+N168</f>
        <v>13492363.636363633</v>
      </c>
      <c r="BE92" s="730"/>
      <c r="BL92" s="684"/>
      <c r="BM92" s="684"/>
    </row>
    <row r="93" spans="2:65" ht="21.75" customHeight="1"/>
    <row r="94" spans="2:65" ht="21.75" customHeight="1" thickBot="1">
      <c r="B94" s="731"/>
      <c r="C94" s="558"/>
      <c r="D94" s="558"/>
      <c r="E94" s="558"/>
      <c r="F94" s="558"/>
      <c r="G94" s="558"/>
      <c r="H94" s="558"/>
      <c r="I94" s="558"/>
      <c r="J94" s="558"/>
      <c r="K94" s="558"/>
      <c r="L94" s="558"/>
      <c r="M94" s="558"/>
      <c r="N94" s="558"/>
      <c r="O94" s="558"/>
      <c r="P94" s="558"/>
      <c r="Q94" s="558"/>
      <c r="R94" s="558"/>
      <c r="S94" s="684"/>
      <c r="T94" s="684"/>
    </row>
    <row r="95" spans="2:65" s="556" customFormat="1" ht="24.75" customHeight="1" thickTop="1">
      <c r="B95" s="1265" t="s">
        <v>198</v>
      </c>
      <c r="C95" s="1266" t="s">
        <v>199</v>
      </c>
      <c r="D95" s="1266"/>
      <c r="E95" s="1266"/>
      <c r="F95" s="1266"/>
      <c r="G95" s="1266"/>
      <c r="H95" s="1266"/>
      <c r="I95" s="1266"/>
      <c r="J95" s="1266"/>
      <c r="K95" s="1267"/>
      <c r="L95" s="1268" t="s">
        <v>200</v>
      </c>
      <c r="M95" s="1269"/>
      <c r="N95" s="1269"/>
      <c r="O95" s="1270"/>
      <c r="P95" s="1281" t="s">
        <v>201</v>
      </c>
      <c r="Q95" s="1282"/>
      <c r="R95" s="1283"/>
      <c r="S95" s="1275" t="s">
        <v>202</v>
      </c>
      <c r="T95" s="1272" t="s">
        <v>203</v>
      </c>
      <c r="AP95" s="739"/>
      <c r="AQ95" s="558"/>
      <c r="AR95" s="558"/>
      <c r="AS95" s="559"/>
      <c r="AT95" s="558"/>
      <c r="AU95" s="558"/>
      <c r="AV95" s="558"/>
      <c r="AW95" s="558"/>
      <c r="AX95" s="558"/>
      <c r="AY95" s="558"/>
      <c r="AZ95" s="558"/>
      <c r="BA95" s="558"/>
      <c r="BB95" s="558"/>
      <c r="BC95" s="560"/>
      <c r="BJ95" s="561"/>
      <c r="BK95" s="562"/>
    </row>
    <row r="96" spans="2:65" s="556" customFormat="1" ht="24.75" customHeight="1">
      <c r="B96" s="1555"/>
      <c r="C96" s="1556" t="s">
        <v>189</v>
      </c>
      <c r="D96" s="1556"/>
      <c r="E96" s="1556"/>
      <c r="F96" s="1556" t="s">
        <v>210</v>
      </c>
      <c r="G96" s="1556"/>
      <c r="H96" s="1556" t="s">
        <v>188</v>
      </c>
      <c r="I96" s="1556"/>
      <c r="J96" s="1624" t="s">
        <v>211</v>
      </c>
      <c r="K96" s="1554" t="s">
        <v>74</v>
      </c>
      <c r="L96" s="1560" t="s">
        <v>212</v>
      </c>
      <c r="M96" s="1624" t="s">
        <v>213</v>
      </c>
      <c r="N96" s="1559" t="s">
        <v>214</v>
      </c>
      <c r="O96" s="1554" t="s">
        <v>74</v>
      </c>
      <c r="P96" s="1560" t="s">
        <v>215</v>
      </c>
      <c r="Q96" s="1559" t="s">
        <v>216</v>
      </c>
      <c r="R96" s="1561" t="s">
        <v>217</v>
      </c>
      <c r="S96" s="1276"/>
      <c r="T96" s="1273"/>
      <c r="AP96" s="739"/>
      <c r="AQ96" s="558"/>
      <c r="AR96" s="558"/>
      <c r="AS96" s="559"/>
      <c r="AT96" s="558"/>
      <c r="AU96" s="558"/>
      <c r="AV96" s="558"/>
      <c r="AW96" s="558"/>
      <c r="AX96" s="558"/>
      <c r="AY96" s="558"/>
      <c r="AZ96" s="558"/>
      <c r="BA96" s="558"/>
      <c r="BB96" s="558"/>
      <c r="BC96" s="560"/>
      <c r="BJ96" s="561"/>
      <c r="BK96" s="562"/>
    </row>
    <row r="97" spans="2:63" s="556" customFormat="1" ht="24.75" customHeight="1" thickBot="1">
      <c r="B97" s="1287"/>
      <c r="C97" s="780"/>
      <c r="D97" s="1288" t="s">
        <v>192</v>
      </c>
      <c r="E97" s="1288"/>
      <c r="F97" s="779" t="s">
        <v>219</v>
      </c>
      <c r="G97" s="740" t="s">
        <v>192</v>
      </c>
      <c r="H97" s="779" t="s">
        <v>219</v>
      </c>
      <c r="I97" s="740" t="s">
        <v>192</v>
      </c>
      <c r="J97" s="1289"/>
      <c r="K97" s="1271"/>
      <c r="L97" s="1280"/>
      <c r="M97" s="1289"/>
      <c r="N97" s="1279"/>
      <c r="O97" s="1271"/>
      <c r="P97" s="1280"/>
      <c r="Q97" s="1279"/>
      <c r="R97" s="1278"/>
      <c r="S97" s="1277"/>
      <c r="T97" s="1274"/>
      <c r="AP97" s="739"/>
      <c r="AQ97" s="558"/>
      <c r="AR97" s="558"/>
      <c r="AS97" s="559"/>
      <c r="AT97" s="558"/>
      <c r="AU97" s="558"/>
      <c r="AV97" s="558"/>
      <c r="AW97" s="558"/>
      <c r="AX97" s="558"/>
      <c r="AY97" s="558"/>
      <c r="AZ97" s="558"/>
      <c r="BA97" s="558"/>
      <c r="BB97" s="558"/>
      <c r="BC97" s="560"/>
      <c r="BJ97" s="561"/>
      <c r="BK97" s="562"/>
    </row>
    <row r="98" spans="2:63" s="556" customFormat="1" ht="24.75" customHeight="1" thickTop="1" thickBot="1">
      <c r="B98" s="559"/>
      <c r="C98" s="559"/>
      <c r="D98" s="559">
        <f>SUM(D103:D144)</f>
        <v>28109090.909090906</v>
      </c>
      <c r="E98" s="559">
        <v>17000000</v>
      </c>
      <c r="F98" s="559">
        <f>E98-D98</f>
        <v>-11109090.909090906</v>
      </c>
      <c r="G98" s="559"/>
      <c r="H98" s="559"/>
      <c r="I98" s="559"/>
      <c r="J98" s="559"/>
      <c r="K98" s="559"/>
      <c r="L98" s="559"/>
      <c r="M98" s="559"/>
      <c r="N98" s="559"/>
      <c r="O98" s="559"/>
      <c r="P98" s="741"/>
      <c r="Q98" s="741"/>
      <c r="R98" s="741"/>
      <c r="S98" s="742"/>
      <c r="T98" s="684"/>
      <c r="AP98" s="739"/>
      <c r="AQ98" s="558"/>
      <c r="AR98" s="558"/>
      <c r="AS98" s="559"/>
      <c r="AT98" s="558"/>
      <c r="AU98" s="558"/>
      <c r="AV98" s="558"/>
      <c r="AW98" s="558"/>
      <c r="AX98" s="558"/>
      <c r="AY98" s="558"/>
      <c r="AZ98" s="558"/>
      <c r="BA98" s="558"/>
      <c r="BB98" s="558"/>
      <c r="BC98" s="560"/>
      <c r="BJ98" s="561"/>
      <c r="BK98" s="562"/>
    </row>
    <row r="99" spans="2:63" s="556" customFormat="1" ht="15.75" customHeight="1" thickTop="1" thickBot="1">
      <c r="B99" s="772">
        <f t="shared" ref="B99:B130" si="40">B22</f>
        <v>-3</v>
      </c>
      <c r="C99" s="765"/>
      <c r="D99" s="744"/>
      <c r="E99" s="744">
        <f t="shared" ref="E99:E139" si="41">AL22</f>
        <v>0</v>
      </c>
      <c r="F99" s="765"/>
      <c r="G99" s="744">
        <f>W22</f>
        <v>0</v>
      </c>
      <c r="H99" s="765"/>
      <c r="I99" s="744">
        <f>Y22</f>
        <v>0</v>
      </c>
      <c r="J99" s="765"/>
      <c r="K99" s="746">
        <f t="shared" ref="K99:K162" si="42">C99+E99+F99+G99+H99+I99+J99+D99</f>
        <v>0</v>
      </c>
      <c r="L99" s="743">
        <f>U22</f>
        <v>0</v>
      </c>
      <c r="M99" s="765"/>
      <c r="N99" s="744">
        <v>0</v>
      </c>
      <c r="O99" s="746">
        <f>L99+M99+N99</f>
        <v>0</v>
      </c>
      <c r="P99" s="747">
        <f>K99+O99</f>
        <v>0</v>
      </c>
      <c r="Q99" s="748">
        <v>0</v>
      </c>
      <c r="R99" s="749">
        <f t="shared" ref="R99:R101" si="43">P99+Q99</f>
        <v>0</v>
      </c>
      <c r="S99" s="750">
        <f t="shared" ref="S99:S130" si="44">IF($R99&lt;0,$R99*-1,0)</f>
        <v>0</v>
      </c>
      <c r="T99" s="750">
        <f t="shared" ref="T99:T139" si="45">$S99*$G$14*1/12</f>
        <v>0</v>
      </c>
      <c r="AP99" s="739"/>
      <c r="AQ99" s="558"/>
      <c r="AR99" s="558"/>
      <c r="AS99" s="559"/>
      <c r="AT99" s="558"/>
      <c r="AU99" s="558"/>
      <c r="AV99" s="558"/>
      <c r="AW99" s="558"/>
      <c r="AX99" s="558"/>
      <c r="AY99" s="558"/>
      <c r="AZ99" s="558"/>
      <c r="BA99" s="558"/>
      <c r="BB99" s="558"/>
      <c r="BC99" s="560"/>
      <c r="BJ99" s="561"/>
      <c r="BK99" s="562"/>
    </row>
    <row r="100" spans="2:63" s="556" customFormat="1" ht="15.75" customHeight="1" thickTop="1" thickBot="1">
      <c r="B100" s="773">
        <f t="shared" si="40"/>
        <v>-2</v>
      </c>
      <c r="C100" s="766"/>
      <c r="D100" s="701">
        <f t="shared" ref="D100:D157" si="46">IF(AE23&gt;=0,AE23,0)</f>
        <v>0</v>
      </c>
      <c r="E100" s="701">
        <f t="shared" si="41"/>
        <v>0</v>
      </c>
      <c r="F100" s="766"/>
      <c r="G100" s="744">
        <f t="shared" ref="G100:G163" si="47">W23</f>
        <v>0</v>
      </c>
      <c r="H100" s="766"/>
      <c r="I100" s="744">
        <f t="shared" ref="I100:I163" si="48">Y23</f>
        <v>0</v>
      </c>
      <c r="J100" s="766"/>
      <c r="K100" s="745">
        <f t="shared" si="42"/>
        <v>0</v>
      </c>
      <c r="L100" s="751">
        <f>U23</f>
        <v>0</v>
      </c>
      <c r="M100" s="766"/>
      <c r="N100" s="701">
        <f>T99*-1</f>
        <v>0</v>
      </c>
      <c r="O100" s="745">
        <f t="shared" ref="O100:O163" si="49">L100+M100+N100</f>
        <v>0</v>
      </c>
      <c r="P100" s="752">
        <f>K100+O100</f>
        <v>0</v>
      </c>
      <c r="Q100" s="753">
        <f>R99</f>
        <v>0</v>
      </c>
      <c r="R100" s="754">
        <f t="shared" si="43"/>
        <v>0</v>
      </c>
      <c r="S100" s="755">
        <f t="shared" si="44"/>
        <v>0</v>
      </c>
      <c r="T100" s="755">
        <f t="shared" si="45"/>
        <v>0</v>
      </c>
      <c r="W100" s="558"/>
      <c r="AP100" s="739"/>
      <c r="AQ100" s="558"/>
      <c r="AR100" s="558"/>
      <c r="AS100" s="559"/>
      <c r="AT100" s="558"/>
      <c r="AU100" s="558"/>
      <c r="AV100" s="558"/>
      <c r="AW100" s="558"/>
      <c r="AX100" s="558"/>
      <c r="AY100" s="558"/>
      <c r="AZ100" s="558"/>
      <c r="BA100" s="558"/>
      <c r="BB100" s="558"/>
      <c r="BC100" s="560"/>
      <c r="BJ100" s="561"/>
      <c r="BK100" s="562"/>
    </row>
    <row r="101" spans="2:63" s="556" customFormat="1" ht="15.75" customHeight="1" thickTop="1" thickBot="1">
      <c r="B101" s="773">
        <f t="shared" si="40"/>
        <v>-1</v>
      </c>
      <c r="C101" s="766"/>
      <c r="D101" s="701">
        <f t="shared" si="46"/>
        <v>0</v>
      </c>
      <c r="E101" s="701">
        <f t="shared" si="41"/>
        <v>0</v>
      </c>
      <c r="F101" s="766"/>
      <c r="G101" s="744">
        <f t="shared" si="47"/>
        <v>0</v>
      </c>
      <c r="H101" s="766"/>
      <c r="I101" s="744">
        <f t="shared" si="48"/>
        <v>0</v>
      </c>
      <c r="J101" s="766"/>
      <c r="K101" s="745">
        <f t="shared" si="42"/>
        <v>0</v>
      </c>
      <c r="L101" s="751">
        <f>U24</f>
        <v>0</v>
      </c>
      <c r="M101" s="766"/>
      <c r="N101" s="701">
        <f>T100*-1</f>
        <v>0</v>
      </c>
      <c r="O101" s="745">
        <f t="shared" si="49"/>
        <v>0</v>
      </c>
      <c r="P101" s="752">
        <f t="shared" ref="P101:P161" si="50">K101+O101</f>
        <v>0</v>
      </c>
      <c r="Q101" s="753">
        <f t="shared" ref="Q101:Q164" si="51">R100</f>
        <v>0</v>
      </c>
      <c r="R101" s="754">
        <f t="shared" si="43"/>
        <v>0</v>
      </c>
      <c r="S101" s="755">
        <f t="shared" si="44"/>
        <v>0</v>
      </c>
      <c r="T101" s="755">
        <f t="shared" si="45"/>
        <v>0</v>
      </c>
      <c r="AP101" s="739"/>
      <c r="AQ101" s="558"/>
      <c r="AR101" s="558"/>
      <c r="AS101" s="559"/>
      <c r="AT101" s="558"/>
      <c r="AU101" s="558"/>
      <c r="AV101" s="558"/>
      <c r="AW101" s="558"/>
      <c r="AX101" s="558"/>
      <c r="AY101" s="558"/>
      <c r="AZ101" s="558"/>
      <c r="BA101" s="558"/>
      <c r="BB101" s="558"/>
      <c r="BC101" s="560"/>
      <c r="BJ101" s="561"/>
      <c r="BK101" s="562"/>
    </row>
    <row r="102" spans="2:63" s="556" customFormat="1" ht="15.75" customHeight="1" thickTop="1" thickBot="1">
      <c r="B102" s="774">
        <f t="shared" si="40"/>
        <v>0</v>
      </c>
      <c r="C102" s="766"/>
      <c r="D102" s="701">
        <f t="shared" si="46"/>
        <v>0</v>
      </c>
      <c r="E102" s="701">
        <f t="shared" si="41"/>
        <v>0</v>
      </c>
      <c r="F102" s="766"/>
      <c r="G102" s="744">
        <f t="shared" si="47"/>
        <v>0</v>
      </c>
      <c r="H102" s="766"/>
      <c r="I102" s="1526">
        <v>0</v>
      </c>
      <c r="J102" s="766"/>
      <c r="K102" s="745">
        <f t="shared" si="42"/>
        <v>0</v>
      </c>
      <c r="L102" s="751">
        <f>AC25</f>
        <v>-28109090.909090906</v>
      </c>
      <c r="M102" s="766"/>
      <c r="N102" s="701">
        <f t="shared" ref="N102:N165" si="52">T101*-1</f>
        <v>0</v>
      </c>
      <c r="O102" s="745">
        <f>L102+M102+N102</f>
        <v>-28109090.909090906</v>
      </c>
      <c r="P102" s="752">
        <f>K102+O102</f>
        <v>-28109090.909090906</v>
      </c>
      <c r="Q102" s="753">
        <f>R101</f>
        <v>0</v>
      </c>
      <c r="R102" s="754">
        <f>P102+Q102</f>
        <v>-28109090.909090906</v>
      </c>
      <c r="S102" s="755">
        <f>IF($R102&lt;0,$R102*-1,0)</f>
        <v>28109090.909090906</v>
      </c>
      <c r="T102" s="755">
        <f>$S102*$G$14*1/12</f>
        <v>217845.4545454545</v>
      </c>
      <c r="V102" s="558"/>
      <c r="W102" s="558"/>
      <c r="AP102" s="739"/>
      <c r="AQ102" s="558"/>
      <c r="AR102" s="558"/>
      <c r="AS102" s="559"/>
      <c r="AT102" s="558"/>
      <c r="AU102" s="558"/>
      <c r="AV102" s="558"/>
      <c r="AW102" s="558"/>
      <c r="AX102" s="558"/>
      <c r="AY102" s="558"/>
      <c r="AZ102" s="558"/>
      <c r="BA102" s="558"/>
      <c r="BB102" s="558"/>
      <c r="BC102" s="560"/>
      <c r="BJ102" s="561"/>
      <c r="BK102" s="562"/>
    </row>
    <row r="103" spans="2:63" s="556" customFormat="1" ht="15.75" customHeight="1" thickTop="1" thickBot="1">
      <c r="B103" s="774">
        <f t="shared" si="40"/>
        <v>1</v>
      </c>
      <c r="C103" s="766"/>
      <c r="D103" s="701">
        <f t="shared" si="46"/>
        <v>3082649.7897637035</v>
      </c>
      <c r="E103" s="701">
        <f t="shared" si="41"/>
        <v>109697.894146723</v>
      </c>
      <c r="F103" s="766"/>
      <c r="G103" s="744">
        <f t="shared" si="47"/>
        <v>0</v>
      </c>
      <c r="H103" s="766"/>
      <c r="I103" s="744">
        <v>0</v>
      </c>
      <c r="J103" s="766"/>
      <c r="K103" s="745">
        <f>C103+E103+F103+G103+H103+I103+J103+D103</f>
        <v>3192347.6839104267</v>
      </c>
      <c r="L103" s="751"/>
      <c r="M103" s="766"/>
      <c r="N103" s="701">
        <f>T102*-1</f>
        <v>-217845.4545454545</v>
      </c>
      <c r="O103" s="745">
        <f>L103+M103+N103</f>
        <v>-217845.4545454545</v>
      </c>
      <c r="P103" s="752">
        <f>K103+O103</f>
        <v>2974502.2293649721</v>
      </c>
      <c r="Q103" s="753">
        <f>R102</f>
        <v>-28109090.909090906</v>
      </c>
      <c r="R103" s="754">
        <f>P103+Q103</f>
        <v>-25134588.679725934</v>
      </c>
      <c r="S103" s="755">
        <f t="shared" si="44"/>
        <v>25134588.679725934</v>
      </c>
      <c r="T103" s="755">
        <f t="shared" si="45"/>
        <v>194793.062267876</v>
      </c>
      <c r="V103" s="558"/>
      <c r="W103" s="558"/>
      <c r="X103" s="558"/>
      <c r="AP103" s="739"/>
      <c r="AQ103" s="558"/>
      <c r="AR103" s="558"/>
      <c r="AS103" s="559"/>
      <c r="AT103" s="558"/>
      <c r="AU103" s="558"/>
      <c r="AV103" s="558"/>
      <c r="AW103" s="558"/>
      <c r="AX103" s="558"/>
      <c r="AY103" s="558"/>
      <c r="AZ103" s="558"/>
      <c r="BA103" s="558"/>
      <c r="BB103" s="558"/>
      <c r="BC103" s="560"/>
      <c r="BJ103" s="561"/>
      <c r="BK103" s="562"/>
    </row>
    <row r="104" spans="2:63" s="556" customFormat="1" ht="15.75" customHeight="1" thickTop="1" thickBot="1">
      <c r="B104" s="774">
        <f t="shared" si="40"/>
        <v>2</v>
      </c>
      <c r="C104" s="766"/>
      <c r="D104" s="701">
        <f t="shared" si="46"/>
        <v>1082649.7897637035</v>
      </c>
      <c r="E104" s="701">
        <f t="shared" si="41"/>
        <v>109697.894146723</v>
      </c>
      <c r="F104" s="766"/>
      <c r="G104" s="744">
        <f t="shared" si="47"/>
        <v>0</v>
      </c>
      <c r="H104" s="766"/>
      <c r="I104" s="744">
        <f t="shared" si="48"/>
        <v>0</v>
      </c>
      <c r="J104" s="766"/>
      <c r="K104" s="745">
        <f t="shared" si="42"/>
        <v>1192347.6839104265</v>
      </c>
      <c r="L104" s="751"/>
      <c r="M104" s="766"/>
      <c r="N104" s="701">
        <f t="shared" si="52"/>
        <v>-194793.062267876</v>
      </c>
      <c r="O104" s="745">
        <f t="shared" si="49"/>
        <v>-194793.062267876</v>
      </c>
      <c r="P104" s="752">
        <f>K104+O104</f>
        <v>997554.62164255045</v>
      </c>
      <c r="Q104" s="753">
        <f>R103</f>
        <v>-25134588.679725934</v>
      </c>
      <c r="R104" s="754">
        <f>P104+Q104</f>
        <v>-24137034.058083385</v>
      </c>
      <c r="S104" s="755">
        <f t="shared" si="44"/>
        <v>24137034.058083385</v>
      </c>
      <c r="T104" s="755">
        <f t="shared" si="45"/>
        <v>187062.01395014624</v>
      </c>
      <c r="V104" s="558"/>
      <c r="W104" s="558"/>
      <c r="X104" s="558"/>
      <c r="AP104" s="739"/>
      <c r="AQ104" s="558"/>
      <c r="AR104" s="558"/>
      <c r="AS104" s="559"/>
      <c r="AT104" s="558"/>
      <c r="AU104" s="558"/>
      <c r="AV104" s="558"/>
      <c r="AW104" s="558"/>
      <c r="AX104" s="558"/>
      <c r="AY104" s="558"/>
      <c r="AZ104" s="558"/>
      <c r="BA104" s="558"/>
      <c r="BB104" s="558"/>
      <c r="BC104" s="560"/>
      <c r="BJ104" s="561"/>
      <c r="BK104" s="562"/>
    </row>
    <row r="105" spans="2:63" s="556" customFormat="1" ht="15.75" customHeight="1" thickTop="1" thickBot="1">
      <c r="B105" s="774">
        <f t="shared" si="40"/>
        <v>3</v>
      </c>
      <c r="C105" s="766"/>
      <c r="D105" s="701">
        <f t="shared" si="46"/>
        <v>1082649.7897637035</v>
      </c>
      <c r="E105" s="701">
        <f t="shared" si="41"/>
        <v>109697.894146723</v>
      </c>
      <c r="F105" s="766"/>
      <c r="G105" s="744">
        <f t="shared" si="47"/>
        <v>0</v>
      </c>
      <c r="H105" s="766"/>
      <c r="I105" s="744">
        <f t="shared" si="48"/>
        <v>0</v>
      </c>
      <c r="J105" s="766"/>
      <c r="K105" s="745">
        <f t="shared" si="42"/>
        <v>1192347.6839104265</v>
      </c>
      <c r="L105" s="751"/>
      <c r="M105" s="766"/>
      <c r="N105" s="701">
        <f t="shared" si="52"/>
        <v>-187062.01395014624</v>
      </c>
      <c r="O105" s="745">
        <f t="shared" si="49"/>
        <v>-187062.01395014624</v>
      </c>
      <c r="P105" s="752">
        <f t="shared" si="50"/>
        <v>1005285.6699602802</v>
      </c>
      <c r="Q105" s="753">
        <f>R104</f>
        <v>-24137034.058083385</v>
      </c>
      <c r="R105" s="754">
        <f t="shared" ref="R105:R164" si="53">P105+Q105</f>
        <v>-23131748.388123106</v>
      </c>
      <c r="S105" s="755">
        <f t="shared" si="44"/>
        <v>23131748.388123106</v>
      </c>
      <c r="T105" s="755">
        <f t="shared" si="45"/>
        <v>179271.05000795409</v>
      </c>
      <c r="V105" s="558"/>
      <c r="W105" s="558"/>
      <c r="X105" s="558"/>
      <c r="AP105" s="739"/>
      <c r="AQ105" s="558"/>
      <c r="AR105" s="558"/>
      <c r="AS105" s="559"/>
      <c r="AT105" s="558"/>
      <c r="AU105" s="558"/>
      <c r="AV105" s="558"/>
      <c r="AW105" s="558"/>
      <c r="AX105" s="558"/>
      <c r="AY105" s="558"/>
      <c r="AZ105" s="558"/>
      <c r="BA105" s="558"/>
      <c r="BB105" s="558"/>
      <c r="BC105" s="560"/>
      <c r="BJ105" s="561"/>
      <c r="BK105" s="562"/>
    </row>
    <row r="106" spans="2:63" s="556" customFormat="1" ht="15.75" customHeight="1" thickTop="1" thickBot="1">
      <c r="B106" s="774">
        <f t="shared" si="40"/>
        <v>4</v>
      </c>
      <c r="C106" s="766"/>
      <c r="D106" s="701">
        <f t="shared" si="46"/>
        <v>1082649.7897637035</v>
      </c>
      <c r="E106" s="701">
        <f t="shared" si="41"/>
        <v>109697.894146723</v>
      </c>
      <c r="F106" s="766"/>
      <c r="G106" s="744">
        <f t="shared" si="47"/>
        <v>0</v>
      </c>
      <c r="H106" s="766"/>
      <c r="I106" s="744">
        <f t="shared" si="48"/>
        <v>0</v>
      </c>
      <c r="J106" s="766"/>
      <c r="K106" s="745">
        <f t="shared" si="42"/>
        <v>1192347.6839104265</v>
      </c>
      <c r="L106" s="751"/>
      <c r="M106" s="766"/>
      <c r="N106" s="701">
        <f t="shared" si="52"/>
        <v>-179271.05000795409</v>
      </c>
      <c r="O106" s="745">
        <f t="shared" si="49"/>
        <v>-179271.05000795409</v>
      </c>
      <c r="P106" s="752">
        <f t="shared" si="50"/>
        <v>1013076.6339024723</v>
      </c>
      <c r="Q106" s="753">
        <f>R105</f>
        <v>-23131748.388123106</v>
      </c>
      <c r="R106" s="754">
        <f t="shared" si="53"/>
        <v>-22118671.754220635</v>
      </c>
      <c r="S106" s="755">
        <f t="shared" si="44"/>
        <v>22118671.754220635</v>
      </c>
      <c r="T106" s="755">
        <f t="shared" si="45"/>
        <v>171419.70609520993</v>
      </c>
      <c r="AP106" s="739"/>
      <c r="AQ106" s="558"/>
      <c r="AR106" s="558"/>
      <c r="AS106" s="559"/>
      <c r="AT106" s="558"/>
      <c r="AU106" s="558"/>
      <c r="AV106" s="558"/>
      <c r="AW106" s="558"/>
      <c r="AX106" s="558"/>
      <c r="AY106" s="558"/>
      <c r="AZ106" s="558"/>
      <c r="BA106" s="558"/>
      <c r="BB106" s="558"/>
      <c r="BC106" s="560"/>
      <c r="BJ106" s="561"/>
      <c r="BK106" s="562"/>
    </row>
    <row r="107" spans="2:63" s="556" customFormat="1" ht="15.75" customHeight="1" thickTop="1" thickBot="1">
      <c r="B107" s="774">
        <f t="shared" si="40"/>
        <v>5</v>
      </c>
      <c r="C107" s="766"/>
      <c r="D107" s="701">
        <f t="shared" si="46"/>
        <v>1082649.7897637035</v>
      </c>
      <c r="E107" s="701">
        <f t="shared" si="41"/>
        <v>109697.894146723</v>
      </c>
      <c r="F107" s="766"/>
      <c r="G107" s="744">
        <f t="shared" si="47"/>
        <v>0</v>
      </c>
      <c r="H107" s="766"/>
      <c r="I107" s="744">
        <f t="shared" si="48"/>
        <v>0</v>
      </c>
      <c r="J107" s="766"/>
      <c r="K107" s="745">
        <f t="shared" si="42"/>
        <v>1192347.6839104265</v>
      </c>
      <c r="L107" s="751"/>
      <c r="M107" s="766"/>
      <c r="N107" s="701">
        <f t="shared" si="52"/>
        <v>-171419.70609520993</v>
      </c>
      <c r="O107" s="745">
        <f t="shared" si="49"/>
        <v>-171419.70609520993</v>
      </c>
      <c r="P107" s="752">
        <f t="shared" si="50"/>
        <v>1020927.9778152165</v>
      </c>
      <c r="Q107" s="753">
        <f t="shared" si="51"/>
        <v>-22118671.754220635</v>
      </c>
      <c r="R107" s="754">
        <f>P107+Q107</f>
        <v>-21097743.776405416</v>
      </c>
      <c r="S107" s="755">
        <f t="shared" si="44"/>
        <v>21097743.776405416</v>
      </c>
      <c r="T107" s="755">
        <f t="shared" si="45"/>
        <v>163507.51426714196</v>
      </c>
      <c r="AP107" s="739"/>
      <c r="AQ107" s="558"/>
      <c r="AR107" s="558"/>
      <c r="AS107" s="559"/>
      <c r="AT107" s="558"/>
      <c r="AU107" s="558"/>
      <c r="AV107" s="558"/>
      <c r="AW107" s="558"/>
      <c r="AX107" s="558"/>
      <c r="AY107" s="558"/>
      <c r="AZ107" s="558"/>
      <c r="BA107" s="558"/>
      <c r="BB107" s="558"/>
      <c r="BC107" s="560"/>
      <c r="BJ107" s="561"/>
      <c r="BK107" s="562"/>
    </row>
    <row r="108" spans="2:63" s="556" customFormat="1" ht="15.75" customHeight="1" thickTop="1" thickBot="1">
      <c r="B108" s="774">
        <f t="shared" si="40"/>
        <v>6</v>
      </c>
      <c r="C108" s="766"/>
      <c r="D108" s="701">
        <f t="shared" si="46"/>
        <v>1082649.7897637035</v>
      </c>
      <c r="E108" s="701">
        <f t="shared" si="41"/>
        <v>109697.894146723</v>
      </c>
      <c r="F108" s="766"/>
      <c r="G108" s="744">
        <f t="shared" si="47"/>
        <v>0</v>
      </c>
      <c r="H108" s="766"/>
      <c r="I108" s="744">
        <f t="shared" si="48"/>
        <v>0</v>
      </c>
      <c r="J108" s="766"/>
      <c r="K108" s="745">
        <f t="shared" si="42"/>
        <v>1192347.6839104265</v>
      </c>
      <c r="L108" s="751"/>
      <c r="M108" s="766"/>
      <c r="N108" s="701">
        <f t="shared" si="52"/>
        <v>-163507.51426714196</v>
      </c>
      <c r="O108" s="745">
        <f t="shared" si="49"/>
        <v>-163507.51426714196</v>
      </c>
      <c r="P108" s="752">
        <f t="shared" si="50"/>
        <v>1028840.1696432845</v>
      </c>
      <c r="Q108" s="753">
        <f t="shared" si="51"/>
        <v>-21097743.776405416</v>
      </c>
      <c r="R108" s="754">
        <f t="shared" si="53"/>
        <v>-20068903.606762134</v>
      </c>
      <c r="S108" s="755">
        <f t="shared" si="44"/>
        <v>20068903.606762134</v>
      </c>
      <c r="T108" s="755">
        <f t="shared" si="45"/>
        <v>155534.00295240653</v>
      </c>
      <c r="AP108" s="739"/>
      <c r="AQ108" s="558"/>
      <c r="AR108" s="558"/>
      <c r="AS108" s="559"/>
      <c r="AT108" s="558"/>
      <c r="AU108" s="558"/>
      <c r="AV108" s="558"/>
      <c r="AW108" s="558"/>
      <c r="AX108" s="558"/>
      <c r="AY108" s="558"/>
      <c r="AZ108" s="558"/>
      <c r="BA108" s="558"/>
      <c r="BB108" s="558"/>
      <c r="BC108" s="560"/>
      <c r="BJ108" s="561"/>
      <c r="BK108" s="562"/>
    </row>
    <row r="109" spans="2:63" s="556" customFormat="1" ht="15.75" customHeight="1" thickTop="1" thickBot="1">
      <c r="B109" s="774">
        <f t="shared" si="40"/>
        <v>7</v>
      </c>
      <c r="C109" s="766"/>
      <c r="D109" s="701">
        <f t="shared" si="46"/>
        <v>1082649.7897637035</v>
      </c>
      <c r="E109" s="701">
        <f t="shared" si="41"/>
        <v>109697.894146723</v>
      </c>
      <c r="F109" s="766"/>
      <c r="G109" s="744">
        <f t="shared" si="47"/>
        <v>0</v>
      </c>
      <c r="H109" s="766"/>
      <c r="I109" s="744">
        <f t="shared" si="48"/>
        <v>0</v>
      </c>
      <c r="J109" s="766"/>
      <c r="K109" s="745">
        <f t="shared" si="42"/>
        <v>1192347.6839104265</v>
      </c>
      <c r="L109" s="751"/>
      <c r="M109" s="766"/>
      <c r="N109" s="701">
        <f t="shared" si="52"/>
        <v>-155534.00295240653</v>
      </c>
      <c r="O109" s="745">
        <f t="shared" si="49"/>
        <v>-155534.00295240653</v>
      </c>
      <c r="P109" s="752">
        <f t="shared" si="50"/>
        <v>1036813.6809580199</v>
      </c>
      <c r="Q109" s="753">
        <f t="shared" si="51"/>
        <v>-20068903.606762134</v>
      </c>
      <c r="R109" s="754">
        <f t="shared" si="53"/>
        <v>-19032089.925804112</v>
      </c>
      <c r="S109" s="755">
        <f t="shared" si="44"/>
        <v>19032089.925804112</v>
      </c>
      <c r="T109" s="755">
        <f t="shared" si="45"/>
        <v>147498.69692498186</v>
      </c>
      <c r="AP109" s="739"/>
      <c r="AQ109" s="558"/>
      <c r="AR109" s="558"/>
      <c r="AS109" s="559"/>
      <c r="AT109" s="558"/>
      <c r="AU109" s="558"/>
      <c r="AV109" s="558"/>
      <c r="AW109" s="558"/>
      <c r="AX109" s="558"/>
      <c r="AY109" s="558"/>
      <c r="AZ109" s="558"/>
      <c r="BA109" s="558"/>
      <c r="BB109" s="558"/>
      <c r="BC109" s="560"/>
      <c r="BJ109" s="561"/>
      <c r="BK109" s="562"/>
    </row>
    <row r="110" spans="2:63" s="556" customFormat="1" ht="15.75" customHeight="1" thickTop="1" thickBot="1">
      <c r="B110" s="774">
        <f t="shared" si="40"/>
        <v>8</v>
      </c>
      <c r="C110" s="766"/>
      <c r="D110" s="701">
        <f t="shared" si="46"/>
        <v>1082649.7897637035</v>
      </c>
      <c r="E110" s="701">
        <f t="shared" si="41"/>
        <v>109697.894146723</v>
      </c>
      <c r="F110" s="766"/>
      <c r="G110" s="744">
        <f t="shared" si="47"/>
        <v>0</v>
      </c>
      <c r="H110" s="766"/>
      <c r="I110" s="744">
        <f t="shared" si="48"/>
        <v>0</v>
      </c>
      <c r="J110" s="766"/>
      <c r="K110" s="745">
        <f t="shared" si="42"/>
        <v>1192347.6839104265</v>
      </c>
      <c r="L110" s="751"/>
      <c r="M110" s="766"/>
      <c r="N110" s="701">
        <f t="shared" si="52"/>
        <v>-147498.69692498186</v>
      </c>
      <c r="O110" s="745">
        <f t="shared" si="49"/>
        <v>-147498.69692498186</v>
      </c>
      <c r="P110" s="752">
        <f t="shared" si="50"/>
        <v>1044848.9869854446</v>
      </c>
      <c r="Q110" s="753">
        <f t="shared" si="51"/>
        <v>-19032089.925804112</v>
      </c>
      <c r="R110" s="754">
        <f t="shared" si="53"/>
        <v>-17987240.938818667</v>
      </c>
      <c r="S110" s="755">
        <f t="shared" si="44"/>
        <v>17987240.938818667</v>
      </c>
      <c r="T110" s="755">
        <f t="shared" si="45"/>
        <v>139401.11727584468</v>
      </c>
      <c r="AP110" s="739"/>
      <c r="AQ110" s="558"/>
      <c r="AR110" s="558"/>
      <c r="AS110" s="559"/>
      <c r="AT110" s="558"/>
      <c r="AU110" s="558"/>
      <c r="AV110" s="558"/>
      <c r="AW110" s="558"/>
      <c r="AX110" s="558"/>
      <c r="AY110" s="558"/>
      <c r="AZ110" s="558"/>
      <c r="BA110" s="558"/>
      <c r="BB110" s="558"/>
      <c r="BC110" s="560"/>
      <c r="BJ110" s="561"/>
      <c r="BK110" s="562"/>
    </row>
    <row r="111" spans="2:63" s="556" customFormat="1" ht="15.75" customHeight="1" thickTop="1" thickBot="1">
      <c r="B111" s="774">
        <f t="shared" si="40"/>
        <v>9</v>
      </c>
      <c r="C111" s="766"/>
      <c r="D111" s="701">
        <f t="shared" si="46"/>
        <v>1082649.7897637035</v>
      </c>
      <c r="E111" s="701">
        <f t="shared" si="41"/>
        <v>109697.894146723</v>
      </c>
      <c r="F111" s="766"/>
      <c r="G111" s="744">
        <f t="shared" si="47"/>
        <v>0</v>
      </c>
      <c r="H111" s="766"/>
      <c r="I111" s="744">
        <f t="shared" si="48"/>
        <v>0</v>
      </c>
      <c r="J111" s="766"/>
      <c r="K111" s="745">
        <f t="shared" si="42"/>
        <v>1192347.6839104265</v>
      </c>
      <c r="L111" s="751"/>
      <c r="M111" s="766"/>
      <c r="N111" s="701">
        <f t="shared" si="52"/>
        <v>-139401.11727584468</v>
      </c>
      <c r="O111" s="745">
        <f t="shared" si="49"/>
        <v>-139401.11727584468</v>
      </c>
      <c r="P111" s="752">
        <f t="shared" si="50"/>
        <v>1052946.5666345819</v>
      </c>
      <c r="Q111" s="753">
        <f t="shared" si="51"/>
        <v>-17987240.938818667</v>
      </c>
      <c r="R111" s="754">
        <f t="shared" si="53"/>
        <v>-16934294.372184087</v>
      </c>
      <c r="S111" s="755">
        <f t="shared" si="44"/>
        <v>16934294.372184087</v>
      </c>
      <c r="T111" s="755">
        <f t="shared" si="45"/>
        <v>131240.78138442666</v>
      </c>
      <c r="AP111" s="739"/>
      <c r="AQ111" s="558"/>
      <c r="AR111" s="558"/>
      <c r="AS111" s="559"/>
      <c r="AT111" s="558"/>
      <c r="AU111" s="558"/>
      <c r="AV111" s="558"/>
      <c r="AW111" s="558"/>
      <c r="AX111" s="558"/>
      <c r="AY111" s="558"/>
      <c r="AZ111" s="558"/>
      <c r="BA111" s="558"/>
      <c r="BB111" s="558"/>
      <c r="BC111" s="560"/>
      <c r="BJ111" s="561"/>
      <c r="BK111" s="562"/>
    </row>
    <row r="112" spans="2:63" s="556" customFormat="1" ht="15.75" customHeight="1" thickTop="1" thickBot="1">
      <c r="B112" s="774">
        <f t="shared" si="40"/>
        <v>10</v>
      </c>
      <c r="C112" s="766"/>
      <c r="D112" s="701">
        <f t="shared" si="46"/>
        <v>1082649.7897637035</v>
      </c>
      <c r="E112" s="701">
        <f t="shared" si="41"/>
        <v>109697.894146723</v>
      </c>
      <c r="F112" s="766"/>
      <c r="G112" s="744">
        <f t="shared" si="47"/>
        <v>0</v>
      </c>
      <c r="H112" s="766"/>
      <c r="I112" s="744">
        <f t="shared" si="48"/>
        <v>0</v>
      </c>
      <c r="J112" s="766"/>
      <c r="K112" s="745">
        <f t="shared" si="42"/>
        <v>1192347.6839104265</v>
      </c>
      <c r="L112" s="751"/>
      <c r="M112" s="766"/>
      <c r="N112" s="701">
        <f t="shared" si="52"/>
        <v>-131240.78138442666</v>
      </c>
      <c r="O112" s="745">
        <f t="shared" si="49"/>
        <v>-131240.78138442666</v>
      </c>
      <c r="P112" s="752">
        <f t="shared" si="50"/>
        <v>1061106.9025259998</v>
      </c>
      <c r="Q112" s="753">
        <f t="shared" si="51"/>
        <v>-16934294.372184087</v>
      </c>
      <c r="R112" s="754">
        <f t="shared" si="53"/>
        <v>-15873187.469658086</v>
      </c>
      <c r="S112" s="755">
        <f t="shared" si="44"/>
        <v>15873187.469658086</v>
      </c>
      <c r="T112" s="755">
        <f t="shared" si="45"/>
        <v>123017.20288985017</v>
      </c>
      <c r="AP112" s="739"/>
      <c r="AQ112" s="558"/>
      <c r="AR112" s="558"/>
      <c r="AS112" s="559"/>
      <c r="AT112" s="558"/>
      <c r="AU112" s="558"/>
      <c r="AV112" s="558"/>
      <c r="AW112" s="558"/>
      <c r="AX112" s="558"/>
      <c r="AY112" s="558"/>
      <c r="AZ112" s="558"/>
      <c r="BA112" s="558"/>
      <c r="BB112" s="558"/>
      <c r="BC112" s="560"/>
      <c r="BJ112" s="561"/>
      <c r="BK112" s="562"/>
    </row>
    <row r="113" spans="2:63" s="556" customFormat="1" ht="15.75" customHeight="1" thickTop="1" thickBot="1">
      <c r="B113" s="774">
        <f t="shared" si="40"/>
        <v>11</v>
      </c>
      <c r="C113" s="766"/>
      <c r="D113" s="701">
        <f t="shared" si="46"/>
        <v>1082649.7897637035</v>
      </c>
      <c r="E113" s="701">
        <f t="shared" si="41"/>
        <v>109697.894146723</v>
      </c>
      <c r="F113" s="766"/>
      <c r="G113" s="744">
        <f t="shared" si="47"/>
        <v>0</v>
      </c>
      <c r="H113" s="766"/>
      <c r="I113" s="744">
        <f t="shared" si="48"/>
        <v>0</v>
      </c>
      <c r="J113" s="766"/>
      <c r="K113" s="745">
        <f t="shared" si="42"/>
        <v>1192347.6839104265</v>
      </c>
      <c r="L113" s="751"/>
      <c r="M113" s="766"/>
      <c r="N113" s="701">
        <f t="shared" si="52"/>
        <v>-123017.20288985017</v>
      </c>
      <c r="O113" s="745">
        <f>L113+M113+N113</f>
        <v>-123017.20288985017</v>
      </c>
      <c r="P113" s="752">
        <f>K113+O113</f>
        <v>1069330.4810205763</v>
      </c>
      <c r="Q113" s="753">
        <f t="shared" si="51"/>
        <v>-15873187.469658086</v>
      </c>
      <c r="R113" s="754">
        <f t="shared" si="53"/>
        <v>-14803856.988637511</v>
      </c>
      <c r="S113" s="755">
        <f t="shared" si="44"/>
        <v>14803856.988637511</v>
      </c>
      <c r="T113" s="755">
        <f t="shared" si="45"/>
        <v>114729.89166194071</v>
      </c>
      <c r="AP113" s="739"/>
      <c r="AQ113" s="558"/>
      <c r="AR113" s="558"/>
      <c r="AS113" s="559"/>
      <c r="AT113" s="558"/>
      <c r="AU113" s="558"/>
      <c r="AV113" s="558"/>
      <c r="AW113" s="558"/>
      <c r="AX113" s="558"/>
      <c r="AY113" s="558"/>
      <c r="AZ113" s="558"/>
      <c r="BA113" s="558"/>
      <c r="BB113" s="558"/>
      <c r="BC113" s="560"/>
      <c r="BJ113" s="561"/>
      <c r="BK113" s="562"/>
    </row>
    <row r="114" spans="2:63" s="556" customFormat="1" ht="15.75" customHeight="1" thickTop="1" thickBot="1">
      <c r="B114" s="774">
        <f t="shared" si="40"/>
        <v>12</v>
      </c>
      <c r="C114" s="766"/>
      <c r="D114" s="701">
        <f t="shared" si="46"/>
        <v>1082649.7897637035</v>
      </c>
      <c r="E114" s="701">
        <f t="shared" si="41"/>
        <v>109697.894146723</v>
      </c>
      <c r="F114" s="766"/>
      <c r="G114" s="744">
        <f t="shared" si="47"/>
        <v>0</v>
      </c>
      <c r="H114" s="766"/>
      <c r="I114" s="744">
        <f t="shared" si="48"/>
        <v>0</v>
      </c>
      <c r="J114" s="766"/>
      <c r="K114" s="745">
        <f t="shared" si="42"/>
        <v>1192347.6839104265</v>
      </c>
      <c r="L114" s="751"/>
      <c r="M114" s="766"/>
      <c r="N114" s="701">
        <f t="shared" si="52"/>
        <v>-114729.89166194071</v>
      </c>
      <c r="O114" s="745">
        <f t="shared" si="49"/>
        <v>-114729.89166194071</v>
      </c>
      <c r="P114" s="752">
        <f t="shared" si="50"/>
        <v>1077617.7922484858</v>
      </c>
      <c r="Q114" s="753">
        <f t="shared" si="51"/>
        <v>-14803856.988637511</v>
      </c>
      <c r="R114" s="754">
        <f t="shared" si="53"/>
        <v>-13726239.196389025</v>
      </c>
      <c r="S114" s="755">
        <f t="shared" si="44"/>
        <v>13726239.196389025</v>
      </c>
      <c r="T114" s="755">
        <f t="shared" si="45"/>
        <v>106378.35377201495</v>
      </c>
      <c r="AP114" s="739"/>
      <c r="AQ114" s="558"/>
      <c r="AR114" s="558"/>
      <c r="AS114" s="559"/>
      <c r="AT114" s="558"/>
      <c r="AU114" s="558"/>
      <c r="AV114" s="558"/>
      <c r="AW114" s="558"/>
      <c r="AX114" s="558"/>
      <c r="AY114" s="558"/>
      <c r="AZ114" s="558"/>
      <c r="BA114" s="558"/>
      <c r="BB114" s="558"/>
      <c r="BC114" s="560"/>
      <c r="BJ114" s="561"/>
      <c r="BK114" s="562"/>
    </row>
    <row r="115" spans="2:63" s="556" customFormat="1" ht="15.75" customHeight="1" thickTop="1" thickBot="1">
      <c r="B115" s="774">
        <f t="shared" si="40"/>
        <v>13</v>
      </c>
      <c r="C115" s="766"/>
      <c r="D115" s="701">
        <f t="shared" si="46"/>
        <v>1082649.7897637035</v>
      </c>
      <c r="E115" s="701">
        <f t="shared" si="41"/>
        <v>109697.894146723</v>
      </c>
      <c r="F115" s="766"/>
      <c r="G115" s="744">
        <f t="shared" si="47"/>
        <v>0</v>
      </c>
      <c r="H115" s="766"/>
      <c r="I115" s="744">
        <f t="shared" si="48"/>
        <v>0</v>
      </c>
      <c r="J115" s="766"/>
      <c r="K115" s="745">
        <f t="shared" si="42"/>
        <v>1192347.6839104265</v>
      </c>
      <c r="L115" s="751"/>
      <c r="M115" s="766"/>
      <c r="N115" s="701">
        <f t="shared" si="52"/>
        <v>-106378.35377201495</v>
      </c>
      <c r="O115" s="745">
        <f t="shared" si="49"/>
        <v>-106378.35377201495</v>
      </c>
      <c r="P115" s="752">
        <f t="shared" si="50"/>
        <v>1085969.3301384116</v>
      </c>
      <c r="Q115" s="753">
        <f t="shared" si="51"/>
        <v>-13726239.196389025</v>
      </c>
      <c r="R115" s="754">
        <f t="shared" si="53"/>
        <v>-12640269.866250614</v>
      </c>
      <c r="S115" s="755">
        <f t="shared" si="44"/>
        <v>12640269.866250614</v>
      </c>
      <c r="T115" s="755">
        <f t="shared" si="45"/>
        <v>97962.091463442252</v>
      </c>
      <c r="AP115" s="739"/>
      <c r="AQ115" s="558"/>
      <c r="AR115" s="558"/>
      <c r="AS115" s="559"/>
      <c r="AT115" s="558"/>
      <c r="AU115" s="558"/>
      <c r="AV115" s="558"/>
      <c r="AW115" s="558"/>
      <c r="AX115" s="558"/>
      <c r="AY115" s="558"/>
      <c r="AZ115" s="558"/>
      <c r="BA115" s="558"/>
      <c r="BB115" s="558"/>
      <c r="BC115" s="560"/>
      <c r="BJ115" s="561"/>
      <c r="BK115" s="562"/>
    </row>
    <row r="116" spans="2:63" s="556" customFormat="1" ht="15.75" customHeight="1" thickTop="1" thickBot="1">
      <c r="B116" s="774">
        <f t="shared" si="40"/>
        <v>14</v>
      </c>
      <c r="C116" s="766"/>
      <c r="D116" s="701">
        <f t="shared" si="46"/>
        <v>1082649.7897637035</v>
      </c>
      <c r="E116" s="701">
        <f t="shared" si="41"/>
        <v>109697.894146723</v>
      </c>
      <c r="F116" s="766"/>
      <c r="G116" s="744">
        <f t="shared" si="47"/>
        <v>0</v>
      </c>
      <c r="H116" s="766"/>
      <c r="I116" s="744">
        <f t="shared" si="48"/>
        <v>0</v>
      </c>
      <c r="J116" s="766"/>
      <c r="K116" s="745">
        <f t="shared" si="42"/>
        <v>1192347.6839104265</v>
      </c>
      <c r="L116" s="751"/>
      <c r="M116" s="766"/>
      <c r="N116" s="701">
        <f t="shared" si="52"/>
        <v>-97962.091463442252</v>
      </c>
      <c r="O116" s="745">
        <f t="shared" si="49"/>
        <v>-97962.091463442252</v>
      </c>
      <c r="P116" s="752">
        <f t="shared" si="50"/>
        <v>1094385.5924469843</v>
      </c>
      <c r="Q116" s="753">
        <f t="shared" si="51"/>
        <v>-12640269.866250614</v>
      </c>
      <c r="R116" s="754">
        <f t="shared" si="53"/>
        <v>-11545884.273803629</v>
      </c>
      <c r="S116" s="755">
        <f t="shared" si="44"/>
        <v>11545884.273803629</v>
      </c>
      <c r="T116" s="755">
        <f t="shared" si="45"/>
        <v>89480.603121978114</v>
      </c>
      <c r="AP116" s="739"/>
      <c r="AQ116" s="558"/>
      <c r="AR116" s="558"/>
      <c r="AS116" s="559"/>
      <c r="AT116" s="558"/>
      <c r="AU116" s="558"/>
      <c r="AV116" s="558"/>
      <c r="AW116" s="558"/>
      <c r="AX116" s="558"/>
      <c r="AY116" s="558"/>
      <c r="AZ116" s="558"/>
      <c r="BA116" s="558"/>
      <c r="BB116" s="558"/>
      <c r="BC116" s="560"/>
      <c r="BJ116" s="561"/>
      <c r="BK116" s="562"/>
    </row>
    <row r="117" spans="2:63" s="556" customFormat="1" ht="15.75" customHeight="1" thickTop="1" thickBot="1">
      <c r="B117" s="774">
        <f t="shared" si="40"/>
        <v>15</v>
      </c>
      <c r="C117" s="766"/>
      <c r="D117" s="701">
        <f t="shared" si="46"/>
        <v>1082649.7897637035</v>
      </c>
      <c r="E117" s="701">
        <f t="shared" si="41"/>
        <v>109697.894146723</v>
      </c>
      <c r="F117" s="766"/>
      <c r="G117" s="744">
        <f t="shared" si="47"/>
        <v>0</v>
      </c>
      <c r="H117" s="766"/>
      <c r="I117" s="744">
        <f t="shared" si="48"/>
        <v>0</v>
      </c>
      <c r="J117" s="766"/>
      <c r="K117" s="745">
        <f t="shared" si="42"/>
        <v>1192347.6839104265</v>
      </c>
      <c r="L117" s="751"/>
      <c r="M117" s="766"/>
      <c r="N117" s="701">
        <f t="shared" si="52"/>
        <v>-89480.603121978114</v>
      </c>
      <c r="O117" s="745">
        <f t="shared" si="49"/>
        <v>-89480.603121978114</v>
      </c>
      <c r="P117" s="752">
        <f t="shared" si="50"/>
        <v>1102867.0807884485</v>
      </c>
      <c r="Q117" s="753">
        <f t="shared" si="51"/>
        <v>-11545884.273803629</v>
      </c>
      <c r="R117" s="754">
        <f t="shared" si="53"/>
        <v>-10443017.193015181</v>
      </c>
      <c r="S117" s="755">
        <f t="shared" si="44"/>
        <v>10443017.193015181</v>
      </c>
      <c r="T117" s="755">
        <f t="shared" si="45"/>
        <v>80933.383245867648</v>
      </c>
      <c r="AP117" s="739"/>
      <c r="AQ117" s="558"/>
      <c r="AR117" s="558"/>
      <c r="AS117" s="559"/>
      <c r="AT117" s="558"/>
      <c r="AU117" s="558"/>
      <c r="AV117" s="558"/>
      <c r="AW117" s="558"/>
      <c r="AX117" s="558"/>
      <c r="AY117" s="558"/>
      <c r="AZ117" s="558"/>
      <c r="BA117" s="558"/>
      <c r="BB117" s="558"/>
      <c r="BC117" s="560"/>
      <c r="BJ117" s="561"/>
      <c r="BK117" s="562"/>
    </row>
    <row r="118" spans="2:63" s="556" customFormat="1" ht="15.75" customHeight="1" thickTop="1" thickBot="1">
      <c r="B118" s="774">
        <f t="shared" si="40"/>
        <v>16</v>
      </c>
      <c r="C118" s="766"/>
      <c r="D118" s="701">
        <f t="shared" si="46"/>
        <v>1082649.7897637035</v>
      </c>
      <c r="E118" s="701">
        <f t="shared" si="41"/>
        <v>109697.894146723</v>
      </c>
      <c r="F118" s="766"/>
      <c r="G118" s="744">
        <f t="shared" si="47"/>
        <v>0</v>
      </c>
      <c r="H118" s="766"/>
      <c r="I118" s="744">
        <f t="shared" si="48"/>
        <v>0</v>
      </c>
      <c r="J118" s="766"/>
      <c r="K118" s="745">
        <f t="shared" si="42"/>
        <v>1192347.6839104265</v>
      </c>
      <c r="L118" s="751"/>
      <c r="M118" s="766"/>
      <c r="N118" s="701">
        <f t="shared" si="52"/>
        <v>-80933.383245867648</v>
      </c>
      <c r="O118" s="745">
        <f t="shared" si="49"/>
        <v>-80933.383245867648</v>
      </c>
      <c r="P118" s="752">
        <f t="shared" si="50"/>
        <v>1111414.3006645588</v>
      </c>
      <c r="Q118" s="753">
        <f t="shared" si="51"/>
        <v>-10443017.193015181</v>
      </c>
      <c r="R118" s="754">
        <f t="shared" si="53"/>
        <v>-9331602.8923506215</v>
      </c>
      <c r="S118" s="755">
        <f t="shared" si="44"/>
        <v>9331602.8923506215</v>
      </c>
      <c r="T118" s="755">
        <f t="shared" si="45"/>
        <v>72319.922415717316</v>
      </c>
      <c r="AP118" s="739"/>
      <c r="AQ118" s="558"/>
      <c r="AR118" s="558"/>
      <c r="AS118" s="559"/>
      <c r="AT118" s="558"/>
      <c r="AU118" s="558"/>
      <c r="AV118" s="558"/>
      <c r="AW118" s="558"/>
      <c r="AX118" s="558"/>
      <c r="AY118" s="558"/>
      <c r="AZ118" s="558"/>
      <c r="BA118" s="558"/>
      <c r="BB118" s="558"/>
      <c r="BC118" s="560"/>
      <c r="BJ118" s="561"/>
      <c r="BK118" s="562"/>
    </row>
    <row r="119" spans="2:63" s="556" customFormat="1" ht="15.75" customHeight="1" thickTop="1" thickBot="1">
      <c r="B119" s="774">
        <f t="shared" si="40"/>
        <v>17</v>
      </c>
      <c r="C119" s="766"/>
      <c r="D119" s="701">
        <f t="shared" si="46"/>
        <v>1082649.7897637035</v>
      </c>
      <c r="E119" s="701">
        <f t="shared" si="41"/>
        <v>109697.894146723</v>
      </c>
      <c r="F119" s="766"/>
      <c r="G119" s="744">
        <f t="shared" si="47"/>
        <v>0</v>
      </c>
      <c r="H119" s="766"/>
      <c r="I119" s="744">
        <f t="shared" si="48"/>
        <v>0</v>
      </c>
      <c r="J119" s="766"/>
      <c r="K119" s="745">
        <f t="shared" si="42"/>
        <v>1192347.6839104265</v>
      </c>
      <c r="L119" s="751"/>
      <c r="M119" s="766"/>
      <c r="N119" s="701">
        <f t="shared" si="52"/>
        <v>-72319.922415717316</v>
      </c>
      <c r="O119" s="745">
        <f t="shared" si="49"/>
        <v>-72319.922415717316</v>
      </c>
      <c r="P119" s="752">
        <f t="shared" si="50"/>
        <v>1120027.7614947092</v>
      </c>
      <c r="Q119" s="753">
        <f t="shared" si="51"/>
        <v>-9331602.8923506215</v>
      </c>
      <c r="R119" s="754">
        <f t="shared" si="53"/>
        <v>-8211575.1308559123</v>
      </c>
      <c r="S119" s="755">
        <f t="shared" si="44"/>
        <v>8211575.1308559123</v>
      </c>
      <c r="T119" s="755">
        <f t="shared" si="45"/>
        <v>63639.707264133322</v>
      </c>
      <c r="AP119" s="739"/>
      <c r="AQ119" s="558"/>
      <c r="AR119" s="558"/>
      <c r="AS119" s="559"/>
      <c r="AT119" s="558"/>
      <c r="AU119" s="558"/>
      <c r="AV119" s="558"/>
      <c r="AW119" s="558"/>
      <c r="AX119" s="558"/>
      <c r="AY119" s="558"/>
      <c r="AZ119" s="558"/>
      <c r="BA119" s="558"/>
      <c r="BB119" s="558"/>
      <c r="BC119" s="560"/>
      <c r="BJ119" s="561"/>
      <c r="BK119" s="562"/>
    </row>
    <row r="120" spans="2:63" s="556" customFormat="1" ht="15.75" customHeight="1" thickTop="1" thickBot="1">
      <c r="B120" s="774">
        <f t="shared" si="40"/>
        <v>18</v>
      </c>
      <c r="C120" s="766"/>
      <c r="D120" s="701">
        <f t="shared" si="46"/>
        <v>1082649.7897637035</v>
      </c>
      <c r="E120" s="701">
        <f t="shared" si="41"/>
        <v>109697.894146723</v>
      </c>
      <c r="F120" s="766"/>
      <c r="G120" s="744">
        <f t="shared" si="47"/>
        <v>0</v>
      </c>
      <c r="H120" s="766"/>
      <c r="I120" s="744">
        <f t="shared" si="48"/>
        <v>0</v>
      </c>
      <c r="J120" s="766"/>
      <c r="K120" s="745">
        <f t="shared" si="42"/>
        <v>1192347.6839104265</v>
      </c>
      <c r="L120" s="751"/>
      <c r="M120" s="766"/>
      <c r="N120" s="701">
        <f t="shared" si="52"/>
        <v>-63639.707264133322</v>
      </c>
      <c r="O120" s="745">
        <f t="shared" si="49"/>
        <v>-63639.707264133322</v>
      </c>
      <c r="P120" s="752">
        <f t="shared" si="50"/>
        <v>1128707.9766462932</v>
      </c>
      <c r="Q120" s="753">
        <f t="shared" si="51"/>
        <v>-8211575.1308559123</v>
      </c>
      <c r="R120" s="754">
        <f t="shared" si="53"/>
        <v>-7082867.1542096194</v>
      </c>
      <c r="S120" s="755">
        <f t="shared" si="44"/>
        <v>7082867.1542096194</v>
      </c>
      <c r="T120" s="755">
        <f t="shared" si="45"/>
        <v>54892.220445124549</v>
      </c>
      <c r="AP120" s="739"/>
      <c r="AQ120" s="558"/>
      <c r="AR120" s="558"/>
      <c r="AS120" s="559"/>
      <c r="AT120" s="558"/>
      <c r="AU120" s="558"/>
      <c r="AV120" s="558"/>
      <c r="AW120" s="558"/>
      <c r="AX120" s="558"/>
      <c r="AY120" s="558"/>
      <c r="AZ120" s="558"/>
      <c r="BA120" s="558"/>
      <c r="BB120" s="558"/>
      <c r="BC120" s="560"/>
      <c r="BJ120" s="561"/>
      <c r="BK120" s="562"/>
    </row>
    <row r="121" spans="2:63" s="556" customFormat="1" ht="15.75" customHeight="1" thickTop="1" thickBot="1">
      <c r="B121" s="774">
        <f t="shared" si="40"/>
        <v>19</v>
      </c>
      <c r="C121" s="766"/>
      <c r="D121" s="701">
        <f t="shared" si="46"/>
        <v>1082649.7897637035</v>
      </c>
      <c r="E121" s="701">
        <f t="shared" si="41"/>
        <v>109697.894146723</v>
      </c>
      <c r="F121" s="766"/>
      <c r="G121" s="744">
        <f t="shared" si="47"/>
        <v>0</v>
      </c>
      <c r="H121" s="766"/>
      <c r="I121" s="744">
        <f t="shared" si="48"/>
        <v>0</v>
      </c>
      <c r="J121" s="766"/>
      <c r="K121" s="745">
        <f t="shared" si="42"/>
        <v>1192347.6839104265</v>
      </c>
      <c r="L121" s="751"/>
      <c r="M121" s="766"/>
      <c r="N121" s="701">
        <f t="shared" si="52"/>
        <v>-54892.220445124549</v>
      </c>
      <c r="O121" s="745">
        <f t="shared" si="49"/>
        <v>-54892.220445124549</v>
      </c>
      <c r="P121" s="752">
        <f t="shared" si="50"/>
        <v>1137455.4634653018</v>
      </c>
      <c r="Q121" s="753">
        <f t="shared" si="51"/>
        <v>-7082867.1542096194</v>
      </c>
      <c r="R121" s="754">
        <f t="shared" si="53"/>
        <v>-5945411.6907443181</v>
      </c>
      <c r="S121" s="755">
        <f t="shared" si="44"/>
        <v>5945411.6907443181</v>
      </c>
      <c r="T121" s="755">
        <f t="shared" si="45"/>
        <v>46076.940603268471</v>
      </c>
      <c r="AP121" s="739"/>
      <c r="AQ121" s="558"/>
      <c r="AR121" s="558"/>
      <c r="AS121" s="559"/>
      <c r="AT121" s="558"/>
      <c r="AU121" s="558"/>
      <c r="AV121" s="558"/>
      <c r="AW121" s="558"/>
      <c r="AX121" s="558"/>
      <c r="AY121" s="558"/>
      <c r="AZ121" s="558"/>
      <c r="BA121" s="558"/>
      <c r="BB121" s="558"/>
      <c r="BC121" s="560"/>
      <c r="BJ121" s="561"/>
      <c r="BK121" s="562"/>
    </row>
    <row r="122" spans="2:63" s="556" customFormat="1" ht="15.75" customHeight="1" thickTop="1" thickBot="1">
      <c r="B122" s="774">
        <f t="shared" si="40"/>
        <v>20</v>
      </c>
      <c r="C122" s="766"/>
      <c r="D122" s="701">
        <f t="shared" si="46"/>
        <v>1082649.7897637035</v>
      </c>
      <c r="E122" s="701">
        <f t="shared" si="41"/>
        <v>109697.894146723</v>
      </c>
      <c r="F122" s="766"/>
      <c r="G122" s="744">
        <f t="shared" si="47"/>
        <v>0</v>
      </c>
      <c r="H122" s="766"/>
      <c r="I122" s="744">
        <f t="shared" si="48"/>
        <v>0</v>
      </c>
      <c r="J122" s="766"/>
      <c r="K122" s="745">
        <f t="shared" si="42"/>
        <v>1192347.6839104265</v>
      </c>
      <c r="L122" s="751"/>
      <c r="M122" s="766"/>
      <c r="N122" s="701">
        <f t="shared" si="52"/>
        <v>-46076.940603268471</v>
      </c>
      <c r="O122" s="745">
        <f t="shared" si="49"/>
        <v>-46076.940603268471</v>
      </c>
      <c r="P122" s="752">
        <f t="shared" si="50"/>
        <v>1146270.7433071579</v>
      </c>
      <c r="Q122" s="753">
        <f t="shared" si="51"/>
        <v>-5945411.6907443181</v>
      </c>
      <c r="R122" s="754">
        <f t="shared" si="53"/>
        <v>-4799140.9474371597</v>
      </c>
      <c r="S122" s="755">
        <f t="shared" si="44"/>
        <v>4799140.9474371597</v>
      </c>
      <c r="T122" s="755">
        <f t="shared" si="45"/>
        <v>37193.342342637989</v>
      </c>
      <c r="AP122" s="739"/>
      <c r="AQ122" s="558"/>
      <c r="AR122" s="558"/>
      <c r="AS122" s="559"/>
      <c r="AT122" s="558"/>
      <c r="AU122" s="558"/>
      <c r="AV122" s="558"/>
      <c r="AW122" s="558"/>
      <c r="AX122" s="558"/>
      <c r="AY122" s="558"/>
      <c r="AZ122" s="558"/>
      <c r="BA122" s="558"/>
      <c r="BB122" s="558"/>
      <c r="BC122" s="560"/>
      <c r="BJ122" s="561"/>
      <c r="BK122" s="562"/>
    </row>
    <row r="123" spans="2:63" s="556" customFormat="1" ht="15.75" customHeight="1" thickTop="1" thickBot="1">
      <c r="B123" s="774">
        <f t="shared" si="40"/>
        <v>21</v>
      </c>
      <c r="C123" s="766"/>
      <c r="D123" s="701">
        <f t="shared" si="46"/>
        <v>1082649.7897637035</v>
      </c>
      <c r="E123" s="701">
        <f t="shared" si="41"/>
        <v>109697.894146723</v>
      </c>
      <c r="F123" s="766"/>
      <c r="G123" s="744">
        <f t="shared" si="47"/>
        <v>0</v>
      </c>
      <c r="H123" s="766"/>
      <c r="I123" s="744">
        <f t="shared" si="48"/>
        <v>0</v>
      </c>
      <c r="J123" s="766"/>
      <c r="K123" s="745">
        <f t="shared" si="42"/>
        <v>1192347.6839104265</v>
      </c>
      <c r="L123" s="751"/>
      <c r="M123" s="766"/>
      <c r="N123" s="701">
        <f t="shared" si="52"/>
        <v>-37193.342342637989</v>
      </c>
      <c r="O123" s="745">
        <f t="shared" si="49"/>
        <v>-37193.342342637989</v>
      </c>
      <c r="P123" s="752">
        <f t="shared" si="50"/>
        <v>1155154.3415677885</v>
      </c>
      <c r="Q123" s="753">
        <f t="shared" si="51"/>
        <v>-4799140.9474371597</v>
      </c>
      <c r="R123" s="754">
        <f t="shared" si="53"/>
        <v>-3643986.6058693714</v>
      </c>
      <c r="S123" s="755">
        <f t="shared" si="44"/>
        <v>3643986.6058693714</v>
      </c>
      <c r="T123" s="755">
        <f t="shared" si="45"/>
        <v>28240.896195487629</v>
      </c>
      <c r="AP123" s="739"/>
      <c r="AQ123" s="558"/>
      <c r="AR123" s="558"/>
      <c r="AS123" s="559"/>
      <c r="AT123" s="558"/>
      <c r="AU123" s="558"/>
      <c r="AV123" s="558"/>
      <c r="AW123" s="558"/>
      <c r="AX123" s="558"/>
      <c r="AY123" s="558"/>
      <c r="AZ123" s="558"/>
      <c r="BA123" s="558"/>
      <c r="BB123" s="558"/>
      <c r="BC123" s="560"/>
      <c r="BJ123" s="561"/>
      <c r="BK123" s="562"/>
    </row>
    <row r="124" spans="2:63" s="556" customFormat="1" ht="15.75" customHeight="1" thickTop="1" thickBot="1">
      <c r="B124" s="774">
        <f t="shared" si="40"/>
        <v>22</v>
      </c>
      <c r="C124" s="766"/>
      <c r="D124" s="701">
        <f t="shared" si="46"/>
        <v>1082649.7897637035</v>
      </c>
      <c r="E124" s="701">
        <f t="shared" si="41"/>
        <v>109697.894146723</v>
      </c>
      <c r="F124" s="766"/>
      <c r="G124" s="744">
        <f t="shared" si="47"/>
        <v>0</v>
      </c>
      <c r="H124" s="766"/>
      <c r="I124" s="744">
        <f t="shared" si="48"/>
        <v>0</v>
      </c>
      <c r="J124" s="766"/>
      <c r="K124" s="745">
        <f t="shared" si="42"/>
        <v>1192347.6839104265</v>
      </c>
      <c r="L124" s="751"/>
      <c r="M124" s="766"/>
      <c r="N124" s="701">
        <f t="shared" si="52"/>
        <v>-28240.896195487629</v>
      </c>
      <c r="O124" s="745">
        <f t="shared" si="49"/>
        <v>-28240.896195487629</v>
      </c>
      <c r="P124" s="752">
        <f t="shared" si="50"/>
        <v>1164106.7877149389</v>
      </c>
      <c r="Q124" s="753">
        <f t="shared" si="51"/>
        <v>-3643986.6058693714</v>
      </c>
      <c r="R124" s="754">
        <f t="shared" si="53"/>
        <v>-2479879.8181544328</v>
      </c>
      <c r="S124" s="755">
        <f t="shared" si="44"/>
        <v>2479879.8181544328</v>
      </c>
      <c r="T124" s="755">
        <f t="shared" si="45"/>
        <v>19219.068590696854</v>
      </c>
      <c r="AP124" s="739"/>
      <c r="AQ124" s="558"/>
      <c r="AR124" s="558"/>
      <c r="AS124" s="559"/>
      <c r="AT124" s="558"/>
      <c r="AU124" s="558"/>
      <c r="AV124" s="558"/>
      <c r="AW124" s="558"/>
      <c r="AX124" s="558"/>
      <c r="AY124" s="558"/>
      <c r="AZ124" s="558"/>
      <c r="BA124" s="558"/>
      <c r="BB124" s="558"/>
      <c r="BC124" s="560"/>
      <c r="BJ124" s="561"/>
      <c r="BK124" s="562"/>
    </row>
    <row r="125" spans="2:63" s="556" customFormat="1" ht="15.75" customHeight="1" thickTop="1" thickBot="1">
      <c r="B125" s="774">
        <f t="shared" si="40"/>
        <v>23</v>
      </c>
      <c r="C125" s="766"/>
      <c r="D125" s="701">
        <f t="shared" si="46"/>
        <v>1082649.7897637035</v>
      </c>
      <c r="E125" s="701">
        <f t="shared" si="41"/>
        <v>109697.894146723</v>
      </c>
      <c r="F125" s="766"/>
      <c r="G125" s="744">
        <f t="shared" si="47"/>
        <v>0</v>
      </c>
      <c r="H125" s="766"/>
      <c r="I125" s="744">
        <f t="shared" si="48"/>
        <v>0</v>
      </c>
      <c r="J125" s="766"/>
      <c r="K125" s="745">
        <f t="shared" si="42"/>
        <v>1192347.6839104265</v>
      </c>
      <c r="L125" s="751"/>
      <c r="M125" s="766"/>
      <c r="N125" s="701">
        <f t="shared" si="52"/>
        <v>-19219.068590696854</v>
      </c>
      <c r="O125" s="745">
        <f t="shared" si="49"/>
        <v>-19219.068590696854</v>
      </c>
      <c r="P125" s="752">
        <f t="shared" si="50"/>
        <v>1173128.6153197295</v>
      </c>
      <c r="Q125" s="753">
        <f t="shared" si="51"/>
        <v>-2479879.8181544328</v>
      </c>
      <c r="R125" s="754">
        <f t="shared" si="53"/>
        <v>-1306751.2028347033</v>
      </c>
      <c r="S125" s="755">
        <f t="shared" si="44"/>
        <v>1306751.2028347033</v>
      </c>
      <c r="T125" s="755">
        <f t="shared" si="45"/>
        <v>10127.32182196895</v>
      </c>
      <c r="AP125" s="739"/>
      <c r="AQ125" s="558"/>
      <c r="AR125" s="558"/>
      <c r="AS125" s="559"/>
      <c r="AT125" s="558"/>
      <c r="AU125" s="558"/>
      <c r="AV125" s="558"/>
      <c r="AW125" s="558"/>
      <c r="AX125" s="558"/>
      <c r="AY125" s="558"/>
      <c r="AZ125" s="558"/>
      <c r="BA125" s="558"/>
      <c r="BB125" s="558"/>
      <c r="BC125" s="560"/>
      <c r="BJ125" s="561"/>
      <c r="BK125" s="562"/>
    </row>
    <row r="126" spans="2:63" s="556" customFormat="1" ht="15.75" customHeight="1" thickTop="1" thickBot="1">
      <c r="B126" s="774">
        <f t="shared" si="40"/>
        <v>24</v>
      </c>
      <c r="C126" s="766"/>
      <c r="D126" s="701">
        <f t="shared" si="46"/>
        <v>1082649.7897637035</v>
      </c>
      <c r="E126" s="701">
        <f t="shared" si="41"/>
        <v>109697.894146723</v>
      </c>
      <c r="F126" s="766"/>
      <c r="G126" s="744">
        <f t="shared" si="47"/>
        <v>0</v>
      </c>
      <c r="H126" s="766"/>
      <c r="I126" s="744">
        <f t="shared" si="48"/>
        <v>0</v>
      </c>
      <c r="J126" s="766"/>
      <c r="K126" s="745">
        <f t="shared" si="42"/>
        <v>1192347.6839104265</v>
      </c>
      <c r="L126" s="751"/>
      <c r="M126" s="766"/>
      <c r="N126" s="701">
        <f t="shared" si="52"/>
        <v>-10127.32182196895</v>
      </c>
      <c r="O126" s="745">
        <f t="shared" si="49"/>
        <v>-10127.32182196895</v>
      </c>
      <c r="P126" s="752">
        <f t="shared" si="50"/>
        <v>1182220.3620884574</v>
      </c>
      <c r="Q126" s="753">
        <f t="shared" si="51"/>
        <v>-1306751.2028347033</v>
      </c>
      <c r="R126" s="754">
        <f t="shared" si="53"/>
        <v>-124530.84074624581</v>
      </c>
      <c r="S126" s="755">
        <f t="shared" si="44"/>
        <v>124530.84074624581</v>
      </c>
      <c r="T126" s="755">
        <f t="shared" si="45"/>
        <v>965.11401578340508</v>
      </c>
      <c r="AP126" s="739"/>
      <c r="AQ126" s="558"/>
      <c r="AR126" s="558"/>
      <c r="AS126" s="559"/>
      <c r="AT126" s="558"/>
      <c r="AU126" s="558"/>
      <c r="AV126" s="558"/>
      <c r="AW126" s="558"/>
      <c r="AX126" s="558"/>
      <c r="AY126" s="558"/>
      <c r="AZ126" s="558"/>
      <c r="BA126" s="558"/>
      <c r="BB126" s="558"/>
      <c r="BC126" s="560"/>
      <c r="BJ126" s="561"/>
      <c r="BK126" s="562"/>
    </row>
    <row r="127" spans="2:63" s="556" customFormat="1" ht="15.75" customHeight="1" thickTop="1" thickBot="1">
      <c r="B127" s="774">
        <f t="shared" si="40"/>
        <v>25</v>
      </c>
      <c r="C127" s="766"/>
      <c r="D127" s="701">
        <f t="shared" si="46"/>
        <v>125495.95476201363</v>
      </c>
      <c r="E127" s="701">
        <f t="shared" si="41"/>
        <v>0</v>
      </c>
      <c r="F127" s="766"/>
      <c r="G127" s="744">
        <f t="shared" si="47"/>
        <v>13492363.636363655</v>
      </c>
      <c r="H127" s="766"/>
      <c r="I127" s="744">
        <f t="shared" si="48"/>
        <v>0</v>
      </c>
      <c r="J127" s="766"/>
      <c r="K127" s="745">
        <f t="shared" si="42"/>
        <v>13617859.591125669</v>
      </c>
      <c r="L127" s="751"/>
      <c r="M127" s="766"/>
      <c r="N127" s="701">
        <f t="shared" si="52"/>
        <v>-965.11401578340508</v>
      </c>
      <c r="O127" s="745">
        <f t="shared" si="49"/>
        <v>-965.11401578340508</v>
      </c>
      <c r="P127" s="752">
        <f t="shared" si="50"/>
        <v>13616894.477109885</v>
      </c>
      <c r="Q127" s="753">
        <f t="shared" si="51"/>
        <v>-124530.84074624581</v>
      </c>
      <c r="R127" s="754">
        <f t="shared" si="53"/>
        <v>13492363.636363639</v>
      </c>
      <c r="S127" s="755">
        <f t="shared" si="44"/>
        <v>0</v>
      </c>
      <c r="T127" s="755">
        <f t="shared" si="45"/>
        <v>0</v>
      </c>
      <c r="AP127" s="739"/>
      <c r="AQ127" s="558"/>
      <c r="AR127" s="558"/>
      <c r="AS127" s="559"/>
      <c r="AT127" s="558"/>
      <c r="AU127" s="558"/>
      <c r="AV127" s="558"/>
      <c r="AW127" s="558"/>
      <c r="AX127" s="558"/>
      <c r="AY127" s="558"/>
      <c r="AZ127" s="558"/>
      <c r="BA127" s="558"/>
      <c r="BB127" s="558"/>
      <c r="BC127" s="560"/>
      <c r="BJ127" s="561"/>
      <c r="BK127" s="562"/>
    </row>
    <row r="128" spans="2:63" s="556" customFormat="1" ht="15.75" customHeight="1" thickTop="1" thickBot="1">
      <c r="B128" s="774">
        <f t="shared" si="40"/>
        <v>26</v>
      </c>
      <c r="C128" s="766"/>
      <c r="D128" s="701">
        <f t="shared" si="46"/>
        <v>0</v>
      </c>
      <c r="E128" s="701">
        <f t="shared" si="41"/>
        <v>0</v>
      </c>
      <c r="F128" s="766"/>
      <c r="G128" s="744">
        <f t="shared" si="47"/>
        <v>0</v>
      </c>
      <c r="H128" s="766"/>
      <c r="I128" s="744">
        <f t="shared" si="48"/>
        <v>0</v>
      </c>
      <c r="J128" s="766"/>
      <c r="K128" s="745">
        <f t="shared" si="42"/>
        <v>0</v>
      </c>
      <c r="L128" s="751"/>
      <c r="M128" s="766"/>
      <c r="N128" s="701">
        <f t="shared" si="52"/>
        <v>0</v>
      </c>
      <c r="O128" s="745">
        <f t="shared" si="49"/>
        <v>0</v>
      </c>
      <c r="P128" s="752">
        <f t="shared" si="50"/>
        <v>0</v>
      </c>
      <c r="Q128" s="753">
        <f t="shared" si="51"/>
        <v>13492363.636363639</v>
      </c>
      <c r="R128" s="754">
        <f t="shared" si="53"/>
        <v>13492363.636363639</v>
      </c>
      <c r="S128" s="755">
        <f t="shared" si="44"/>
        <v>0</v>
      </c>
      <c r="T128" s="755">
        <f t="shared" si="45"/>
        <v>0</v>
      </c>
      <c r="AP128" s="739"/>
      <c r="AQ128" s="558"/>
      <c r="AR128" s="558"/>
      <c r="AS128" s="559"/>
      <c r="AT128" s="558"/>
      <c r="AU128" s="558"/>
      <c r="AV128" s="558"/>
      <c r="AW128" s="558"/>
      <c r="AX128" s="558"/>
      <c r="AY128" s="558"/>
      <c r="AZ128" s="558"/>
      <c r="BA128" s="558"/>
      <c r="BB128" s="558"/>
      <c r="BC128" s="560"/>
      <c r="BJ128" s="561"/>
      <c r="BK128" s="562"/>
    </row>
    <row r="129" spans="2:63" s="556" customFormat="1" ht="15.75" customHeight="1" thickTop="1" thickBot="1">
      <c r="B129" s="774">
        <f t="shared" si="40"/>
        <v>27</v>
      </c>
      <c r="C129" s="766"/>
      <c r="D129" s="701">
        <f t="shared" si="46"/>
        <v>0</v>
      </c>
      <c r="E129" s="701">
        <f t="shared" si="41"/>
        <v>0</v>
      </c>
      <c r="F129" s="766"/>
      <c r="G129" s="744">
        <f t="shared" si="47"/>
        <v>0</v>
      </c>
      <c r="H129" s="766"/>
      <c r="I129" s="744">
        <f t="shared" si="48"/>
        <v>0</v>
      </c>
      <c r="J129" s="766"/>
      <c r="K129" s="745">
        <f t="shared" si="42"/>
        <v>0</v>
      </c>
      <c r="L129" s="751"/>
      <c r="M129" s="766"/>
      <c r="N129" s="701">
        <f t="shared" si="52"/>
        <v>0</v>
      </c>
      <c r="O129" s="745">
        <f t="shared" si="49"/>
        <v>0</v>
      </c>
      <c r="P129" s="752">
        <f t="shared" si="50"/>
        <v>0</v>
      </c>
      <c r="Q129" s="753">
        <f t="shared" si="51"/>
        <v>13492363.636363639</v>
      </c>
      <c r="R129" s="754">
        <f t="shared" si="53"/>
        <v>13492363.636363639</v>
      </c>
      <c r="S129" s="755">
        <f t="shared" si="44"/>
        <v>0</v>
      </c>
      <c r="T129" s="755">
        <f t="shared" si="45"/>
        <v>0</v>
      </c>
      <c r="AP129" s="739"/>
      <c r="AQ129" s="558"/>
      <c r="AR129" s="558"/>
      <c r="AS129" s="559"/>
      <c r="AT129" s="558"/>
      <c r="AU129" s="558"/>
      <c r="AV129" s="558"/>
      <c r="AW129" s="558"/>
      <c r="AX129" s="558"/>
      <c r="AY129" s="558"/>
      <c r="AZ129" s="558"/>
      <c r="BA129" s="558"/>
      <c r="BB129" s="558"/>
      <c r="BC129" s="560"/>
      <c r="BJ129" s="561"/>
      <c r="BK129" s="562"/>
    </row>
    <row r="130" spans="2:63" s="556" customFormat="1" ht="15.75" customHeight="1" thickTop="1" thickBot="1">
      <c r="B130" s="774">
        <f t="shared" si="40"/>
        <v>28</v>
      </c>
      <c r="C130" s="766"/>
      <c r="D130" s="701">
        <f t="shared" si="46"/>
        <v>0</v>
      </c>
      <c r="E130" s="701">
        <f t="shared" si="41"/>
        <v>0</v>
      </c>
      <c r="F130" s="766"/>
      <c r="G130" s="744">
        <f t="shared" si="47"/>
        <v>0</v>
      </c>
      <c r="H130" s="766"/>
      <c r="I130" s="744">
        <f t="shared" si="48"/>
        <v>0</v>
      </c>
      <c r="J130" s="766"/>
      <c r="K130" s="745">
        <f t="shared" si="42"/>
        <v>0</v>
      </c>
      <c r="L130" s="751"/>
      <c r="M130" s="766"/>
      <c r="N130" s="701">
        <f t="shared" si="52"/>
        <v>0</v>
      </c>
      <c r="O130" s="745">
        <f t="shared" si="49"/>
        <v>0</v>
      </c>
      <c r="P130" s="752">
        <f t="shared" si="50"/>
        <v>0</v>
      </c>
      <c r="Q130" s="753">
        <f t="shared" si="51"/>
        <v>13492363.636363639</v>
      </c>
      <c r="R130" s="754">
        <f t="shared" si="53"/>
        <v>13492363.636363639</v>
      </c>
      <c r="S130" s="755">
        <f t="shared" si="44"/>
        <v>0</v>
      </c>
      <c r="T130" s="755">
        <f t="shared" si="45"/>
        <v>0</v>
      </c>
      <c r="AP130" s="739"/>
      <c r="AQ130" s="558"/>
      <c r="AR130" s="558"/>
      <c r="AS130" s="559"/>
      <c r="AT130" s="558"/>
      <c r="AU130" s="558"/>
      <c r="AV130" s="558"/>
      <c r="AW130" s="558"/>
      <c r="AX130" s="558"/>
      <c r="AY130" s="558"/>
      <c r="AZ130" s="558"/>
      <c r="BA130" s="558"/>
      <c r="BB130" s="558"/>
      <c r="BC130" s="560"/>
      <c r="BJ130" s="561"/>
      <c r="BK130" s="562"/>
    </row>
    <row r="131" spans="2:63" s="556" customFormat="1" ht="15.75" customHeight="1" thickTop="1" thickBot="1">
      <c r="B131" s="774">
        <f t="shared" ref="B131:B162" si="54">B54</f>
        <v>29</v>
      </c>
      <c r="C131" s="766"/>
      <c r="D131" s="701">
        <f t="shared" si="46"/>
        <v>0</v>
      </c>
      <c r="E131" s="701">
        <f t="shared" si="41"/>
        <v>0</v>
      </c>
      <c r="F131" s="766"/>
      <c r="G131" s="744">
        <f t="shared" si="47"/>
        <v>0</v>
      </c>
      <c r="H131" s="766"/>
      <c r="I131" s="744">
        <f t="shared" si="48"/>
        <v>0</v>
      </c>
      <c r="J131" s="766"/>
      <c r="K131" s="745">
        <f t="shared" si="42"/>
        <v>0</v>
      </c>
      <c r="L131" s="751"/>
      <c r="M131" s="766"/>
      <c r="N131" s="701">
        <f t="shared" si="52"/>
        <v>0</v>
      </c>
      <c r="O131" s="745">
        <f t="shared" si="49"/>
        <v>0</v>
      </c>
      <c r="P131" s="752">
        <f t="shared" si="50"/>
        <v>0</v>
      </c>
      <c r="Q131" s="753">
        <f t="shared" si="51"/>
        <v>13492363.636363639</v>
      </c>
      <c r="R131" s="754">
        <f t="shared" si="53"/>
        <v>13492363.636363639</v>
      </c>
      <c r="S131" s="755">
        <f t="shared" ref="S131:S167" si="55">IF($R131&lt;0,$R131*-1,0)</f>
        <v>0</v>
      </c>
      <c r="T131" s="755">
        <f t="shared" si="45"/>
        <v>0</v>
      </c>
      <c r="AP131" s="739"/>
      <c r="AQ131" s="558"/>
      <c r="AR131" s="558"/>
      <c r="AS131" s="559"/>
      <c r="AT131" s="558"/>
      <c r="AU131" s="558"/>
      <c r="AV131" s="558"/>
      <c r="AW131" s="558"/>
      <c r="AX131" s="558"/>
      <c r="AY131" s="558"/>
      <c r="AZ131" s="558"/>
      <c r="BA131" s="558"/>
      <c r="BB131" s="558"/>
      <c r="BC131" s="560"/>
      <c r="BJ131" s="561"/>
      <c r="BK131" s="562"/>
    </row>
    <row r="132" spans="2:63" s="556" customFormat="1" ht="15.75" customHeight="1" thickTop="1" thickBot="1">
      <c r="B132" s="774">
        <f t="shared" si="54"/>
        <v>30</v>
      </c>
      <c r="C132" s="766"/>
      <c r="D132" s="701">
        <f t="shared" si="46"/>
        <v>0</v>
      </c>
      <c r="E132" s="701">
        <f t="shared" si="41"/>
        <v>0</v>
      </c>
      <c r="F132" s="766"/>
      <c r="G132" s="744">
        <f t="shared" si="47"/>
        <v>0</v>
      </c>
      <c r="H132" s="766"/>
      <c r="I132" s="744">
        <f t="shared" si="48"/>
        <v>0</v>
      </c>
      <c r="J132" s="766"/>
      <c r="K132" s="745">
        <f t="shared" si="42"/>
        <v>0</v>
      </c>
      <c r="L132" s="751"/>
      <c r="M132" s="766"/>
      <c r="N132" s="701">
        <f>T131*-1</f>
        <v>0</v>
      </c>
      <c r="O132" s="745">
        <f t="shared" si="49"/>
        <v>0</v>
      </c>
      <c r="P132" s="752">
        <f t="shared" si="50"/>
        <v>0</v>
      </c>
      <c r="Q132" s="753">
        <f t="shared" si="51"/>
        <v>13492363.636363639</v>
      </c>
      <c r="R132" s="754">
        <f t="shared" si="53"/>
        <v>13492363.636363639</v>
      </c>
      <c r="S132" s="755">
        <f t="shared" si="55"/>
        <v>0</v>
      </c>
      <c r="T132" s="755">
        <f t="shared" si="45"/>
        <v>0</v>
      </c>
      <c r="AP132" s="739"/>
      <c r="AQ132" s="558"/>
      <c r="AR132" s="558"/>
      <c r="AS132" s="559"/>
      <c r="AT132" s="558"/>
      <c r="AU132" s="558"/>
      <c r="AV132" s="558"/>
      <c r="AW132" s="558"/>
      <c r="AX132" s="558"/>
      <c r="AY132" s="558"/>
      <c r="AZ132" s="558"/>
      <c r="BA132" s="558"/>
      <c r="BB132" s="558"/>
      <c r="BC132" s="560"/>
      <c r="BJ132" s="561"/>
      <c r="BK132" s="562"/>
    </row>
    <row r="133" spans="2:63" s="556" customFormat="1" ht="15.75" customHeight="1" thickTop="1" thickBot="1">
      <c r="B133" s="774">
        <f t="shared" si="54"/>
        <v>31</v>
      </c>
      <c r="C133" s="766"/>
      <c r="D133" s="701">
        <f t="shared" si="46"/>
        <v>0</v>
      </c>
      <c r="E133" s="701">
        <f t="shared" si="41"/>
        <v>0</v>
      </c>
      <c r="F133" s="766"/>
      <c r="G133" s="744">
        <f t="shared" si="47"/>
        <v>0</v>
      </c>
      <c r="H133" s="766"/>
      <c r="I133" s="744">
        <f t="shared" si="48"/>
        <v>0</v>
      </c>
      <c r="J133" s="766"/>
      <c r="K133" s="745">
        <f t="shared" si="42"/>
        <v>0</v>
      </c>
      <c r="L133" s="751"/>
      <c r="M133" s="766"/>
      <c r="N133" s="701">
        <f t="shared" si="52"/>
        <v>0</v>
      </c>
      <c r="O133" s="745">
        <f t="shared" si="49"/>
        <v>0</v>
      </c>
      <c r="P133" s="752">
        <f>K133+O133</f>
        <v>0</v>
      </c>
      <c r="Q133" s="753">
        <f t="shared" si="51"/>
        <v>13492363.636363639</v>
      </c>
      <c r="R133" s="754">
        <f t="shared" si="53"/>
        <v>13492363.636363639</v>
      </c>
      <c r="S133" s="755">
        <f t="shared" si="55"/>
        <v>0</v>
      </c>
      <c r="T133" s="755">
        <f t="shared" si="45"/>
        <v>0</v>
      </c>
      <c r="AP133" s="739"/>
      <c r="AQ133" s="558"/>
      <c r="AR133" s="558"/>
      <c r="AS133" s="559"/>
      <c r="AT133" s="558"/>
      <c r="AU133" s="558"/>
      <c r="AV133" s="558"/>
      <c r="AW133" s="558"/>
      <c r="AX133" s="558"/>
      <c r="AY133" s="558"/>
      <c r="AZ133" s="558"/>
      <c r="BA133" s="558"/>
      <c r="BB133" s="558"/>
      <c r="BC133" s="560"/>
      <c r="BJ133" s="561"/>
      <c r="BK133" s="562"/>
    </row>
    <row r="134" spans="2:63" s="556" customFormat="1" ht="15.75" customHeight="1" thickTop="1" thickBot="1">
      <c r="B134" s="774">
        <f t="shared" si="54"/>
        <v>32</v>
      </c>
      <c r="C134" s="766"/>
      <c r="D134" s="701">
        <f t="shared" si="46"/>
        <v>0</v>
      </c>
      <c r="E134" s="701">
        <f t="shared" si="41"/>
        <v>0</v>
      </c>
      <c r="F134" s="766"/>
      <c r="G134" s="744">
        <f t="shared" si="47"/>
        <v>0</v>
      </c>
      <c r="H134" s="766"/>
      <c r="I134" s="744">
        <f t="shared" si="48"/>
        <v>0</v>
      </c>
      <c r="J134" s="766"/>
      <c r="K134" s="745">
        <f t="shared" si="42"/>
        <v>0</v>
      </c>
      <c r="L134" s="751"/>
      <c r="M134" s="766"/>
      <c r="N134" s="701">
        <f t="shared" si="52"/>
        <v>0</v>
      </c>
      <c r="O134" s="745">
        <f t="shared" si="49"/>
        <v>0</v>
      </c>
      <c r="P134" s="752">
        <f>K134+O134</f>
        <v>0</v>
      </c>
      <c r="Q134" s="753">
        <f t="shared" si="51"/>
        <v>13492363.636363639</v>
      </c>
      <c r="R134" s="754">
        <f t="shared" si="53"/>
        <v>13492363.636363639</v>
      </c>
      <c r="S134" s="755">
        <f t="shared" si="55"/>
        <v>0</v>
      </c>
      <c r="T134" s="755">
        <f t="shared" si="45"/>
        <v>0</v>
      </c>
      <c r="AP134" s="739"/>
      <c r="AQ134" s="558"/>
      <c r="AR134" s="558"/>
      <c r="AS134" s="559"/>
      <c r="AT134" s="558"/>
      <c r="AU134" s="558"/>
      <c r="AV134" s="558"/>
      <c r="AW134" s="558"/>
      <c r="AX134" s="558"/>
      <c r="AY134" s="558"/>
      <c r="AZ134" s="558"/>
      <c r="BA134" s="558"/>
      <c r="BB134" s="558"/>
      <c r="BC134" s="560"/>
      <c r="BJ134" s="561"/>
      <c r="BK134" s="562"/>
    </row>
    <row r="135" spans="2:63" s="556" customFormat="1" ht="15.75" customHeight="1" thickTop="1" thickBot="1">
      <c r="B135" s="774">
        <f t="shared" si="54"/>
        <v>33</v>
      </c>
      <c r="C135" s="766"/>
      <c r="D135" s="701">
        <f t="shared" si="46"/>
        <v>0</v>
      </c>
      <c r="E135" s="701">
        <f t="shared" si="41"/>
        <v>0</v>
      </c>
      <c r="F135" s="766"/>
      <c r="G135" s="744">
        <f t="shared" si="47"/>
        <v>0</v>
      </c>
      <c r="H135" s="766"/>
      <c r="I135" s="744">
        <f t="shared" si="48"/>
        <v>0</v>
      </c>
      <c r="J135" s="766"/>
      <c r="K135" s="745">
        <f t="shared" si="42"/>
        <v>0</v>
      </c>
      <c r="L135" s="751"/>
      <c r="M135" s="766"/>
      <c r="N135" s="701">
        <f t="shared" si="52"/>
        <v>0</v>
      </c>
      <c r="O135" s="745">
        <f t="shared" si="49"/>
        <v>0</v>
      </c>
      <c r="P135" s="752">
        <f>K135+O135</f>
        <v>0</v>
      </c>
      <c r="Q135" s="753">
        <f t="shared" si="51"/>
        <v>13492363.636363639</v>
      </c>
      <c r="R135" s="754">
        <f t="shared" si="53"/>
        <v>13492363.636363639</v>
      </c>
      <c r="S135" s="755">
        <f t="shared" si="55"/>
        <v>0</v>
      </c>
      <c r="T135" s="755">
        <f t="shared" si="45"/>
        <v>0</v>
      </c>
      <c r="AP135" s="739"/>
      <c r="AQ135" s="558"/>
      <c r="AR135" s="558"/>
      <c r="AS135" s="559"/>
      <c r="AT135" s="558"/>
      <c r="AU135" s="558"/>
      <c r="AV135" s="558"/>
      <c r="AW135" s="558"/>
      <c r="AX135" s="558"/>
      <c r="AY135" s="558"/>
      <c r="AZ135" s="558"/>
      <c r="BA135" s="558"/>
      <c r="BB135" s="558"/>
      <c r="BC135" s="560"/>
      <c r="BJ135" s="561"/>
      <c r="BK135" s="562"/>
    </row>
    <row r="136" spans="2:63" s="556" customFormat="1" ht="15.75" customHeight="1" thickTop="1" thickBot="1">
      <c r="B136" s="774">
        <f t="shared" si="54"/>
        <v>34</v>
      </c>
      <c r="C136" s="766"/>
      <c r="D136" s="701">
        <f t="shared" si="46"/>
        <v>0</v>
      </c>
      <c r="E136" s="701">
        <f t="shared" si="41"/>
        <v>0</v>
      </c>
      <c r="F136" s="766"/>
      <c r="G136" s="744">
        <f t="shared" si="47"/>
        <v>0</v>
      </c>
      <c r="H136" s="766"/>
      <c r="I136" s="744">
        <f t="shared" si="48"/>
        <v>0</v>
      </c>
      <c r="J136" s="766"/>
      <c r="K136" s="745">
        <f t="shared" si="42"/>
        <v>0</v>
      </c>
      <c r="L136" s="751"/>
      <c r="M136" s="766"/>
      <c r="N136" s="701">
        <f t="shared" si="52"/>
        <v>0</v>
      </c>
      <c r="O136" s="745">
        <f t="shared" si="49"/>
        <v>0</v>
      </c>
      <c r="P136" s="752">
        <f>K136+O136</f>
        <v>0</v>
      </c>
      <c r="Q136" s="753">
        <f t="shared" si="51"/>
        <v>13492363.636363639</v>
      </c>
      <c r="R136" s="754">
        <f t="shared" si="53"/>
        <v>13492363.636363639</v>
      </c>
      <c r="S136" s="755">
        <f t="shared" si="55"/>
        <v>0</v>
      </c>
      <c r="T136" s="755">
        <f t="shared" si="45"/>
        <v>0</v>
      </c>
      <c r="AP136" s="739"/>
      <c r="AQ136" s="558"/>
      <c r="AR136" s="558"/>
      <c r="AS136" s="559"/>
      <c r="AT136" s="558"/>
      <c r="AU136" s="558"/>
      <c r="AV136" s="558"/>
      <c r="AW136" s="558"/>
      <c r="AX136" s="558"/>
      <c r="AY136" s="558"/>
      <c r="AZ136" s="558"/>
      <c r="BA136" s="558"/>
      <c r="BB136" s="558"/>
      <c r="BC136" s="560"/>
      <c r="BJ136" s="561"/>
      <c r="BK136" s="562"/>
    </row>
    <row r="137" spans="2:63" s="556" customFormat="1" ht="15.75" customHeight="1" thickTop="1" thickBot="1">
      <c r="B137" s="774">
        <f t="shared" si="54"/>
        <v>35</v>
      </c>
      <c r="C137" s="766"/>
      <c r="D137" s="701">
        <f t="shared" si="46"/>
        <v>0</v>
      </c>
      <c r="E137" s="701">
        <f t="shared" si="41"/>
        <v>0</v>
      </c>
      <c r="F137" s="766"/>
      <c r="G137" s="744">
        <f t="shared" si="47"/>
        <v>0</v>
      </c>
      <c r="H137" s="766"/>
      <c r="I137" s="744">
        <f t="shared" si="48"/>
        <v>0</v>
      </c>
      <c r="J137" s="766"/>
      <c r="K137" s="745">
        <f t="shared" si="42"/>
        <v>0</v>
      </c>
      <c r="L137" s="751"/>
      <c r="M137" s="766"/>
      <c r="N137" s="701">
        <f t="shared" si="52"/>
        <v>0</v>
      </c>
      <c r="O137" s="745">
        <f t="shared" si="49"/>
        <v>0</v>
      </c>
      <c r="P137" s="752">
        <f t="shared" si="50"/>
        <v>0</v>
      </c>
      <c r="Q137" s="753">
        <f t="shared" si="51"/>
        <v>13492363.636363639</v>
      </c>
      <c r="R137" s="754">
        <f t="shared" si="53"/>
        <v>13492363.636363639</v>
      </c>
      <c r="S137" s="755">
        <f t="shared" si="55"/>
        <v>0</v>
      </c>
      <c r="T137" s="755">
        <f t="shared" si="45"/>
        <v>0</v>
      </c>
      <c r="AP137" s="739"/>
      <c r="AQ137" s="558"/>
      <c r="AR137" s="558"/>
      <c r="AS137" s="559"/>
      <c r="AT137" s="558"/>
      <c r="AU137" s="558"/>
      <c r="AV137" s="558"/>
      <c r="AW137" s="558"/>
      <c r="AX137" s="558"/>
      <c r="AY137" s="558"/>
      <c r="AZ137" s="558"/>
      <c r="BA137" s="558"/>
      <c r="BB137" s="558"/>
      <c r="BC137" s="560"/>
      <c r="BJ137" s="561"/>
      <c r="BK137" s="562"/>
    </row>
    <row r="138" spans="2:63" s="556" customFormat="1" ht="15.75" customHeight="1" thickTop="1" thickBot="1">
      <c r="B138" s="774">
        <f t="shared" si="54"/>
        <v>36</v>
      </c>
      <c r="C138" s="766"/>
      <c r="D138" s="701">
        <f t="shared" si="46"/>
        <v>0</v>
      </c>
      <c r="E138" s="701">
        <f t="shared" si="41"/>
        <v>0</v>
      </c>
      <c r="F138" s="766"/>
      <c r="G138" s="744">
        <f t="shared" si="47"/>
        <v>0</v>
      </c>
      <c r="H138" s="766"/>
      <c r="I138" s="744">
        <f t="shared" si="48"/>
        <v>0</v>
      </c>
      <c r="J138" s="766"/>
      <c r="K138" s="745">
        <f t="shared" si="42"/>
        <v>0</v>
      </c>
      <c r="L138" s="751"/>
      <c r="M138" s="766"/>
      <c r="N138" s="701">
        <f>T137*-1</f>
        <v>0</v>
      </c>
      <c r="O138" s="745">
        <f t="shared" si="49"/>
        <v>0</v>
      </c>
      <c r="P138" s="752">
        <f>K138+O138</f>
        <v>0</v>
      </c>
      <c r="Q138" s="753">
        <f t="shared" si="51"/>
        <v>13492363.636363639</v>
      </c>
      <c r="R138" s="754">
        <f t="shared" si="53"/>
        <v>13492363.636363639</v>
      </c>
      <c r="S138" s="755">
        <f t="shared" si="55"/>
        <v>0</v>
      </c>
      <c r="T138" s="755">
        <f t="shared" si="45"/>
        <v>0</v>
      </c>
      <c r="AP138" s="739"/>
      <c r="AQ138" s="558"/>
      <c r="AR138" s="558"/>
      <c r="AS138" s="559"/>
      <c r="AT138" s="558"/>
      <c r="AU138" s="558"/>
      <c r="AV138" s="558"/>
      <c r="AW138" s="558"/>
      <c r="AX138" s="558"/>
      <c r="AY138" s="558"/>
      <c r="AZ138" s="558"/>
      <c r="BA138" s="558"/>
      <c r="BB138" s="558"/>
      <c r="BC138" s="560"/>
      <c r="BJ138" s="561"/>
      <c r="BK138" s="562"/>
    </row>
    <row r="139" spans="2:63" s="556" customFormat="1" ht="15.75" customHeight="1" thickTop="1" thickBot="1">
      <c r="B139" s="774">
        <f t="shared" si="54"/>
        <v>37</v>
      </c>
      <c r="C139" s="766"/>
      <c r="D139" s="701">
        <f t="shared" si="46"/>
        <v>0</v>
      </c>
      <c r="E139" s="701">
        <f t="shared" si="41"/>
        <v>0</v>
      </c>
      <c r="F139" s="766"/>
      <c r="G139" s="744">
        <f t="shared" si="47"/>
        <v>0</v>
      </c>
      <c r="H139" s="766"/>
      <c r="I139" s="744">
        <f t="shared" si="48"/>
        <v>0</v>
      </c>
      <c r="J139" s="766"/>
      <c r="K139" s="745">
        <f t="shared" si="42"/>
        <v>0</v>
      </c>
      <c r="L139" s="751"/>
      <c r="M139" s="766"/>
      <c r="N139" s="701">
        <f t="shared" si="52"/>
        <v>0</v>
      </c>
      <c r="O139" s="745">
        <f t="shared" si="49"/>
        <v>0</v>
      </c>
      <c r="P139" s="752">
        <f>K139+O139</f>
        <v>0</v>
      </c>
      <c r="Q139" s="753">
        <f t="shared" si="51"/>
        <v>13492363.636363639</v>
      </c>
      <c r="R139" s="754">
        <f t="shared" si="53"/>
        <v>13492363.636363639</v>
      </c>
      <c r="S139" s="755">
        <f t="shared" si="55"/>
        <v>0</v>
      </c>
      <c r="T139" s="755">
        <f t="shared" si="45"/>
        <v>0</v>
      </c>
      <c r="AP139" s="739"/>
      <c r="AQ139" s="558"/>
      <c r="AR139" s="558"/>
      <c r="AS139" s="559"/>
      <c r="AT139" s="558"/>
      <c r="AU139" s="558"/>
      <c r="AV139" s="558"/>
      <c r="AW139" s="558"/>
      <c r="AX139" s="558"/>
      <c r="AY139" s="558"/>
      <c r="AZ139" s="558"/>
      <c r="BA139" s="558"/>
      <c r="BB139" s="558"/>
      <c r="BC139" s="560"/>
      <c r="BJ139" s="561"/>
      <c r="BK139" s="562"/>
    </row>
    <row r="140" spans="2:63" s="556" customFormat="1" ht="15.75" customHeight="1" thickTop="1" thickBot="1">
      <c r="B140" s="774">
        <f t="shared" si="54"/>
        <v>38</v>
      </c>
      <c r="C140" s="766"/>
      <c r="D140" s="701">
        <f t="shared" si="46"/>
        <v>0</v>
      </c>
      <c r="E140" s="701">
        <f t="shared" ref="E140:E167" si="56">AL63</f>
        <v>0</v>
      </c>
      <c r="F140" s="766"/>
      <c r="G140" s="744">
        <f t="shared" si="47"/>
        <v>0</v>
      </c>
      <c r="H140" s="766"/>
      <c r="I140" s="744">
        <f t="shared" si="48"/>
        <v>0</v>
      </c>
      <c r="J140" s="766"/>
      <c r="K140" s="745">
        <f t="shared" si="42"/>
        <v>0</v>
      </c>
      <c r="L140" s="751"/>
      <c r="M140" s="766"/>
      <c r="N140" s="701">
        <f t="shared" si="52"/>
        <v>0</v>
      </c>
      <c r="O140" s="745">
        <f t="shared" si="49"/>
        <v>0</v>
      </c>
      <c r="P140" s="752">
        <f t="shared" si="50"/>
        <v>0</v>
      </c>
      <c r="Q140" s="753">
        <f>R139</f>
        <v>13492363.636363639</v>
      </c>
      <c r="R140" s="754">
        <f t="shared" si="53"/>
        <v>13492363.636363639</v>
      </c>
      <c r="S140" s="755">
        <f t="shared" si="55"/>
        <v>0</v>
      </c>
      <c r="T140" s="755">
        <f t="shared" ref="T140:T167" si="57">$S140*$G$14*1/12</f>
        <v>0</v>
      </c>
      <c r="AP140" s="739"/>
      <c r="AQ140" s="558"/>
      <c r="AR140" s="558"/>
      <c r="AS140" s="559"/>
      <c r="AT140" s="558"/>
      <c r="AU140" s="558"/>
      <c r="AV140" s="558"/>
      <c r="AW140" s="558"/>
      <c r="AX140" s="558"/>
      <c r="AY140" s="558"/>
      <c r="AZ140" s="558"/>
      <c r="BA140" s="558"/>
      <c r="BB140" s="558"/>
      <c r="BC140" s="560"/>
      <c r="BJ140" s="561"/>
      <c r="BK140" s="562"/>
    </row>
    <row r="141" spans="2:63" s="556" customFormat="1" ht="15.75" customHeight="1" thickTop="1" thickBot="1">
      <c r="B141" s="774">
        <f t="shared" si="54"/>
        <v>39</v>
      </c>
      <c r="C141" s="766"/>
      <c r="D141" s="701">
        <f t="shared" si="46"/>
        <v>0</v>
      </c>
      <c r="E141" s="701">
        <f t="shared" si="56"/>
        <v>0</v>
      </c>
      <c r="F141" s="766"/>
      <c r="G141" s="744">
        <f t="shared" si="47"/>
        <v>0</v>
      </c>
      <c r="H141" s="766"/>
      <c r="I141" s="744">
        <f t="shared" si="48"/>
        <v>0</v>
      </c>
      <c r="J141" s="766"/>
      <c r="K141" s="745">
        <f t="shared" si="42"/>
        <v>0</v>
      </c>
      <c r="L141" s="751"/>
      <c r="M141" s="766"/>
      <c r="N141" s="701">
        <f t="shared" si="52"/>
        <v>0</v>
      </c>
      <c r="O141" s="745">
        <f t="shared" si="49"/>
        <v>0</v>
      </c>
      <c r="P141" s="752">
        <f t="shared" si="50"/>
        <v>0</v>
      </c>
      <c r="Q141" s="753">
        <f t="shared" si="51"/>
        <v>13492363.636363639</v>
      </c>
      <c r="R141" s="754">
        <f t="shared" si="53"/>
        <v>13492363.636363639</v>
      </c>
      <c r="S141" s="755">
        <f t="shared" si="55"/>
        <v>0</v>
      </c>
      <c r="T141" s="755">
        <f t="shared" si="57"/>
        <v>0</v>
      </c>
      <c r="AP141" s="739"/>
      <c r="AQ141" s="558"/>
      <c r="AR141" s="558"/>
      <c r="AS141" s="559"/>
      <c r="AT141" s="558"/>
      <c r="AU141" s="558"/>
      <c r="AV141" s="558"/>
      <c r="AW141" s="558"/>
      <c r="AX141" s="558"/>
      <c r="AY141" s="558"/>
      <c r="AZ141" s="558"/>
      <c r="BA141" s="558"/>
      <c r="BB141" s="558"/>
      <c r="BC141" s="560"/>
      <c r="BJ141" s="561"/>
      <c r="BK141" s="562"/>
    </row>
    <row r="142" spans="2:63" s="556" customFormat="1" ht="15.75" customHeight="1" thickTop="1" thickBot="1">
      <c r="B142" s="774">
        <f t="shared" si="54"/>
        <v>40</v>
      </c>
      <c r="C142" s="766"/>
      <c r="D142" s="701">
        <f t="shared" si="46"/>
        <v>0</v>
      </c>
      <c r="E142" s="701">
        <f t="shared" si="56"/>
        <v>0</v>
      </c>
      <c r="F142" s="766"/>
      <c r="G142" s="744">
        <f t="shared" si="47"/>
        <v>0</v>
      </c>
      <c r="H142" s="766"/>
      <c r="I142" s="744">
        <f t="shared" si="48"/>
        <v>0</v>
      </c>
      <c r="J142" s="766"/>
      <c r="K142" s="745">
        <f t="shared" si="42"/>
        <v>0</v>
      </c>
      <c r="L142" s="751"/>
      <c r="M142" s="766"/>
      <c r="N142" s="701">
        <f t="shared" si="52"/>
        <v>0</v>
      </c>
      <c r="O142" s="745">
        <f t="shared" si="49"/>
        <v>0</v>
      </c>
      <c r="P142" s="752">
        <f t="shared" si="50"/>
        <v>0</v>
      </c>
      <c r="Q142" s="753">
        <f t="shared" si="51"/>
        <v>13492363.636363639</v>
      </c>
      <c r="R142" s="754">
        <f t="shared" si="53"/>
        <v>13492363.636363639</v>
      </c>
      <c r="S142" s="755">
        <f t="shared" si="55"/>
        <v>0</v>
      </c>
      <c r="T142" s="755">
        <f t="shared" si="57"/>
        <v>0</v>
      </c>
      <c r="AP142" s="739"/>
      <c r="AQ142" s="558"/>
      <c r="AR142" s="558"/>
      <c r="AS142" s="559"/>
      <c r="AT142" s="558"/>
      <c r="AU142" s="558"/>
      <c r="AV142" s="558"/>
      <c r="AW142" s="558"/>
      <c r="AX142" s="558"/>
      <c r="AY142" s="558"/>
      <c r="AZ142" s="558"/>
      <c r="BA142" s="558"/>
      <c r="BB142" s="558"/>
      <c r="BC142" s="560"/>
      <c r="BJ142" s="561"/>
      <c r="BK142" s="562"/>
    </row>
    <row r="143" spans="2:63" s="556" customFormat="1" ht="15.75" customHeight="1" thickTop="1" thickBot="1">
      <c r="B143" s="774">
        <f t="shared" si="54"/>
        <v>41</v>
      </c>
      <c r="C143" s="766"/>
      <c r="D143" s="701">
        <f t="shared" si="46"/>
        <v>0</v>
      </c>
      <c r="E143" s="701">
        <f t="shared" si="56"/>
        <v>0</v>
      </c>
      <c r="F143" s="766"/>
      <c r="G143" s="744">
        <f t="shared" si="47"/>
        <v>0</v>
      </c>
      <c r="H143" s="766"/>
      <c r="I143" s="744">
        <f t="shared" si="48"/>
        <v>0</v>
      </c>
      <c r="J143" s="766"/>
      <c r="K143" s="745">
        <f t="shared" si="42"/>
        <v>0</v>
      </c>
      <c r="L143" s="751"/>
      <c r="M143" s="766"/>
      <c r="N143" s="701">
        <f t="shared" si="52"/>
        <v>0</v>
      </c>
      <c r="O143" s="745">
        <f t="shared" si="49"/>
        <v>0</v>
      </c>
      <c r="P143" s="752">
        <f t="shared" si="50"/>
        <v>0</v>
      </c>
      <c r="Q143" s="753">
        <f t="shared" si="51"/>
        <v>13492363.636363639</v>
      </c>
      <c r="R143" s="754">
        <f>P143+Q143</f>
        <v>13492363.636363639</v>
      </c>
      <c r="S143" s="755">
        <f t="shared" si="55"/>
        <v>0</v>
      </c>
      <c r="T143" s="755">
        <f t="shared" si="57"/>
        <v>0</v>
      </c>
      <c r="AP143" s="739"/>
      <c r="AQ143" s="558"/>
      <c r="AR143" s="558"/>
      <c r="AS143" s="559"/>
      <c r="AT143" s="558"/>
      <c r="AU143" s="558"/>
      <c r="AV143" s="558"/>
      <c r="AW143" s="558"/>
      <c r="AX143" s="558"/>
      <c r="AY143" s="558"/>
      <c r="AZ143" s="558"/>
      <c r="BA143" s="558"/>
      <c r="BB143" s="558"/>
      <c r="BC143" s="560"/>
      <c r="BJ143" s="561"/>
      <c r="BK143" s="562"/>
    </row>
    <row r="144" spans="2:63" s="556" customFormat="1" ht="15.75" customHeight="1" thickTop="1" thickBot="1">
      <c r="B144" s="774">
        <f t="shared" si="54"/>
        <v>42</v>
      </c>
      <c r="C144" s="766"/>
      <c r="D144" s="701">
        <f t="shared" si="46"/>
        <v>0</v>
      </c>
      <c r="E144" s="701">
        <f t="shared" si="56"/>
        <v>0</v>
      </c>
      <c r="F144" s="766"/>
      <c r="G144" s="744">
        <f t="shared" si="47"/>
        <v>0</v>
      </c>
      <c r="H144" s="766"/>
      <c r="I144" s="744">
        <f t="shared" si="48"/>
        <v>0</v>
      </c>
      <c r="J144" s="766"/>
      <c r="K144" s="745">
        <f t="shared" si="42"/>
        <v>0</v>
      </c>
      <c r="L144" s="751"/>
      <c r="M144" s="766"/>
      <c r="N144" s="701">
        <f t="shared" si="52"/>
        <v>0</v>
      </c>
      <c r="O144" s="745">
        <f t="shared" si="49"/>
        <v>0</v>
      </c>
      <c r="P144" s="752">
        <f t="shared" si="50"/>
        <v>0</v>
      </c>
      <c r="Q144" s="753">
        <f>R143</f>
        <v>13492363.636363639</v>
      </c>
      <c r="R144" s="754">
        <f t="shared" si="53"/>
        <v>13492363.636363639</v>
      </c>
      <c r="S144" s="755">
        <f t="shared" si="55"/>
        <v>0</v>
      </c>
      <c r="T144" s="755">
        <f t="shared" si="57"/>
        <v>0</v>
      </c>
      <c r="AP144" s="739"/>
      <c r="AQ144" s="558"/>
      <c r="AR144" s="558"/>
      <c r="AS144" s="559"/>
      <c r="AT144" s="558"/>
      <c r="AU144" s="558"/>
      <c r="AV144" s="558"/>
      <c r="AW144" s="558"/>
      <c r="AX144" s="558"/>
      <c r="AY144" s="558"/>
      <c r="AZ144" s="558"/>
      <c r="BA144" s="558"/>
      <c r="BB144" s="558"/>
      <c r="BC144" s="560"/>
      <c r="BJ144" s="561"/>
      <c r="BK144" s="562"/>
    </row>
    <row r="145" spans="2:63" s="556" customFormat="1" ht="15.75" customHeight="1" thickTop="1" thickBot="1">
      <c r="B145" s="774">
        <f t="shared" si="54"/>
        <v>43</v>
      </c>
      <c r="C145" s="766"/>
      <c r="D145" s="701">
        <f t="shared" si="46"/>
        <v>0</v>
      </c>
      <c r="E145" s="701">
        <f t="shared" si="56"/>
        <v>0</v>
      </c>
      <c r="F145" s="766"/>
      <c r="G145" s="744">
        <f t="shared" si="47"/>
        <v>0</v>
      </c>
      <c r="H145" s="766"/>
      <c r="I145" s="744">
        <f t="shared" si="48"/>
        <v>0</v>
      </c>
      <c r="J145" s="766"/>
      <c r="K145" s="745">
        <f t="shared" si="42"/>
        <v>0</v>
      </c>
      <c r="L145" s="751"/>
      <c r="M145" s="766"/>
      <c r="N145" s="701">
        <f t="shared" si="52"/>
        <v>0</v>
      </c>
      <c r="O145" s="745">
        <f t="shared" si="49"/>
        <v>0</v>
      </c>
      <c r="P145" s="752">
        <f t="shared" si="50"/>
        <v>0</v>
      </c>
      <c r="Q145" s="753">
        <f t="shared" si="51"/>
        <v>13492363.636363639</v>
      </c>
      <c r="R145" s="754">
        <f t="shared" si="53"/>
        <v>13492363.636363639</v>
      </c>
      <c r="S145" s="755">
        <f t="shared" si="55"/>
        <v>0</v>
      </c>
      <c r="T145" s="755">
        <f t="shared" si="57"/>
        <v>0</v>
      </c>
      <c r="AP145" s="739"/>
      <c r="AQ145" s="558"/>
      <c r="AR145" s="558"/>
      <c r="AS145" s="559"/>
      <c r="AT145" s="558"/>
      <c r="AU145" s="558"/>
      <c r="AV145" s="558"/>
      <c r="AW145" s="558"/>
      <c r="AX145" s="558"/>
      <c r="AY145" s="558"/>
      <c r="AZ145" s="558"/>
      <c r="BA145" s="558"/>
      <c r="BB145" s="558"/>
      <c r="BC145" s="560"/>
      <c r="BJ145" s="561"/>
      <c r="BK145" s="562"/>
    </row>
    <row r="146" spans="2:63" s="556" customFormat="1" ht="15.75" customHeight="1" thickTop="1" thickBot="1">
      <c r="B146" s="774">
        <f t="shared" si="54"/>
        <v>44</v>
      </c>
      <c r="C146" s="766"/>
      <c r="D146" s="701">
        <f t="shared" si="46"/>
        <v>0</v>
      </c>
      <c r="E146" s="701">
        <f t="shared" si="56"/>
        <v>0</v>
      </c>
      <c r="F146" s="766"/>
      <c r="G146" s="744">
        <f t="shared" si="47"/>
        <v>0</v>
      </c>
      <c r="H146" s="766"/>
      <c r="I146" s="744">
        <f t="shared" si="48"/>
        <v>0</v>
      </c>
      <c r="J146" s="766"/>
      <c r="K146" s="745">
        <f t="shared" si="42"/>
        <v>0</v>
      </c>
      <c r="L146" s="751"/>
      <c r="M146" s="766"/>
      <c r="N146" s="701">
        <f t="shared" si="52"/>
        <v>0</v>
      </c>
      <c r="O146" s="745">
        <f t="shared" si="49"/>
        <v>0</v>
      </c>
      <c r="P146" s="752">
        <f>K146+O146</f>
        <v>0</v>
      </c>
      <c r="Q146" s="753">
        <f>R145</f>
        <v>13492363.636363639</v>
      </c>
      <c r="R146" s="754">
        <f>P146+Q146</f>
        <v>13492363.636363639</v>
      </c>
      <c r="S146" s="755">
        <f t="shared" si="55"/>
        <v>0</v>
      </c>
      <c r="T146" s="755">
        <f t="shared" si="57"/>
        <v>0</v>
      </c>
      <c r="AP146" s="739"/>
      <c r="AQ146" s="558"/>
      <c r="AR146" s="558"/>
      <c r="AS146" s="559"/>
      <c r="AT146" s="558"/>
      <c r="AU146" s="558"/>
      <c r="AV146" s="558"/>
      <c r="AW146" s="558"/>
      <c r="AX146" s="558"/>
      <c r="AY146" s="558"/>
      <c r="AZ146" s="558"/>
      <c r="BA146" s="558"/>
      <c r="BB146" s="558"/>
      <c r="BC146" s="560"/>
      <c r="BJ146" s="561"/>
      <c r="BK146" s="562"/>
    </row>
    <row r="147" spans="2:63" s="556" customFormat="1" ht="15.75" customHeight="1" thickTop="1" thickBot="1">
      <c r="B147" s="774">
        <f t="shared" si="54"/>
        <v>45</v>
      </c>
      <c r="C147" s="766"/>
      <c r="D147" s="701">
        <f t="shared" si="46"/>
        <v>0</v>
      </c>
      <c r="E147" s="701">
        <f t="shared" si="56"/>
        <v>0</v>
      </c>
      <c r="F147" s="766"/>
      <c r="G147" s="744">
        <f t="shared" si="47"/>
        <v>0</v>
      </c>
      <c r="H147" s="766"/>
      <c r="I147" s="744">
        <f t="shared" si="48"/>
        <v>0</v>
      </c>
      <c r="J147" s="766"/>
      <c r="K147" s="745">
        <f t="shared" si="42"/>
        <v>0</v>
      </c>
      <c r="L147" s="751"/>
      <c r="M147" s="766"/>
      <c r="N147" s="701">
        <f t="shared" si="52"/>
        <v>0</v>
      </c>
      <c r="O147" s="745">
        <f t="shared" si="49"/>
        <v>0</v>
      </c>
      <c r="P147" s="752">
        <f t="shared" si="50"/>
        <v>0</v>
      </c>
      <c r="Q147" s="753">
        <f t="shared" si="51"/>
        <v>13492363.636363639</v>
      </c>
      <c r="R147" s="754">
        <f t="shared" si="53"/>
        <v>13492363.636363639</v>
      </c>
      <c r="S147" s="755">
        <f t="shared" si="55"/>
        <v>0</v>
      </c>
      <c r="T147" s="755">
        <f t="shared" si="57"/>
        <v>0</v>
      </c>
      <c r="AP147" s="739"/>
      <c r="AQ147" s="558"/>
      <c r="AR147" s="558"/>
      <c r="AS147" s="559"/>
      <c r="AT147" s="558"/>
      <c r="AU147" s="558"/>
      <c r="AV147" s="558"/>
      <c r="AW147" s="558"/>
      <c r="AX147" s="558"/>
      <c r="AY147" s="558"/>
      <c r="AZ147" s="558"/>
      <c r="BA147" s="558"/>
      <c r="BB147" s="558"/>
      <c r="BC147" s="560"/>
      <c r="BJ147" s="561"/>
      <c r="BK147" s="562"/>
    </row>
    <row r="148" spans="2:63" s="556" customFormat="1" ht="15.75" customHeight="1" thickTop="1" thickBot="1">
      <c r="B148" s="774">
        <f t="shared" si="54"/>
        <v>46</v>
      </c>
      <c r="C148" s="766"/>
      <c r="D148" s="701">
        <f t="shared" si="46"/>
        <v>0</v>
      </c>
      <c r="E148" s="701">
        <f t="shared" si="56"/>
        <v>0</v>
      </c>
      <c r="F148" s="766"/>
      <c r="G148" s="744">
        <f t="shared" si="47"/>
        <v>0</v>
      </c>
      <c r="H148" s="766"/>
      <c r="I148" s="744">
        <f t="shared" si="48"/>
        <v>0</v>
      </c>
      <c r="J148" s="766"/>
      <c r="K148" s="745">
        <f t="shared" si="42"/>
        <v>0</v>
      </c>
      <c r="L148" s="751"/>
      <c r="M148" s="766"/>
      <c r="N148" s="701">
        <f t="shared" si="52"/>
        <v>0</v>
      </c>
      <c r="O148" s="745">
        <f t="shared" si="49"/>
        <v>0</v>
      </c>
      <c r="P148" s="752">
        <f t="shared" si="50"/>
        <v>0</v>
      </c>
      <c r="Q148" s="753">
        <f t="shared" si="51"/>
        <v>13492363.636363639</v>
      </c>
      <c r="R148" s="754">
        <f t="shared" si="53"/>
        <v>13492363.636363639</v>
      </c>
      <c r="S148" s="755">
        <f t="shared" si="55"/>
        <v>0</v>
      </c>
      <c r="T148" s="755">
        <f t="shared" si="57"/>
        <v>0</v>
      </c>
      <c r="AP148" s="739"/>
      <c r="AQ148" s="558"/>
      <c r="AR148" s="558"/>
      <c r="AS148" s="559"/>
      <c r="AT148" s="558"/>
      <c r="AU148" s="558"/>
      <c r="AV148" s="558"/>
      <c r="AW148" s="558"/>
      <c r="AX148" s="558"/>
      <c r="AY148" s="558"/>
      <c r="AZ148" s="558"/>
      <c r="BA148" s="558"/>
      <c r="BB148" s="558"/>
      <c r="BC148" s="560"/>
      <c r="BJ148" s="561"/>
      <c r="BK148" s="562"/>
    </row>
    <row r="149" spans="2:63" s="556" customFormat="1" ht="15.75" customHeight="1" thickTop="1" thickBot="1">
      <c r="B149" s="774">
        <f t="shared" si="54"/>
        <v>47</v>
      </c>
      <c r="C149" s="766"/>
      <c r="D149" s="701">
        <f t="shared" si="46"/>
        <v>0</v>
      </c>
      <c r="E149" s="701">
        <f t="shared" si="56"/>
        <v>0</v>
      </c>
      <c r="F149" s="766"/>
      <c r="G149" s="744">
        <f t="shared" si="47"/>
        <v>0</v>
      </c>
      <c r="H149" s="766"/>
      <c r="I149" s="744">
        <f t="shared" si="48"/>
        <v>0</v>
      </c>
      <c r="J149" s="766"/>
      <c r="K149" s="745">
        <f t="shared" si="42"/>
        <v>0</v>
      </c>
      <c r="L149" s="751"/>
      <c r="M149" s="766"/>
      <c r="N149" s="701">
        <f t="shared" si="52"/>
        <v>0</v>
      </c>
      <c r="O149" s="745">
        <f t="shared" si="49"/>
        <v>0</v>
      </c>
      <c r="P149" s="752">
        <f t="shared" si="50"/>
        <v>0</v>
      </c>
      <c r="Q149" s="753">
        <f>R148</f>
        <v>13492363.636363639</v>
      </c>
      <c r="R149" s="754">
        <f t="shared" si="53"/>
        <v>13492363.636363639</v>
      </c>
      <c r="S149" s="755">
        <f t="shared" si="55"/>
        <v>0</v>
      </c>
      <c r="T149" s="755">
        <f t="shared" si="57"/>
        <v>0</v>
      </c>
      <c r="AP149" s="739"/>
      <c r="AQ149" s="558"/>
      <c r="AR149" s="558"/>
      <c r="AS149" s="559"/>
      <c r="AT149" s="558"/>
      <c r="AU149" s="558"/>
      <c r="AV149" s="558"/>
      <c r="AW149" s="558"/>
      <c r="AX149" s="558"/>
      <c r="AY149" s="558"/>
      <c r="AZ149" s="558"/>
      <c r="BA149" s="558"/>
      <c r="BB149" s="558"/>
      <c r="BC149" s="560"/>
      <c r="BJ149" s="561"/>
      <c r="BK149" s="562"/>
    </row>
    <row r="150" spans="2:63" s="556" customFormat="1" ht="15.75" customHeight="1" thickTop="1" thickBot="1">
      <c r="B150" s="774">
        <f t="shared" si="54"/>
        <v>48</v>
      </c>
      <c r="C150" s="766"/>
      <c r="D150" s="701">
        <f t="shared" si="46"/>
        <v>0</v>
      </c>
      <c r="E150" s="701">
        <f t="shared" si="56"/>
        <v>0</v>
      </c>
      <c r="F150" s="766"/>
      <c r="G150" s="744">
        <f t="shared" si="47"/>
        <v>0</v>
      </c>
      <c r="H150" s="766"/>
      <c r="I150" s="744">
        <f t="shared" si="48"/>
        <v>0</v>
      </c>
      <c r="J150" s="766"/>
      <c r="K150" s="745">
        <f t="shared" si="42"/>
        <v>0</v>
      </c>
      <c r="L150" s="751"/>
      <c r="M150" s="766"/>
      <c r="N150" s="701">
        <f t="shared" si="52"/>
        <v>0</v>
      </c>
      <c r="O150" s="745">
        <f t="shared" si="49"/>
        <v>0</v>
      </c>
      <c r="P150" s="752">
        <f t="shared" si="50"/>
        <v>0</v>
      </c>
      <c r="Q150" s="753">
        <f t="shared" si="51"/>
        <v>13492363.636363639</v>
      </c>
      <c r="R150" s="754">
        <f t="shared" si="53"/>
        <v>13492363.636363639</v>
      </c>
      <c r="S150" s="755">
        <f t="shared" si="55"/>
        <v>0</v>
      </c>
      <c r="T150" s="755">
        <f t="shared" si="57"/>
        <v>0</v>
      </c>
      <c r="AP150" s="739"/>
      <c r="AQ150" s="558"/>
      <c r="AR150" s="558"/>
      <c r="AS150" s="559"/>
      <c r="AT150" s="558"/>
      <c r="AU150" s="558"/>
      <c r="AV150" s="558"/>
      <c r="AW150" s="558"/>
      <c r="AX150" s="558"/>
      <c r="AY150" s="558"/>
      <c r="AZ150" s="558"/>
      <c r="BA150" s="558"/>
      <c r="BB150" s="558"/>
      <c r="BC150" s="560"/>
      <c r="BJ150" s="561"/>
      <c r="BK150" s="562"/>
    </row>
    <row r="151" spans="2:63" s="556" customFormat="1" ht="15.75" customHeight="1" thickTop="1" thickBot="1">
      <c r="B151" s="774">
        <f t="shared" si="54"/>
        <v>49</v>
      </c>
      <c r="C151" s="766"/>
      <c r="D151" s="701">
        <f t="shared" si="46"/>
        <v>0</v>
      </c>
      <c r="E151" s="701">
        <f t="shared" si="56"/>
        <v>0</v>
      </c>
      <c r="F151" s="766"/>
      <c r="G151" s="744">
        <f t="shared" si="47"/>
        <v>0</v>
      </c>
      <c r="H151" s="766"/>
      <c r="I151" s="744">
        <f t="shared" si="48"/>
        <v>0</v>
      </c>
      <c r="J151" s="766"/>
      <c r="K151" s="745">
        <f t="shared" si="42"/>
        <v>0</v>
      </c>
      <c r="L151" s="751"/>
      <c r="M151" s="766"/>
      <c r="N151" s="701">
        <f t="shared" si="52"/>
        <v>0</v>
      </c>
      <c r="O151" s="745">
        <f t="shared" si="49"/>
        <v>0</v>
      </c>
      <c r="P151" s="752">
        <f>K151+O151</f>
        <v>0</v>
      </c>
      <c r="Q151" s="753">
        <f t="shared" si="51"/>
        <v>13492363.636363639</v>
      </c>
      <c r="R151" s="754">
        <f t="shared" si="53"/>
        <v>13492363.636363639</v>
      </c>
      <c r="S151" s="755">
        <f t="shared" si="55"/>
        <v>0</v>
      </c>
      <c r="T151" s="755">
        <f t="shared" si="57"/>
        <v>0</v>
      </c>
      <c r="AP151" s="739"/>
      <c r="AQ151" s="558"/>
      <c r="AR151" s="558"/>
      <c r="AS151" s="559"/>
      <c r="AT151" s="558"/>
      <c r="AU151" s="558"/>
      <c r="AV151" s="558"/>
      <c r="AW151" s="558"/>
      <c r="AX151" s="558"/>
      <c r="AY151" s="558"/>
      <c r="AZ151" s="558"/>
      <c r="BA151" s="558"/>
      <c r="BB151" s="558"/>
      <c r="BC151" s="560"/>
      <c r="BJ151" s="561"/>
      <c r="BK151" s="562"/>
    </row>
    <row r="152" spans="2:63" s="556" customFormat="1" ht="15.75" customHeight="1" thickTop="1" thickBot="1">
      <c r="B152" s="774">
        <f t="shared" si="54"/>
        <v>50</v>
      </c>
      <c r="C152" s="766"/>
      <c r="D152" s="701">
        <f t="shared" si="46"/>
        <v>0</v>
      </c>
      <c r="E152" s="701">
        <f t="shared" si="56"/>
        <v>0</v>
      </c>
      <c r="F152" s="766"/>
      <c r="G152" s="744">
        <f t="shared" si="47"/>
        <v>0</v>
      </c>
      <c r="H152" s="766"/>
      <c r="I152" s="744">
        <f t="shared" si="48"/>
        <v>0</v>
      </c>
      <c r="J152" s="766"/>
      <c r="K152" s="745">
        <f t="shared" si="42"/>
        <v>0</v>
      </c>
      <c r="L152" s="751"/>
      <c r="M152" s="766"/>
      <c r="N152" s="701">
        <f>T151*-1</f>
        <v>0</v>
      </c>
      <c r="O152" s="745">
        <f t="shared" si="49"/>
        <v>0</v>
      </c>
      <c r="P152" s="752">
        <f>K152+O152</f>
        <v>0</v>
      </c>
      <c r="Q152" s="753">
        <f>R151</f>
        <v>13492363.636363639</v>
      </c>
      <c r="R152" s="754">
        <f t="shared" si="53"/>
        <v>13492363.636363639</v>
      </c>
      <c r="S152" s="755">
        <f t="shared" si="55"/>
        <v>0</v>
      </c>
      <c r="T152" s="755">
        <f t="shared" si="57"/>
        <v>0</v>
      </c>
      <c r="AP152" s="739"/>
      <c r="AQ152" s="558"/>
      <c r="AR152" s="558"/>
      <c r="AS152" s="559"/>
      <c r="AT152" s="558"/>
      <c r="AU152" s="558"/>
      <c r="AV152" s="558"/>
      <c r="AW152" s="558"/>
      <c r="AX152" s="558"/>
      <c r="AY152" s="558"/>
      <c r="AZ152" s="558"/>
      <c r="BA152" s="558"/>
      <c r="BB152" s="558"/>
      <c r="BC152" s="560"/>
      <c r="BJ152" s="561"/>
      <c r="BK152" s="562"/>
    </row>
    <row r="153" spans="2:63" s="556" customFormat="1" ht="15.75" customHeight="1" thickTop="1" thickBot="1">
      <c r="B153" s="774">
        <f t="shared" si="54"/>
        <v>51</v>
      </c>
      <c r="C153" s="766"/>
      <c r="D153" s="701">
        <f t="shared" si="46"/>
        <v>0</v>
      </c>
      <c r="E153" s="701">
        <f t="shared" si="56"/>
        <v>0</v>
      </c>
      <c r="F153" s="766"/>
      <c r="G153" s="744">
        <f t="shared" si="47"/>
        <v>0</v>
      </c>
      <c r="H153" s="766"/>
      <c r="I153" s="744">
        <f t="shared" si="48"/>
        <v>0</v>
      </c>
      <c r="J153" s="766"/>
      <c r="K153" s="745">
        <f t="shared" si="42"/>
        <v>0</v>
      </c>
      <c r="L153" s="751"/>
      <c r="M153" s="766"/>
      <c r="N153" s="701">
        <f t="shared" si="52"/>
        <v>0</v>
      </c>
      <c r="O153" s="745">
        <f t="shared" si="49"/>
        <v>0</v>
      </c>
      <c r="P153" s="752">
        <f t="shared" si="50"/>
        <v>0</v>
      </c>
      <c r="Q153" s="753">
        <f t="shared" si="51"/>
        <v>13492363.636363639</v>
      </c>
      <c r="R153" s="754">
        <f t="shared" si="53"/>
        <v>13492363.636363639</v>
      </c>
      <c r="S153" s="755">
        <f t="shared" si="55"/>
        <v>0</v>
      </c>
      <c r="T153" s="755">
        <f t="shared" si="57"/>
        <v>0</v>
      </c>
      <c r="AP153" s="739"/>
      <c r="AQ153" s="558"/>
      <c r="AR153" s="558"/>
      <c r="AS153" s="559"/>
      <c r="AT153" s="558"/>
      <c r="AU153" s="558"/>
      <c r="AV153" s="558"/>
      <c r="AW153" s="558"/>
      <c r="AX153" s="558"/>
      <c r="AY153" s="558"/>
      <c r="AZ153" s="558"/>
      <c r="BA153" s="558"/>
      <c r="BB153" s="558"/>
      <c r="BC153" s="560"/>
      <c r="BJ153" s="561"/>
      <c r="BK153" s="562"/>
    </row>
    <row r="154" spans="2:63" s="556" customFormat="1" ht="15.75" customHeight="1" thickTop="1" thickBot="1">
      <c r="B154" s="774">
        <f t="shared" si="54"/>
        <v>52</v>
      </c>
      <c r="C154" s="766"/>
      <c r="D154" s="701">
        <f t="shared" si="46"/>
        <v>0</v>
      </c>
      <c r="E154" s="701">
        <f t="shared" si="56"/>
        <v>0</v>
      </c>
      <c r="F154" s="766"/>
      <c r="G154" s="744">
        <f t="shared" si="47"/>
        <v>0</v>
      </c>
      <c r="H154" s="766"/>
      <c r="I154" s="744">
        <f t="shared" si="48"/>
        <v>0</v>
      </c>
      <c r="J154" s="766"/>
      <c r="K154" s="745">
        <f t="shared" si="42"/>
        <v>0</v>
      </c>
      <c r="L154" s="751"/>
      <c r="M154" s="766"/>
      <c r="N154" s="701">
        <f t="shared" si="52"/>
        <v>0</v>
      </c>
      <c r="O154" s="745">
        <f t="shared" si="49"/>
        <v>0</v>
      </c>
      <c r="P154" s="752">
        <f t="shared" si="50"/>
        <v>0</v>
      </c>
      <c r="Q154" s="753">
        <f t="shared" si="51"/>
        <v>13492363.636363639</v>
      </c>
      <c r="R154" s="754">
        <f t="shared" si="53"/>
        <v>13492363.636363639</v>
      </c>
      <c r="S154" s="755">
        <f t="shared" si="55"/>
        <v>0</v>
      </c>
      <c r="T154" s="755">
        <f t="shared" si="57"/>
        <v>0</v>
      </c>
      <c r="AP154" s="739"/>
      <c r="AQ154" s="558"/>
      <c r="AR154" s="558"/>
      <c r="AS154" s="559"/>
      <c r="AT154" s="558"/>
      <c r="AU154" s="558"/>
      <c r="AV154" s="558"/>
      <c r="AW154" s="558"/>
      <c r="AX154" s="558"/>
      <c r="AY154" s="558"/>
      <c r="AZ154" s="558"/>
      <c r="BA154" s="558"/>
      <c r="BB154" s="558"/>
      <c r="BC154" s="560"/>
      <c r="BJ154" s="561"/>
      <c r="BK154" s="562"/>
    </row>
    <row r="155" spans="2:63" s="556" customFormat="1" ht="15.75" customHeight="1" thickTop="1" thickBot="1">
      <c r="B155" s="774">
        <f t="shared" si="54"/>
        <v>53</v>
      </c>
      <c r="C155" s="766"/>
      <c r="D155" s="701">
        <f t="shared" si="46"/>
        <v>0</v>
      </c>
      <c r="E155" s="701">
        <f t="shared" si="56"/>
        <v>0</v>
      </c>
      <c r="F155" s="766"/>
      <c r="G155" s="744">
        <f t="shared" si="47"/>
        <v>0</v>
      </c>
      <c r="H155" s="766"/>
      <c r="I155" s="744">
        <f t="shared" si="48"/>
        <v>0</v>
      </c>
      <c r="J155" s="766"/>
      <c r="K155" s="745">
        <f t="shared" si="42"/>
        <v>0</v>
      </c>
      <c r="L155" s="751"/>
      <c r="M155" s="766"/>
      <c r="N155" s="701">
        <f t="shared" si="52"/>
        <v>0</v>
      </c>
      <c r="O155" s="745">
        <f t="shared" si="49"/>
        <v>0</v>
      </c>
      <c r="P155" s="752">
        <f t="shared" si="50"/>
        <v>0</v>
      </c>
      <c r="Q155" s="753">
        <f t="shared" si="51"/>
        <v>13492363.636363639</v>
      </c>
      <c r="R155" s="754">
        <f t="shared" si="53"/>
        <v>13492363.636363639</v>
      </c>
      <c r="S155" s="755">
        <f t="shared" si="55"/>
        <v>0</v>
      </c>
      <c r="T155" s="755">
        <f t="shared" si="57"/>
        <v>0</v>
      </c>
      <c r="AP155" s="739"/>
      <c r="AQ155" s="558"/>
      <c r="AR155" s="558"/>
      <c r="AS155" s="559"/>
      <c r="AT155" s="558"/>
      <c r="AU155" s="558"/>
      <c r="AV155" s="558"/>
      <c r="AW155" s="558"/>
      <c r="AX155" s="558"/>
      <c r="AY155" s="558"/>
      <c r="AZ155" s="558"/>
      <c r="BA155" s="558"/>
      <c r="BB155" s="558"/>
      <c r="BC155" s="560"/>
      <c r="BJ155" s="561"/>
      <c r="BK155" s="562"/>
    </row>
    <row r="156" spans="2:63" s="556" customFormat="1" ht="15.75" customHeight="1" thickTop="1" thickBot="1">
      <c r="B156" s="774">
        <f t="shared" si="54"/>
        <v>54</v>
      </c>
      <c r="C156" s="766"/>
      <c r="D156" s="701">
        <f t="shared" si="46"/>
        <v>0</v>
      </c>
      <c r="E156" s="701">
        <f t="shared" si="56"/>
        <v>0</v>
      </c>
      <c r="F156" s="766"/>
      <c r="G156" s="744">
        <f t="shared" si="47"/>
        <v>0</v>
      </c>
      <c r="H156" s="766"/>
      <c r="I156" s="744">
        <f t="shared" si="48"/>
        <v>0</v>
      </c>
      <c r="J156" s="766"/>
      <c r="K156" s="745">
        <f t="shared" si="42"/>
        <v>0</v>
      </c>
      <c r="L156" s="751"/>
      <c r="M156" s="766"/>
      <c r="N156" s="701">
        <f t="shared" si="52"/>
        <v>0</v>
      </c>
      <c r="O156" s="745">
        <f t="shared" si="49"/>
        <v>0</v>
      </c>
      <c r="P156" s="752">
        <f t="shared" si="50"/>
        <v>0</v>
      </c>
      <c r="Q156" s="753">
        <f t="shared" si="51"/>
        <v>13492363.636363639</v>
      </c>
      <c r="R156" s="754">
        <f t="shared" si="53"/>
        <v>13492363.636363639</v>
      </c>
      <c r="S156" s="755">
        <f t="shared" si="55"/>
        <v>0</v>
      </c>
      <c r="T156" s="755">
        <f t="shared" si="57"/>
        <v>0</v>
      </c>
      <c r="AP156" s="739"/>
      <c r="AQ156" s="558"/>
      <c r="AR156" s="558"/>
      <c r="AS156" s="559"/>
      <c r="AT156" s="558"/>
      <c r="AU156" s="558"/>
      <c r="AV156" s="558"/>
      <c r="AW156" s="558"/>
      <c r="AX156" s="558"/>
      <c r="AY156" s="558"/>
      <c r="AZ156" s="558"/>
      <c r="BA156" s="558"/>
      <c r="BB156" s="558"/>
      <c r="BC156" s="560"/>
      <c r="BJ156" s="561"/>
      <c r="BK156" s="562"/>
    </row>
    <row r="157" spans="2:63" s="556" customFormat="1" ht="15.75" customHeight="1" thickTop="1" thickBot="1">
      <c r="B157" s="774">
        <f t="shared" si="54"/>
        <v>55</v>
      </c>
      <c r="C157" s="766"/>
      <c r="D157" s="701">
        <f t="shared" si="46"/>
        <v>0</v>
      </c>
      <c r="E157" s="701">
        <f t="shared" si="56"/>
        <v>0</v>
      </c>
      <c r="F157" s="766"/>
      <c r="G157" s="744">
        <f t="shared" si="47"/>
        <v>0</v>
      </c>
      <c r="H157" s="766"/>
      <c r="I157" s="744">
        <f t="shared" si="48"/>
        <v>0</v>
      </c>
      <c r="J157" s="766"/>
      <c r="K157" s="745">
        <f t="shared" si="42"/>
        <v>0</v>
      </c>
      <c r="L157" s="751"/>
      <c r="M157" s="766"/>
      <c r="N157" s="701">
        <f t="shared" si="52"/>
        <v>0</v>
      </c>
      <c r="O157" s="745">
        <f t="shared" si="49"/>
        <v>0</v>
      </c>
      <c r="P157" s="752">
        <f t="shared" si="50"/>
        <v>0</v>
      </c>
      <c r="Q157" s="753">
        <f t="shared" si="51"/>
        <v>13492363.636363639</v>
      </c>
      <c r="R157" s="754">
        <f t="shared" si="53"/>
        <v>13492363.636363639</v>
      </c>
      <c r="S157" s="755">
        <f t="shared" si="55"/>
        <v>0</v>
      </c>
      <c r="T157" s="755">
        <f t="shared" si="57"/>
        <v>0</v>
      </c>
      <c r="AP157" s="739"/>
      <c r="AQ157" s="558"/>
      <c r="AR157" s="558"/>
      <c r="AS157" s="559"/>
      <c r="AT157" s="558"/>
      <c r="AU157" s="558"/>
      <c r="AV157" s="558"/>
      <c r="AW157" s="558"/>
      <c r="AX157" s="558"/>
      <c r="AY157" s="558"/>
      <c r="AZ157" s="558"/>
      <c r="BA157" s="558"/>
      <c r="BB157" s="558"/>
      <c r="BC157" s="560"/>
      <c r="BJ157" s="561"/>
      <c r="BK157" s="562"/>
    </row>
    <row r="158" spans="2:63" s="556" customFormat="1" ht="15.75" customHeight="1" thickTop="1" thickBot="1">
      <c r="B158" s="774">
        <f t="shared" si="54"/>
        <v>56</v>
      </c>
      <c r="C158" s="766"/>
      <c r="D158" s="701">
        <f t="shared" ref="D158:D167" si="58">IF(AE81&gt;=0,AE81,0)</f>
        <v>0</v>
      </c>
      <c r="E158" s="701">
        <f t="shared" si="56"/>
        <v>0</v>
      </c>
      <c r="F158" s="766"/>
      <c r="G158" s="744">
        <f t="shared" si="47"/>
        <v>0</v>
      </c>
      <c r="H158" s="766"/>
      <c r="I158" s="744">
        <f t="shared" si="48"/>
        <v>0</v>
      </c>
      <c r="J158" s="766"/>
      <c r="K158" s="745">
        <f t="shared" si="42"/>
        <v>0</v>
      </c>
      <c r="L158" s="751"/>
      <c r="M158" s="766"/>
      <c r="N158" s="701">
        <f t="shared" si="52"/>
        <v>0</v>
      </c>
      <c r="O158" s="745">
        <f t="shared" si="49"/>
        <v>0</v>
      </c>
      <c r="P158" s="752">
        <f t="shared" si="50"/>
        <v>0</v>
      </c>
      <c r="Q158" s="753">
        <f t="shared" si="51"/>
        <v>13492363.636363639</v>
      </c>
      <c r="R158" s="754">
        <f t="shared" si="53"/>
        <v>13492363.636363639</v>
      </c>
      <c r="S158" s="755">
        <f t="shared" si="55"/>
        <v>0</v>
      </c>
      <c r="T158" s="755">
        <f t="shared" si="57"/>
        <v>0</v>
      </c>
      <c r="AP158" s="739"/>
      <c r="AQ158" s="558"/>
      <c r="AR158" s="558"/>
      <c r="AS158" s="559"/>
      <c r="AT158" s="558"/>
      <c r="AU158" s="558"/>
      <c r="AV158" s="558"/>
      <c r="AW158" s="558"/>
      <c r="AX158" s="558"/>
      <c r="AY158" s="558"/>
      <c r="AZ158" s="558"/>
      <c r="BA158" s="558"/>
      <c r="BB158" s="558"/>
      <c r="BC158" s="560"/>
      <c r="BJ158" s="561"/>
      <c r="BK158" s="562"/>
    </row>
    <row r="159" spans="2:63" s="556" customFormat="1" ht="15.75" customHeight="1" thickTop="1" thickBot="1">
      <c r="B159" s="774">
        <f t="shared" si="54"/>
        <v>57</v>
      </c>
      <c r="C159" s="766"/>
      <c r="D159" s="701">
        <f t="shared" si="58"/>
        <v>0</v>
      </c>
      <c r="E159" s="701">
        <f t="shared" si="56"/>
        <v>0</v>
      </c>
      <c r="F159" s="766"/>
      <c r="G159" s="744">
        <f t="shared" si="47"/>
        <v>0</v>
      </c>
      <c r="H159" s="766"/>
      <c r="I159" s="744">
        <f t="shared" si="48"/>
        <v>0</v>
      </c>
      <c r="J159" s="766"/>
      <c r="K159" s="745">
        <f t="shared" si="42"/>
        <v>0</v>
      </c>
      <c r="L159" s="751"/>
      <c r="M159" s="766"/>
      <c r="N159" s="701">
        <f t="shared" si="52"/>
        <v>0</v>
      </c>
      <c r="O159" s="745">
        <f t="shared" si="49"/>
        <v>0</v>
      </c>
      <c r="P159" s="752">
        <f t="shared" si="50"/>
        <v>0</v>
      </c>
      <c r="Q159" s="753">
        <f t="shared" si="51"/>
        <v>13492363.636363639</v>
      </c>
      <c r="R159" s="754">
        <f t="shared" si="53"/>
        <v>13492363.636363639</v>
      </c>
      <c r="S159" s="755">
        <f t="shared" si="55"/>
        <v>0</v>
      </c>
      <c r="T159" s="755">
        <f t="shared" si="57"/>
        <v>0</v>
      </c>
      <c r="AP159" s="739"/>
      <c r="AQ159" s="558"/>
      <c r="AR159" s="558"/>
      <c r="AS159" s="559"/>
      <c r="AT159" s="558"/>
      <c r="AU159" s="558"/>
      <c r="AV159" s="558"/>
      <c r="AW159" s="558"/>
      <c r="AX159" s="558"/>
      <c r="AY159" s="558"/>
      <c r="AZ159" s="558"/>
      <c r="BA159" s="558"/>
      <c r="BB159" s="558"/>
      <c r="BC159" s="560"/>
      <c r="BJ159" s="561"/>
      <c r="BK159" s="562"/>
    </row>
    <row r="160" spans="2:63" s="556" customFormat="1" ht="15.75" customHeight="1" thickTop="1" thickBot="1">
      <c r="B160" s="774">
        <f t="shared" si="54"/>
        <v>58</v>
      </c>
      <c r="C160" s="766"/>
      <c r="D160" s="701">
        <f t="shared" si="58"/>
        <v>0</v>
      </c>
      <c r="E160" s="701">
        <f t="shared" si="56"/>
        <v>0</v>
      </c>
      <c r="F160" s="766"/>
      <c r="G160" s="744">
        <f t="shared" si="47"/>
        <v>0</v>
      </c>
      <c r="H160" s="766"/>
      <c r="I160" s="744">
        <f t="shared" si="48"/>
        <v>0</v>
      </c>
      <c r="J160" s="766"/>
      <c r="K160" s="745">
        <f t="shared" si="42"/>
        <v>0</v>
      </c>
      <c r="L160" s="751"/>
      <c r="M160" s="766"/>
      <c r="N160" s="701">
        <f t="shared" si="52"/>
        <v>0</v>
      </c>
      <c r="O160" s="745">
        <f t="shared" si="49"/>
        <v>0</v>
      </c>
      <c r="P160" s="752">
        <f t="shared" si="50"/>
        <v>0</v>
      </c>
      <c r="Q160" s="753">
        <f t="shared" si="51"/>
        <v>13492363.636363639</v>
      </c>
      <c r="R160" s="754">
        <f t="shared" si="53"/>
        <v>13492363.636363639</v>
      </c>
      <c r="S160" s="755">
        <f t="shared" si="55"/>
        <v>0</v>
      </c>
      <c r="T160" s="755">
        <f t="shared" si="57"/>
        <v>0</v>
      </c>
      <c r="AP160" s="739"/>
      <c r="AQ160" s="558"/>
      <c r="AR160" s="558"/>
      <c r="AS160" s="559"/>
      <c r="AT160" s="558"/>
      <c r="AU160" s="558"/>
      <c r="AV160" s="558"/>
      <c r="AW160" s="558"/>
      <c r="AX160" s="558"/>
      <c r="AY160" s="558"/>
      <c r="AZ160" s="558"/>
      <c r="BA160" s="558"/>
      <c r="BB160" s="558"/>
      <c r="BC160" s="560"/>
      <c r="BJ160" s="561"/>
      <c r="BK160" s="562"/>
    </row>
    <row r="161" spans="2:63" s="556" customFormat="1" ht="15.75" customHeight="1" thickTop="1" thickBot="1">
      <c r="B161" s="774">
        <f t="shared" si="54"/>
        <v>59</v>
      </c>
      <c r="C161" s="766"/>
      <c r="D161" s="701">
        <f t="shared" si="58"/>
        <v>0</v>
      </c>
      <c r="E161" s="701">
        <f t="shared" si="56"/>
        <v>0</v>
      </c>
      <c r="F161" s="766"/>
      <c r="G161" s="744">
        <f t="shared" si="47"/>
        <v>0</v>
      </c>
      <c r="H161" s="766"/>
      <c r="I161" s="744">
        <f t="shared" si="48"/>
        <v>0</v>
      </c>
      <c r="J161" s="766"/>
      <c r="K161" s="745">
        <f t="shared" si="42"/>
        <v>0</v>
      </c>
      <c r="L161" s="751"/>
      <c r="M161" s="766"/>
      <c r="N161" s="701">
        <f t="shared" si="52"/>
        <v>0</v>
      </c>
      <c r="O161" s="745">
        <f t="shared" si="49"/>
        <v>0</v>
      </c>
      <c r="P161" s="752">
        <f t="shared" si="50"/>
        <v>0</v>
      </c>
      <c r="Q161" s="753">
        <f t="shared" si="51"/>
        <v>13492363.636363639</v>
      </c>
      <c r="R161" s="754">
        <f t="shared" si="53"/>
        <v>13492363.636363639</v>
      </c>
      <c r="S161" s="755">
        <f t="shared" si="55"/>
        <v>0</v>
      </c>
      <c r="T161" s="755">
        <f t="shared" si="57"/>
        <v>0</v>
      </c>
      <c r="AP161" s="739"/>
      <c r="AQ161" s="558"/>
      <c r="AR161" s="558"/>
      <c r="AS161" s="559"/>
      <c r="AT161" s="558"/>
      <c r="AU161" s="558"/>
      <c r="AV161" s="558"/>
      <c r="AW161" s="558"/>
      <c r="AX161" s="558"/>
      <c r="AY161" s="558"/>
      <c r="AZ161" s="558"/>
      <c r="BA161" s="558"/>
      <c r="BB161" s="558"/>
      <c r="BC161" s="560"/>
      <c r="BJ161" s="561"/>
      <c r="BK161" s="562"/>
    </row>
    <row r="162" spans="2:63" s="556" customFormat="1" ht="15.75" customHeight="1" thickTop="1" thickBot="1">
      <c r="B162" s="774">
        <f t="shared" si="54"/>
        <v>60</v>
      </c>
      <c r="C162" s="766"/>
      <c r="D162" s="701">
        <f t="shared" si="58"/>
        <v>0</v>
      </c>
      <c r="E162" s="701">
        <f t="shared" si="56"/>
        <v>0</v>
      </c>
      <c r="F162" s="766"/>
      <c r="G162" s="744">
        <f t="shared" si="47"/>
        <v>0</v>
      </c>
      <c r="H162" s="766"/>
      <c r="I162" s="744">
        <f t="shared" si="48"/>
        <v>0</v>
      </c>
      <c r="J162" s="766"/>
      <c r="K162" s="745">
        <f t="shared" si="42"/>
        <v>0</v>
      </c>
      <c r="L162" s="751"/>
      <c r="M162" s="766"/>
      <c r="N162" s="701">
        <f t="shared" si="52"/>
        <v>0</v>
      </c>
      <c r="O162" s="745">
        <f t="shared" si="49"/>
        <v>0</v>
      </c>
      <c r="P162" s="752">
        <f>K162+O162</f>
        <v>0</v>
      </c>
      <c r="Q162" s="753">
        <f t="shared" si="51"/>
        <v>13492363.636363639</v>
      </c>
      <c r="R162" s="754">
        <f t="shared" si="53"/>
        <v>13492363.636363639</v>
      </c>
      <c r="S162" s="755">
        <f>IF($R162&lt;0,$R162*-1,0)</f>
        <v>0</v>
      </c>
      <c r="T162" s="755">
        <f>$S162*$G$14*1/12</f>
        <v>0</v>
      </c>
      <c r="AP162" s="739"/>
      <c r="AQ162" s="558"/>
      <c r="AR162" s="558"/>
      <c r="AS162" s="559"/>
      <c r="AT162" s="558"/>
      <c r="AU162" s="558"/>
      <c r="AV162" s="558"/>
      <c r="AW162" s="558"/>
      <c r="AX162" s="558"/>
      <c r="AY162" s="558"/>
      <c r="AZ162" s="558"/>
      <c r="BA162" s="558"/>
      <c r="BB162" s="558"/>
      <c r="BC162" s="560"/>
      <c r="BJ162" s="561"/>
      <c r="BK162" s="562"/>
    </row>
    <row r="163" spans="2:63" s="556" customFormat="1" ht="15.75" customHeight="1" thickTop="1" thickBot="1">
      <c r="B163" s="774">
        <f t="shared" ref="B163:B167" si="59">B86</f>
        <v>61</v>
      </c>
      <c r="C163" s="766"/>
      <c r="D163" s="701">
        <f t="shared" si="58"/>
        <v>0</v>
      </c>
      <c r="E163" s="701">
        <f t="shared" si="56"/>
        <v>0</v>
      </c>
      <c r="F163" s="766"/>
      <c r="G163" s="744">
        <f t="shared" si="47"/>
        <v>0</v>
      </c>
      <c r="H163" s="766"/>
      <c r="I163" s="744">
        <f t="shared" si="48"/>
        <v>0</v>
      </c>
      <c r="J163" s="766"/>
      <c r="K163" s="745">
        <f t="shared" ref="K163:K167" si="60">C163+E163+F163+G163+H163+I163+J163+D163</f>
        <v>0</v>
      </c>
      <c r="L163" s="751">
        <f t="shared" ref="L163:L166" si="61">U86</f>
        <v>0</v>
      </c>
      <c r="M163" s="766"/>
      <c r="N163" s="701">
        <f t="shared" si="52"/>
        <v>0</v>
      </c>
      <c r="O163" s="745">
        <f t="shared" si="49"/>
        <v>0</v>
      </c>
      <c r="P163" s="752">
        <f>K163+O163</f>
        <v>0</v>
      </c>
      <c r="Q163" s="753">
        <f>R162</f>
        <v>13492363.636363639</v>
      </c>
      <c r="R163" s="754">
        <f>P163+Q163</f>
        <v>13492363.636363639</v>
      </c>
      <c r="S163" s="755">
        <f t="shared" si="55"/>
        <v>0</v>
      </c>
      <c r="T163" s="755">
        <f t="shared" si="57"/>
        <v>0</v>
      </c>
      <c r="AP163" s="739"/>
      <c r="AQ163" s="558"/>
      <c r="AR163" s="558"/>
      <c r="AS163" s="559"/>
      <c r="AT163" s="558"/>
      <c r="AU163" s="558"/>
      <c r="AV163" s="558"/>
      <c r="AW163" s="558"/>
      <c r="AX163" s="558"/>
      <c r="AY163" s="558"/>
      <c r="AZ163" s="558"/>
      <c r="BA163" s="558"/>
      <c r="BB163" s="558"/>
      <c r="BC163" s="560"/>
      <c r="BJ163" s="561"/>
      <c r="BK163" s="562"/>
    </row>
    <row r="164" spans="2:63" s="556" customFormat="1" ht="15.75" customHeight="1" thickTop="1" thickBot="1">
      <c r="B164" s="774">
        <f t="shared" si="59"/>
        <v>62</v>
      </c>
      <c r="C164" s="766"/>
      <c r="D164" s="701">
        <f t="shared" si="58"/>
        <v>0</v>
      </c>
      <c r="E164" s="701">
        <f t="shared" si="56"/>
        <v>0</v>
      </c>
      <c r="F164" s="766"/>
      <c r="G164" s="744">
        <f t="shared" ref="G164:G167" si="62">W87</f>
        <v>0</v>
      </c>
      <c r="H164" s="766"/>
      <c r="I164" s="744">
        <f t="shared" ref="I164:I167" si="63">Y87</f>
        <v>0</v>
      </c>
      <c r="J164" s="766"/>
      <c r="K164" s="745">
        <f t="shared" si="60"/>
        <v>0</v>
      </c>
      <c r="L164" s="751">
        <f t="shared" si="61"/>
        <v>0</v>
      </c>
      <c r="M164" s="766"/>
      <c r="N164" s="701">
        <f t="shared" si="52"/>
        <v>0</v>
      </c>
      <c r="O164" s="745">
        <f>L164+M164+N164</f>
        <v>0</v>
      </c>
      <c r="P164" s="752">
        <f t="shared" ref="P164:P167" si="64">K164+O164</f>
        <v>0</v>
      </c>
      <c r="Q164" s="753">
        <f t="shared" si="51"/>
        <v>13492363.636363639</v>
      </c>
      <c r="R164" s="754">
        <f t="shared" si="53"/>
        <v>13492363.636363639</v>
      </c>
      <c r="S164" s="755">
        <f t="shared" si="55"/>
        <v>0</v>
      </c>
      <c r="T164" s="755">
        <f t="shared" si="57"/>
        <v>0</v>
      </c>
      <c r="AP164" s="739"/>
      <c r="AQ164" s="558"/>
      <c r="AR164" s="558"/>
      <c r="AS164" s="559"/>
      <c r="AT164" s="558"/>
      <c r="AU164" s="558"/>
      <c r="AV164" s="558"/>
      <c r="AW164" s="558"/>
      <c r="AX164" s="558"/>
      <c r="AY164" s="558"/>
      <c r="AZ164" s="558"/>
      <c r="BA164" s="558"/>
      <c r="BB164" s="558"/>
      <c r="BC164" s="560"/>
      <c r="BJ164" s="561"/>
      <c r="BK164" s="562"/>
    </row>
    <row r="165" spans="2:63" s="556" customFormat="1" ht="15.75" customHeight="1" thickTop="1" thickBot="1">
      <c r="B165" s="774">
        <f t="shared" si="59"/>
        <v>63</v>
      </c>
      <c r="C165" s="766"/>
      <c r="D165" s="701">
        <f t="shared" si="58"/>
        <v>0</v>
      </c>
      <c r="E165" s="701">
        <f t="shared" si="56"/>
        <v>0</v>
      </c>
      <c r="F165" s="766"/>
      <c r="G165" s="744">
        <f t="shared" si="62"/>
        <v>0</v>
      </c>
      <c r="H165" s="766"/>
      <c r="I165" s="744">
        <f t="shared" si="63"/>
        <v>0</v>
      </c>
      <c r="J165" s="766"/>
      <c r="K165" s="745">
        <f t="shared" si="60"/>
        <v>0</v>
      </c>
      <c r="L165" s="751">
        <f t="shared" si="61"/>
        <v>0</v>
      </c>
      <c r="M165" s="766"/>
      <c r="N165" s="701">
        <f t="shared" si="52"/>
        <v>0</v>
      </c>
      <c r="O165" s="745">
        <f>L165+M165+N165</f>
        <v>0</v>
      </c>
      <c r="P165" s="752">
        <f t="shared" si="64"/>
        <v>0</v>
      </c>
      <c r="Q165" s="753">
        <f>R164</f>
        <v>13492363.636363639</v>
      </c>
      <c r="R165" s="754">
        <f>P165+Q165</f>
        <v>13492363.636363639</v>
      </c>
      <c r="S165" s="755">
        <f t="shared" si="55"/>
        <v>0</v>
      </c>
      <c r="T165" s="755">
        <f t="shared" si="57"/>
        <v>0</v>
      </c>
      <c r="AP165" s="739"/>
      <c r="AQ165" s="558"/>
      <c r="AR165" s="558"/>
      <c r="AS165" s="559"/>
      <c r="AT165" s="558"/>
      <c r="AU165" s="558"/>
      <c r="AV165" s="558"/>
      <c r="AW165" s="558"/>
      <c r="AX165" s="558"/>
      <c r="AY165" s="558"/>
      <c r="AZ165" s="558"/>
      <c r="BA165" s="558"/>
      <c r="BB165" s="558"/>
      <c r="BC165" s="560"/>
      <c r="BJ165" s="561"/>
      <c r="BK165" s="562"/>
    </row>
    <row r="166" spans="2:63" s="556" customFormat="1" ht="15.75" customHeight="1" thickTop="1" thickBot="1">
      <c r="B166" s="774">
        <f t="shared" si="59"/>
        <v>64</v>
      </c>
      <c r="C166" s="766"/>
      <c r="D166" s="701">
        <f t="shared" si="58"/>
        <v>0</v>
      </c>
      <c r="E166" s="701">
        <f t="shared" si="56"/>
        <v>0</v>
      </c>
      <c r="F166" s="766"/>
      <c r="G166" s="744">
        <f t="shared" si="62"/>
        <v>0</v>
      </c>
      <c r="H166" s="766"/>
      <c r="I166" s="744">
        <f t="shared" si="63"/>
        <v>0</v>
      </c>
      <c r="J166" s="766"/>
      <c r="K166" s="745">
        <f t="shared" si="60"/>
        <v>0</v>
      </c>
      <c r="L166" s="751">
        <f t="shared" si="61"/>
        <v>0</v>
      </c>
      <c r="M166" s="766"/>
      <c r="N166" s="701">
        <f>T165*-1</f>
        <v>0</v>
      </c>
      <c r="O166" s="745">
        <f>L166+M166+N166</f>
        <v>0</v>
      </c>
      <c r="P166" s="752">
        <f t="shared" si="64"/>
        <v>0</v>
      </c>
      <c r="Q166" s="753">
        <f>R165</f>
        <v>13492363.636363639</v>
      </c>
      <c r="R166" s="754">
        <f>P166+Q166</f>
        <v>13492363.636363639</v>
      </c>
      <c r="S166" s="755">
        <f t="shared" si="55"/>
        <v>0</v>
      </c>
      <c r="T166" s="755">
        <f t="shared" si="57"/>
        <v>0</v>
      </c>
      <c r="AP166" s="739"/>
      <c r="AQ166" s="558"/>
      <c r="AR166" s="558"/>
      <c r="AS166" s="559"/>
      <c r="AT166" s="558"/>
      <c r="AU166" s="558"/>
      <c r="AV166" s="558"/>
      <c r="AW166" s="558"/>
      <c r="AX166" s="558"/>
      <c r="AY166" s="558"/>
      <c r="AZ166" s="558"/>
      <c r="BA166" s="558"/>
      <c r="BB166" s="558"/>
      <c r="BC166" s="560"/>
      <c r="BJ166" s="561"/>
      <c r="BK166" s="562"/>
    </row>
    <row r="167" spans="2:63" s="556" customFormat="1" ht="15.75" customHeight="1" thickTop="1" thickBot="1">
      <c r="B167" s="775">
        <f t="shared" si="59"/>
        <v>65</v>
      </c>
      <c r="C167" s="776"/>
      <c r="D167" s="701">
        <f t="shared" si="58"/>
        <v>0</v>
      </c>
      <c r="E167" s="777">
        <f t="shared" si="56"/>
        <v>0</v>
      </c>
      <c r="F167" s="776"/>
      <c r="G167" s="744">
        <f t="shared" si="62"/>
        <v>0</v>
      </c>
      <c r="H167" s="776"/>
      <c r="I167" s="744">
        <f t="shared" si="63"/>
        <v>0</v>
      </c>
      <c r="J167" s="776"/>
      <c r="K167" s="778">
        <f t="shared" si="60"/>
        <v>0</v>
      </c>
      <c r="L167" s="756">
        <f t="shared" ref="L167" si="65">U90</f>
        <v>0</v>
      </c>
      <c r="M167" s="767"/>
      <c r="N167" s="757">
        <f>T166*-1</f>
        <v>0</v>
      </c>
      <c r="O167" s="758">
        <f>L167+M167+N167</f>
        <v>0</v>
      </c>
      <c r="P167" s="752">
        <f t="shared" si="64"/>
        <v>0</v>
      </c>
      <c r="Q167" s="760">
        <f>R166</f>
        <v>13492363.636363639</v>
      </c>
      <c r="R167" s="761">
        <f>P167+Q167</f>
        <v>13492363.636363639</v>
      </c>
      <c r="S167" s="762">
        <f t="shared" si="55"/>
        <v>0</v>
      </c>
      <c r="T167" s="755">
        <f t="shared" si="57"/>
        <v>0</v>
      </c>
      <c r="AP167" s="739"/>
      <c r="AQ167" s="558"/>
      <c r="AR167" s="558"/>
      <c r="AS167" s="559"/>
      <c r="AT167" s="558"/>
      <c r="AU167" s="558"/>
      <c r="AV167" s="558"/>
      <c r="AW167" s="558"/>
      <c r="AX167" s="558"/>
      <c r="AY167" s="558"/>
      <c r="AZ167" s="558"/>
      <c r="BA167" s="558"/>
      <c r="BB167" s="558"/>
      <c r="BC167" s="560"/>
      <c r="BJ167" s="561"/>
      <c r="BK167" s="562"/>
    </row>
    <row r="168" spans="2:63" s="556" customFormat="1" ht="15.75" customHeight="1" thickTop="1" thickBot="1">
      <c r="B168" s="769"/>
      <c r="C168" s="770"/>
      <c r="D168" s="763">
        <f>SUM(D99:D167)</f>
        <v>28109090.909090906</v>
      </c>
      <c r="E168" s="763">
        <f t="shared" ref="E168:N168" si="66">SUM(E99:E167)</f>
        <v>2632749.4595213528</v>
      </c>
      <c r="F168" s="764"/>
      <c r="G168" s="763">
        <f t="shared" si="66"/>
        <v>13492363.636363655</v>
      </c>
      <c r="H168" s="764"/>
      <c r="I168" s="763">
        <f t="shared" si="66"/>
        <v>0</v>
      </c>
      <c r="J168" s="764"/>
      <c r="K168" s="771">
        <f t="shared" si="66"/>
        <v>44234204.004975893</v>
      </c>
      <c r="L168" s="732">
        <f t="shared" si="66"/>
        <v>-28109090.909090906</v>
      </c>
      <c r="M168" s="768"/>
      <c r="N168" s="733">
        <f t="shared" si="66"/>
        <v>-2632749.4595213542</v>
      </c>
      <c r="O168" s="734">
        <f>SUM(O99:O167)</f>
        <v>-30741840.368612263</v>
      </c>
      <c r="P168" s="732">
        <f>SUM(P99:P167)</f>
        <v>13492363.636363639</v>
      </c>
      <c r="Q168" s="733"/>
      <c r="R168" s="734"/>
      <c r="S168" s="735">
        <f>SUM(S99:S167)</f>
        <v>339709607.68017483</v>
      </c>
      <c r="T168" s="735">
        <f>SUM(T99:T167)</f>
        <v>2632749.4595213542</v>
      </c>
      <c r="U168" s="558"/>
      <c r="V168" s="558"/>
      <c r="AP168" s="739"/>
      <c r="AQ168" s="558"/>
      <c r="AR168" s="558"/>
      <c r="AS168" s="559"/>
      <c r="AT168" s="558"/>
      <c r="AU168" s="558"/>
      <c r="AV168" s="558"/>
      <c r="AW168" s="558"/>
      <c r="AX168" s="558"/>
      <c r="AY168" s="558"/>
      <c r="AZ168" s="558"/>
      <c r="BA168" s="558"/>
      <c r="BB168" s="558"/>
      <c r="BC168" s="560"/>
      <c r="BJ168" s="561"/>
      <c r="BK168" s="562"/>
    </row>
    <row r="169" spans="2:63" s="556" customFormat="1" ht="24.75" customHeight="1" thickTop="1">
      <c r="AP169" s="739"/>
      <c r="AQ169" s="558"/>
      <c r="AR169" s="558"/>
      <c r="AS169" s="559"/>
      <c r="AT169" s="558"/>
      <c r="AU169" s="558"/>
      <c r="AV169" s="558"/>
      <c r="AW169" s="558"/>
      <c r="AX169" s="558"/>
      <c r="AY169" s="558"/>
      <c r="AZ169" s="558"/>
      <c r="BA169" s="558"/>
      <c r="BB169" s="558"/>
      <c r="BC169" s="560"/>
      <c r="BJ169" s="561"/>
      <c r="BK169" s="562"/>
    </row>
    <row r="170" spans="2:63" s="556" customFormat="1" ht="24.75" customHeight="1">
      <c r="T170" s="783"/>
      <c r="AP170" s="739"/>
      <c r="AQ170" s="558"/>
      <c r="AR170" s="558"/>
      <c r="AS170" s="559"/>
      <c r="AT170" s="558"/>
      <c r="AU170" s="558"/>
      <c r="AV170" s="558"/>
      <c r="AW170" s="558"/>
      <c r="AX170" s="558"/>
      <c r="AY170" s="558"/>
      <c r="AZ170" s="558"/>
      <c r="BA170" s="558"/>
      <c r="BB170" s="558"/>
      <c r="BC170" s="560"/>
      <c r="BJ170" s="561"/>
      <c r="BK170" s="562"/>
    </row>
  </sheetData>
  <mergeCells count="167">
    <mergeCell ref="AB5:AK5"/>
    <mergeCell ref="Q6:S6"/>
    <mergeCell ref="V6:X6"/>
    <mergeCell ref="AB6:AD6"/>
    <mergeCell ref="AG6:AJ6"/>
    <mergeCell ref="Q5:U5"/>
    <mergeCell ref="V5:AA5"/>
    <mergeCell ref="Z6:AA6"/>
    <mergeCell ref="B4:G4"/>
    <mergeCell ref="E5:G5"/>
    <mergeCell ref="H5:J5"/>
    <mergeCell ref="K5:M5"/>
    <mergeCell ref="N5:P5"/>
    <mergeCell ref="B5:D5"/>
    <mergeCell ref="H4:AK4"/>
    <mergeCell ref="AB17:AB20"/>
    <mergeCell ref="AC17:AC20"/>
    <mergeCell ref="R18:R20"/>
    <mergeCell ref="S18:S20"/>
    <mergeCell ref="T18:T20"/>
    <mergeCell ref="V18:W18"/>
    <mergeCell ref="Z19:Z20"/>
    <mergeCell ref="AA17:AA20"/>
    <mergeCell ref="AD17:AD20"/>
    <mergeCell ref="X18:Z18"/>
    <mergeCell ref="V19:V20"/>
    <mergeCell ref="W19:W20"/>
    <mergeCell ref="X19:X20"/>
    <mergeCell ref="Y19:Y20"/>
    <mergeCell ref="U17:U20"/>
    <mergeCell ref="V17:Z17"/>
    <mergeCell ref="AI18:AI20"/>
    <mergeCell ref="AJ18:AJ20"/>
    <mergeCell ref="AK18:AK20"/>
    <mergeCell ref="AL18:AL20"/>
    <mergeCell ref="AM18:AM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N17:AQ17"/>
    <mergeCell ref="AR17:AR20"/>
    <mergeCell ref="AS17:AS20"/>
    <mergeCell ref="AT17:AT20"/>
    <mergeCell ref="AN18:AN20"/>
    <mergeCell ref="AO18:AO20"/>
    <mergeCell ref="AP18:AP20"/>
    <mergeCell ref="E17:T17"/>
    <mergeCell ref="Q19:Q20"/>
    <mergeCell ref="C95:K95"/>
    <mergeCell ref="L95:O95"/>
    <mergeCell ref="P95:R95"/>
    <mergeCell ref="E19:E20"/>
    <mergeCell ref="F19:F20"/>
    <mergeCell ref="G19:G20"/>
    <mergeCell ref="H19:H20"/>
    <mergeCell ref="I19:I20"/>
    <mergeCell ref="J19:J20"/>
    <mergeCell ref="K19:K20"/>
    <mergeCell ref="B8:D8"/>
    <mergeCell ref="B7:D7"/>
    <mergeCell ref="B6:D6"/>
    <mergeCell ref="E6:G6"/>
    <mergeCell ref="B9:D9"/>
    <mergeCell ref="E9:G9"/>
    <mergeCell ref="B15:F15"/>
    <mergeCell ref="B14:F14"/>
    <mergeCell ref="B13:F13"/>
    <mergeCell ref="B12:F12"/>
    <mergeCell ref="B11:F11"/>
    <mergeCell ref="B10:F10"/>
    <mergeCell ref="H8:I8"/>
    <mergeCell ref="H7:I7"/>
    <mergeCell ref="H6:I6"/>
    <mergeCell ref="K15:L15"/>
    <mergeCell ref="K14:L14"/>
    <mergeCell ref="K13:L13"/>
    <mergeCell ref="K12:L12"/>
    <mergeCell ref="K11:L11"/>
    <mergeCell ref="K10:L10"/>
    <mergeCell ref="K9:L9"/>
    <mergeCell ref="K8:L8"/>
    <mergeCell ref="K7:L7"/>
    <mergeCell ref="K6:L6"/>
    <mergeCell ref="H13:I13"/>
    <mergeCell ref="H12:I12"/>
    <mergeCell ref="H11:I11"/>
    <mergeCell ref="H10:I10"/>
    <mergeCell ref="H9:I9"/>
    <mergeCell ref="H15:I15"/>
    <mergeCell ref="H14:I14"/>
    <mergeCell ref="T12:U12"/>
    <mergeCell ref="T15:U15"/>
    <mergeCell ref="Q15:S15"/>
    <mergeCell ref="V11:X11"/>
    <mergeCell ref="V10:W10"/>
    <mergeCell ref="N8:O8"/>
    <mergeCell ref="N7:O7"/>
    <mergeCell ref="N6:O6"/>
    <mergeCell ref="Q12:S12"/>
    <mergeCell ref="Q11:S11"/>
    <mergeCell ref="Q10:S10"/>
    <mergeCell ref="Q9:S9"/>
    <mergeCell ref="Q8:S8"/>
    <mergeCell ref="Q7:S7"/>
    <mergeCell ref="N15:O15"/>
    <mergeCell ref="N14:O14"/>
    <mergeCell ref="N13:O13"/>
    <mergeCell ref="N12:O12"/>
    <mergeCell ref="N9:O9"/>
    <mergeCell ref="N11:O11"/>
    <mergeCell ref="N10:O10"/>
    <mergeCell ref="Q13:S14"/>
    <mergeCell ref="Z11:AA11"/>
    <mergeCell ref="Z12:AA12"/>
    <mergeCell ref="Z13:AA13"/>
    <mergeCell ref="Z14:AA14"/>
    <mergeCell ref="Z15:AA15"/>
    <mergeCell ref="V9:X9"/>
    <mergeCell ref="V8:X8"/>
    <mergeCell ref="V7:X7"/>
    <mergeCell ref="V15:X15"/>
    <mergeCell ref="V14:X14"/>
    <mergeCell ref="V13:X13"/>
    <mergeCell ref="V12:X12"/>
    <mergeCell ref="AB10:AD10"/>
    <mergeCell ref="AB9:AD9"/>
    <mergeCell ref="AB8:AD8"/>
    <mergeCell ref="AB7:AD7"/>
    <mergeCell ref="AG12:AJ12"/>
    <mergeCell ref="AG11:AJ11"/>
    <mergeCell ref="AG10:AJ10"/>
    <mergeCell ref="AG9:AJ9"/>
    <mergeCell ref="AG8:AJ8"/>
    <mergeCell ref="AG7:AJ7"/>
    <mergeCell ref="AB12:AD12"/>
    <mergeCell ref="AB11:AD11"/>
    <mergeCell ref="B95:B97"/>
    <mergeCell ref="AG13:AJ15"/>
    <mergeCell ref="D97:E97"/>
    <mergeCell ref="M96:M97"/>
    <mergeCell ref="K96:K97"/>
    <mergeCell ref="J96:J97"/>
    <mergeCell ref="T95:T97"/>
    <mergeCell ref="S95:S97"/>
    <mergeCell ref="O96:O97"/>
    <mergeCell ref="P96:P97"/>
    <mergeCell ref="AB15:AD15"/>
    <mergeCell ref="AB14:AD14"/>
    <mergeCell ref="AB13:AD13"/>
    <mergeCell ref="AH17:AH20"/>
    <mergeCell ref="AI17:AM17"/>
    <mergeCell ref="R96:R97"/>
    <mergeCell ref="C96:E96"/>
    <mergeCell ref="F96:G96"/>
    <mergeCell ref="H96:I96"/>
    <mergeCell ref="L96:L97"/>
    <mergeCell ref="N96:N97"/>
    <mergeCell ref="Q96:Q97"/>
    <mergeCell ref="L19:L20"/>
    <mergeCell ref="P19:P20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M170"/>
  <sheetViews>
    <sheetView topLeftCell="A94" zoomScale="85" zoomScaleNormal="85" workbookViewId="0">
      <selection activeCell="M61" sqref="M60:V61"/>
    </sheetView>
  </sheetViews>
  <sheetFormatPr defaultColWidth="9.140625" defaultRowHeight="12"/>
  <cols>
    <col min="1" max="1" width="4.28515625" style="575" customWidth="1"/>
    <col min="2" max="2" width="10.5703125" style="575" customWidth="1"/>
    <col min="3" max="3" width="12.7109375" style="575" customWidth="1"/>
    <col min="4" max="4" width="15.5703125" style="575" customWidth="1"/>
    <col min="5" max="5" width="15" style="575" bestFit="1" customWidth="1"/>
    <col min="6" max="6" width="13.5703125" style="575" customWidth="1"/>
    <col min="7" max="7" width="11.42578125" style="575" bestFit="1" customWidth="1"/>
    <col min="8" max="8" width="11.28515625" style="575" customWidth="1"/>
    <col min="9" max="9" width="15.28515625" style="575" bestFit="1" customWidth="1"/>
    <col min="10" max="10" width="11.85546875" style="575" customWidth="1"/>
    <col min="11" max="11" width="19.140625" style="575" customWidth="1"/>
    <col min="12" max="12" width="15" style="575" customWidth="1"/>
    <col min="13" max="13" width="15.28515625" style="575" customWidth="1"/>
    <col min="14" max="16" width="18.85546875" style="575" customWidth="1"/>
    <col min="17" max="17" width="12.7109375" style="575" customWidth="1"/>
    <col min="18" max="18" width="13.7109375" style="575" customWidth="1"/>
    <col min="19" max="19" width="16.140625" style="575" customWidth="1"/>
    <col min="20" max="20" width="17" style="575" customWidth="1"/>
    <col min="21" max="21" width="15" style="575" customWidth="1"/>
    <col min="22" max="22" width="14.28515625" style="575" customWidth="1"/>
    <col min="23" max="23" width="14.85546875" style="575" customWidth="1"/>
    <col min="24" max="24" width="17.140625" style="575" customWidth="1"/>
    <col min="25" max="25" width="13.5703125" style="575" customWidth="1"/>
    <col min="26" max="27" width="14.85546875" style="575" customWidth="1"/>
    <col min="28" max="28" width="18.85546875" style="575" customWidth="1"/>
    <col min="29" max="29" width="19.42578125" style="575" customWidth="1"/>
    <col min="30" max="30" width="16.140625" style="575" customWidth="1"/>
    <col min="31" max="31" width="14.5703125" style="575" customWidth="1"/>
    <col min="32" max="32" width="20.28515625" style="575" customWidth="1"/>
    <col min="33" max="33" width="13.85546875" style="575" customWidth="1"/>
    <col min="34" max="34" width="19.140625" style="575" customWidth="1"/>
    <col min="35" max="35" width="19.7109375" style="575" customWidth="1"/>
    <col min="36" max="36" width="16.5703125" style="575" customWidth="1"/>
    <col min="37" max="37" width="19.140625" style="575" customWidth="1"/>
    <col min="38" max="38" width="16.5703125" style="575" customWidth="1"/>
    <col min="39" max="42" width="19" style="575" customWidth="1"/>
    <col min="43" max="44" width="19" style="576" customWidth="1"/>
    <col min="45" max="45" width="19" style="577" customWidth="1"/>
    <col min="46" max="46" width="19" style="576" customWidth="1"/>
    <col min="47" max="47" width="6.28515625" style="576" bestFit="1" customWidth="1"/>
    <col min="48" max="50" width="13.140625" style="576" customWidth="1"/>
    <col min="51" max="51" width="16.42578125" style="576" customWidth="1"/>
    <col min="52" max="52" width="13.140625" style="576" customWidth="1"/>
    <col min="53" max="53" width="15.28515625" style="576" customWidth="1"/>
    <col min="54" max="54" width="14" style="576" bestFit="1" customWidth="1"/>
    <col min="55" max="55" width="17.140625" style="582" customWidth="1"/>
    <col min="56" max="61" width="16.5703125" style="575" customWidth="1"/>
    <col min="62" max="62" width="16.5703125" style="583" customWidth="1"/>
    <col min="63" max="63" width="16.5703125" style="584" customWidth="1"/>
    <col min="64" max="77" width="16.5703125" style="575" customWidth="1"/>
    <col min="78" max="78" width="20.140625" style="575" customWidth="1"/>
    <col min="79" max="79" width="13.28515625" style="575" customWidth="1"/>
    <col min="80" max="80" width="14.85546875" style="575" customWidth="1"/>
    <col min="81" max="81" width="13.85546875" style="575" customWidth="1"/>
    <col min="82" max="82" width="13.5703125" style="575" customWidth="1"/>
    <col min="83" max="83" width="13" style="575" customWidth="1"/>
    <col min="84" max="84" width="13.5703125" style="575" customWidth="1"/>
    <col min="85" max="85" width="7.7109375" style="575" bestFit="1" customWidth="1"/>
    <col min="86" max="255" width="9.140625" style="575"/>
    <col min="256" max="256" width="4.28515625" style="575" customWidth="1"/>
    <col min="257" max="257" width="10.140625" style="575" customWidth="1"/>
    <col min="258" max="258" width="8.85546875" style="575" customWidth="1"/>
    <col min="259" max="259" width="11.140625" style="575" customWidth="1"/>
    <col min="260" max="260" width="15" style="575" bestFit="1" customWidth="1"/>
    <col min="261" max="261" width="13.5703125" style="575" customWidth="1"/>
    <col min="262" max="262" width="11.42578125" style="575" bestFit="1" customWidth="1"/>
    <col min="263" max="263" width="11.28515625" style="575" customWidth="1"/>
    <col min="264" max="264" width="15.28515625" style="575" bestFit="1" customWidth="1"/>
    <col min="265" max="267" width="11.85546875" style="575" customWidth="1"/>
    <col min="268" max="268" width="19.140625" style="575" customWidth="1"/>
    <col min="269" max="269" width="15" style="575" customWidth="1"/>
    <col min="270" max="270" width="15.28515625" style="575" customWidth="1"/>
    <col min="271" max="273" width="18.85546875" style="575" customWidth="1"/>
    <col min="274" max="274" width="12.7109375" style="575" customWidth="1"/>
    <col min="275" max="275" width="13.7109375" style="575" customWidth="1"/>
    <col min="276" max="276" width="16.140625" style="575" customWidth="1"/>
    <col min="277" max="277" width="17" style="575" customWidth="1"/>
    <col min="278" max="278" width="15" style="575" customWidth="1"/>
    <col min="279" max="279" width="14.28515625" style="575" customWidth="1"/>
    <col min="280" max="280" width="14.85546875" style="575" customWidth="1"/>
    <col min="281" max="281" width="17.140625" style="575" customWidth="1"/>
    <col min="282" max="282" width="13.5703125" style="575" customWidth="1"/>
    <col min="283" max="284" width="14.85546875" style="575" customWidth="1"/>
    <col min="285" max="285" width="18.85546875" style="575" customWidth="1"/>
    <col min="286" max="286" width="19.42578125" style="575" customWidth="1"/>
    <col min="287" max="287" width="16.140625" style="575" customWidth="1"/>
    <col min="288" max="288" width="14.5703125" style="575" customWidth="1"/>
    <col min="289" max="289" width="20.28515625" style="575" customWidth="1"/>
    <col min="290" max="290" width="13.85546875" style="575" customWidth="1"/>
    <col min="291" max="291" width="19.140625" style="575" customWidth="1"/>
    <col min="292" max="292" width="19.7109375" style="575" customWidth="1"/>
    <col min="293" max="293" width="16.5703125" style="575" customWidth="1"/>
    <col min="294" max="294" width="19.140625" style="575" customWidth="1"/>
    <col min="295" max="297" width="16.5703125" style="575" customWidth="1"/>
    <col min="298" max="298" width="15.7109375" style="575" customWidth="1"/>
    <col min="299" max="299" width="19.42578125" style="575" customWidth="1"/>
    <col min="300" max="300" width="14.85546875" style="575" bestFit="1" customWidth="1"/>
    <col min="301" max="301" width="13.7109375" style="575" bestFit="1" customWidth="1"/>
    <col min="302" max="302" width="13" style="575" customWidth="1"/>
    <col min="303" max="303" width="18.42578125" style="575" customWidth="1"/>
    <col min="304" max="306" width="13.140625" style="575" customWidth="1"/>
    <col min="307" max="307" width="16.42578125" style="575" customWidth="1"/>
    <col min="308" max="308" width="13.140625" style="575" customWidth="1"/>
    <col min="309" max="309" width="15.28515625" style="575" customWidth="1"/>
    <col min="310" max="310" width="14" style="575" bestFit="1" customWidth="1"/>
    <col min="311" max="311" width="17.140625" style="575" customWidth="1"/>
    <col min="312" max="333" width="16.5703125" style="575" customWidth="1"/>
    <col min="334" max="334" width="20.140625" style="575" customWidth="1"/>
    <col min="335" max="335" width="13.28515625" style="575" customWidth="1"/>
    <col min="336" max="336" width="14.85546875" style="575" customWidth="1"/>
    <col min="337" max="337" width="13.85546875" style="575" customWidth="1"/>
    <col min="338" max="338" width="13.5703125" style="575" customWidth="1"/>
    <col min="339" max="339" width="13" style="575" customWidth="1"/>
    <col min="340" max="340" width="13.5703125" style="575" customWidth="1"/>
    <col min="341" max="341" width="7.7109375" style="575" bestFit="1" customWidth="1"/>
    <col min="342" max="511" width="9.140625" style="575"/>
    <col min="512" max="512" width="4.28515625" style="575" customWidth="1"/>
    <col min="513" max="513" width="10.140625" style="575" customWidth="1"/>
    <col min="514" max="514" width="8.85546875" style="575" customWidth="1"/>
    <col min="515" max="515" width="11.140625" style="575" customWidth="1"/>
    <col min="516" max="516" width="15" style="575" bestFit="1" customWidth="1"/>
    <col min="517" max="517" width="13.5703125" style="575" customWidth="1"/>
    <col min="518" max="518" width="11.42578125" style="575" bestFit="1" customWidth="1"/>
    <col min="519" max="519" width="11.28515625" style="575" customWidth="1"/>
    <col min="520" max="520" width="15.28515625" style="575" bestFit="1" customWidth="1"/>
    <col min="521" max="523" width="11.85546875" style="575" customWidth="1"/>
    <col min="524" max="524" width="19.140625" style="575" customWidth="1"/>
    <col min="525" max="525" width="15" style="575" customWidth="1"/>
    <col min="526" max="526" width="15.28515625" style="575" customWidth="1"/>
    <col min="527" max="529" width="18.85546875" style="575" customWidth="1"/>
    <col min="530" max="530" width="12.7109375" style="575" customWidth="1"/>
    <col min="531" max="531" width="13.7109375" style="575" customWidth="1"/>
    <col min="532" max="532" width="16.140625" style="575" customWidth="1"/>
    <col min="533" max="533" width="17" style="575" customWidth="1"/>
    <col min="534" max="534" width="15" style="575" customWidth="1"/>
    <col min="535" max="535" width="14.28515625" style="575" customWidth="1"/>
    <col min="536" max="536" width="14.85546875" style="575" customWidth="1"/>
    <col min="537" max="537" width="17.140625" style="575" customWidth="1"/>
    <col min="538" max="538" width="13.5703125" style="575" customWidth="1"/>
    <col min="539" max="540" width="14.85546875" style="575" customWidth="1"/>
    <col min="541" max="541" width="18.85546875" style="575" customWidth="1"/>
    <col min="542" max="542" width="19.42578125" style="575" customWidth="1"/>
    <col min="543" max="543" width="16.140625" style="575" customWidth="1"/>
    <col min="544" max="544" width="14.5703125" style="575" customWidth="1"/>
    <col min="545" max="545" width="20.28515625" style="575" customWidth="1"/>
    <col min="546" max="546" width="13.85546875" style="575" customWidth="1"/>
    <col min="547" max="547" width="19.140625" style="575" customWidth="1"/>
    <col min="548" max="548" width="19.7109375" style="575" customWidth="1"/>
    <col min="549" max="549" width="16.5703125" style="575" customWidth="1"/>
    <col min="550" max="550" width="19.140625" style="575" customWidth="1"/>
    <col min="551" max="553" width="16.5703125" style="575" customWidth="1"/>
    <col min="554" max="554" width="15.7109375" style="575" customWidth="1"/>
    <col min="555" max="555" width="19.42578125" style="575" customWidth="1"/>
    <col min="556" max="556" width="14.85546875" style="575" bestFit="1" customWidth="1"/>
    <col min="557" max="557" width="13.7109375" style="575" bestFit="1" customWidth="1"/>
    <col min="558" max="558" width="13" style="575" customWidth="1"/>
    <col min="559" max="559" width="18.42578125" style="575" customWidth="1"/>
    <col min="560" max="562" width="13.140625" style="575" customWidth="1"/>
    <col min="563" max="563" width="16.42578125" style="575" customWidth="1"/>
    <col min="564" max="564" width="13.140625" style="575" customWidth="1"/>
    <col min="565" max="565" width="15.28515625" style="575" customWidth="1"/>
    <col min="566" max="566" width="14" style="575" bestFit="1" customWidth="1"/>
    <col min="567" max="567" width="17.140625" style="575" customWidth="1"/>
    <col min="568" max="589" width="16.5703125" style="575" customWidth="1"/>
    <col min="590" max="590" width="20.140625" style="575" customWidth="1"/>
    <col min="591" max="591" width="13.28515625" style="575" customWidth="1"/>
    <col min="592" max="592" width="14.85546875" style="575" customWidth="1"/>
    <col min="593" max="593" width="13.85546875" style="575" customWidth="1"/>
    <col min="594" max="594" width="13.5703125" style="575" customWidth="1"/>
    <col min="595" max="595" width="13" style="575" customWidth="1"/>
    <col min="596" max="596" width="13.5703125" style="575" customWidth="1"/>
    <col min="597" max="597" width="7.7109375" style="575" bestFit="1" customWidth="1"/>
    <col min="598" max="767" width="9.140625" style="575"/>
    <col min="768" max="768" width="4.28515625" style="575" customWidth="1"/>
    <col min="769" max="769" width="10.140625" style="575" customWidth="1"/>
    <col min="770" max="770" width="8.85546875" style="575" customWidth="1"/>
    <col min="771" max="771" width="11.140625" style="575" customWidth="1"/>
    <col min="772" max="772" width="15" style="575" bestFit="1" customWidth="1"/>
    <col min="773" max="773" width="13.5703125" style="575" customWidth="1"/>
    <col min="774" max="774" width="11.42578125" style="575" bestFit="1" customWidth="1"/>
    <col min="775" max="775" width="11.28515625" style="575" customWidth="1"/>
    <col min="776" max="776" width="15.28515625" style="575" bestFit="1" customWidth="1"/>
    <col min="777" max="779" width="11.85546875" style="575" customWidth="1"/>
    <col min="780" max="780" width="19.140625" style="575" customWidth="1"/>
    <col min="781" max="781" width="15" style="575" customWidth="1"/>
    <col min="782" max="782" width="15.28515625" style="575" customWidth="1"/>
    <col min="783" max="785" width="18.85546875" style="575" customWidth="1"/>
    <col min="786" max="786" width="12.7109375" style="575" customWidth="1"/>
    <col min="787" max="787" width="13.7109375" style="575" customWidth="1"/>
    <col min="788" max="788" width="16.140625" style="575" customWidth="1"/>
    <col min="789" max="789" width="17" style="575" customWidth="1"/>
    <col min="790" max="790" width="15" style="575" customWidth="1"/>
    <col min="791" max="791" width="14.28515625" style="575" customWidth="1"/>
    <col min="792" max="792" width="14.85546875" style="575" customWidth="1"/>
    <col min="793" max="793" width="17.140625" style="575" customWidth="1"/>
    <col min="794" max="794" width="13.5703125" style="575" customWidth="1"/>
    <col min="795" max="796" width="14.85546875" style="575" customWidth="1"/>
    <col min="797" max="797" width="18.85546875" style="575" customWidth="1"/>
    <col min="798" max="798" width="19.42578125" style="575" customWidth="1"/>
    <col min="799" max="799" width="16.140625" style="575" customWidth="1"/>
    <col min="800" max="800" width="14.5703125" style="575" customWidth="1"/>
    <col min="801" max="801" width="20.28515625" style="575" customWidth="1"/>
    <col min="802" max="802" width="13.85546875" style="575" customWidth="1"/>
    <col min="803" max="803" width="19.140625" style="575" customWidth="1"/>
    <col min="804" max="804" width="19.7109375" style="575" customWidth="1"/>
    <col min="805" max="805" width="16.5703125" style="575" customWidth="1"/>
    <col min="806" max="806" width="19.140625" style="575" customWidth="1"/>
    <col min="807" max="809" width="16.5703125" style="575" customWidth="1"/>
    <col min="810" max="810" width="15.7109375" style="575" customWidth="1"/>
    <col min="811" max="811" width="19.42578125" style="575" customWidth="1"/>
    <col min="812" max="812" width="14.85546875" style="575" bestFit="1" customWidth="1"/>
    <col min="813" max="813" width="13.7109375" style="575" bestFit="1" customWidth="1"/>
    <col min="814" max="814" width="13" style="575" customWidth="1"/>
    <col min="815" max="815" width="18.42578125" style="575" customWidth="1"/>
    <col min="816" max="818" width="13.140625" style="575" customWidth="1"/>
    <col min="819" max="819" width="16.42578125" style="575" customWidth="1"/>
    <col min="820" max="820" width="13.140625" style="575" customWidth="1"/>
    <col min="821" max="821" width="15.28515625" style="575" customWidth="1"/>
    <col min="822" max="822" width="14" style="575" bestFit="1" customWidth="1"/>
    <col min="823" max="823" width="17.140625" style="575" customWidth="1"/>
    <col min="824" max="845" width="16.5703125" style="575" customWidth="1"/>
    <col min="846" max="846" width="20.140625" style="575" customWidth="1"/>
    <col min="847" max="847" width="13.28515625" style="575" customWidth="1"/>
    <col min="848" max="848" width="14.85546875" style="575" customWidth="1"/>
    <col min="849" max="849" width="13.85546875" style="575" customWidth="1"/>
    <col min="850" max="850" width="13.5703125" style="575" customWidth="1"/>
    <col min="851" max="851" width="13" style="575" customWidth="1"/>
    <col min="852" max="852" width="13.5703125" style="575" customWidth="1"/>
    <col min="853" max="853" width="7.7109375" style="575" bestFit="1" customWidth="1"/>
    <col min="854" max="1023" width="9.140625" style="575"/>
    <col min="1024" max="1024" width="4.28515625" style="575" customWidth="1"/>
    <col min="1025" max="1025" width="10.140625" style="575" customWidth="1"/>
    <col min="1026" max="1026" width="8.85546875" style="575" customWidth="1"/>
    <col min="1027" max="1027" width="11.140625" style="575" customWidth="1"/>
    <col min="1028" max="1028" width="15" style="575" bestFit="1" customWidth="1"/>
    <col min="1029" max="1029" width="13.5703125" style="575" customWidth="1"/>
    <col min="1030" max="1030" width="11.42578125" style="575" bestFit="1" customWidth="1"/>
    <col min="1031" max="1031" width="11.28515625" style="575" customWidth="1"/>
    <col min="1032" max="1032" width="15.28515625" style="575" bestFit="1" customWidth="1"/>
    <col min="1033" max="1035" width="11.85546875" style="575" customWidth="1"/>
    <col min="1036" max="1036" width="19.140625" style="575" customWidth="1"/>
    <col min="1037" max="1037" width="15" style="575" customWidth="1"/>
    <col min="1038" max="1038" width="15.28515625" style="575" customWidth="1"/>
    <col min="1039" max="1041" width="18.85546875" style="575" customWidth="1"/>
    <col min="1042" max="1042" width="12.7109375" style="575" customWidth="1"/>
    <col min="1043" max="1043" width="13.7109375" style="575" customWidth="1"/>
    <col min="1044" max="1044" width="16.140625" style="575" customWidth="1"/>
    <col min="1045" max="1045" width="17" style="575" customWidth="1"/>
    <col min="1046" max="1046" width="15" style="575" customWidth="1"/>
    <col min="1047" max="1047" width="14.28515625" style="575" customWidth="1"/>
    <col min="1048" max="1048" width="14.85546875" style="575" customWidth="1"/>
    <col min="1049" max="1049" width="17.140625" style="575" customWidth="1"/>
    <col min="1050" max="1050" width="13.5703125" style="575" customWidth="1"/>
    <col min="1051" max="1052" width="14.85546875" style="575" customWidth="1"/>
    <col min="1053" max="1053" width="18.85546875" style="575" customWidth="1"/>
    <col min="1054" max="1054" width="19.42578125" style="575" customWidth="1"/>
    <col min="1055" max="1055" width="16.140625" style="575" customWidth="1"/>
    <col min="1056" max="1056" width="14.5703125" style="575" customWidth="1"/>
    <col min="1057" max="1057" width="20.28515625" style="575" customWidth="1"/>
    <col min="1058" max="1058" width="13.85546875" style="575" customWidth="1"/>
    <col min="1059" max="1059" width="19.140625" style="575" customWidth="1"/>
    <col min="1060" max="1060" width="19.7109375" style="575" customWidth="1"/>
    <col min="1061" max="1061" width="16.5703125" style="575" customWidth="1"/>
    <col min="1062" max="1062" width="19.140625" style="575" customWidth="1"/>
    <col min="1063" max="1065" width="16.5703125" style="575" customWidth="1"/>
    <col min="1066" max="1066" width="15.7109375" style="575" customWidth="1"/>
    <col min="1067" max="1067" width="19.42578125" style="575" customWidth="1"/>
    <col min="1068" max="1068" width="14.85546875" style="575" bestFit="1" customWidth="1"/>
    <col min="1069" max="1069" width="13.7109375" style="575" bestFit="1" customWidth="1"/>
    <col min="1070" max="1070" width="13" style="575" customWidth="1"/>
    <col min="1071" max="1071" width="18.42578125" style="575" customWidth="1"/>
    <col min="1072" max="1074" width="13.140625" style="575" customWidth="1"/>
    <col min="1075" max="1075" width="16.42578125" style="575" customWidth="1"/>
    <col min="1076" max="1076" width="13.140625" style="575" customWidth="1"/>
    <col min="1077" max="1077" width="15.28515625" style="575" customWidth="1"/>
    <col min="1078" max="1078" width="14" style="575" bestFit="1" customWidth="1"/>
    <col min="1079" max="1079" width="17.140625" style="575" customWidth="1"/>
    <col min="1080" max="1101" width="16.5703125" style="575" customWidth="1"/>
    <col min="1102" max="1102" width="20.140625" style="575" customWidth="1"/>
    <col min="1103" max="1103" width="13.28515625" style="575" customWidth="1"/>
    <col min="1104" max="1104" width="14.85546875" style="575" customWidth="1"/>
    <col min="1105" max="1105" width="13.85546875" style="575" customWidth="1"/>
    <col min="1106" max="1106" width="13.5703125" style="575" customWidth="1"/>
    <col min="1107" max="1107" width="13" style="575" customWidth="1"/>
    <col min="1108" max="1108" width="13.5703125" style="575" customWidth="1"/>
    <col min="1109" max="1109" width="7.7109375" style="575" bestFit="1" customWidth="1"/>
    <col min="1110" max="1279" width="9.140625" style="575"/>
    <col min="1280" max="1280" width="4.28515625" style="575" customWidth="1"/>
    <col min="1281" max="1281" width="10.140625" style="575" customWidth="1"/>
    <col min="1282" max="1282" width="8.85546875" style="575" customWidth="1"/>
    <col min="1283" max="1283" width="11.140625" style="575" customWidth="1"/>
    <col min="1284" max="1284" width="15" style="575" bestFit="1" customWidth="1"/>
    <col min="1285" max="1285" width="13.5703125" style="575" customWidth="1"/>
    <col min="1286" max="1286" width="11.42578125" style="575" bestFit="1" customWidth="1"/>
    <col min="1287" max="1287" width="11.28515625" style="575" customWidth="1"/>
    <col min="1288" max="1288" width="15.28515625" style="575" bestFit="1" customWidth="1"/>
    <col min="1289" max="1291" width="11.85546875" style="575" customWidth="1"/>
    <col min="1292" max="1292" width="19.140625" style="575" customWidth="1"/>
    <col min="1293" max="1293" width="15" style="575" customWidth="1"/>
    <col min="1294" max="1294" width="15.28515625" style="575" customWidth="1"/>
    <col min="1295" max="1297" width="18.85546875" style="575" customWidth="1"/>
    <col min="1298" max="1298" width="12.7109375" style="575" customWidth="1"/>
    <col min="1299" max="1299" width="13.7109375" style="575" customWidth="1"/>
    <col min="1300" max="1300" width="16.140625" style="575" customWidth="1"/>
    <col min="1301" max="1301" width="17" style="575" customWidth="1"/>
    <col min="1302" max="1302" width="15" style="575" customWidth="1"/>
    <col min="1303" max="1303" width="14.28515625" style="575" customWidth="1"/>
    <col min="1304" max="1304" width="14.85546875" style="575" customWidth="1"/>
    <col min="1305" max="1305" width="17.140625" style="575" customWidth="1"/>
    <col min="1306" max="1306" width="13.5703125" style="575" customWidth="1"/>
    <col min="1307" max="1308" width="14.85546875" style="575" customWidth="1"/>
    <col min="1309" max="1309" width="18.85546875" style="575" customWidth="1"/>
    <col min="1310" max="1310" width="19.42578125" style="575" customWidth="1"/>
    <col min="1311" max="1311" width="16.140625" style="575" customWidth="1"/>
    <col min="1312" max="1312" width="14.5703125" style="575" customWidth="1"/>
    <col min="1313" max="1313" width="20.28515625" style="575" customWidth="1"/>
    <col min="1314" max="1314" width="13.85546875" style="575" customWidth="1"/>
    <col min="1315" max="1315" width="19.140625" style="575" customWidth="1"/>
    <col min="1316" max="1316" width="19.7109375" style="575" customWidth="1"/>
    <col min="1317" max="1317" width="16.5703125" style="575" customWidth="1"/>
    <col min="1318" max="1318" width="19.140625" style="575" customWidth="1"/>
    <col min="1319" max="1321" width="16.5703125" style="575" customWidth="1"/>
    <col min="1322" max="1322" width="15.7109375" style="575" customWidth="1"/>
    <col min="1323" max="1323" width="19.42578125" style="575" customWidth="1"/>
    <col min="1324" max="1324" width="14.85546875" style="575" bestFit="1" customWidth="1"/>
    <col min="1325" max="1325" width="13.7109375" style="575" bestFit="1" customWidth="1"/>
    <col min="1326" max="1326" width="13" style="575" customWidth="1"/>
    <col min="1327" max="1327" width="18.42578125" style="575" customWidth="1"/>
    <col min="1328" max="1330" width="13.140625" style="575" customWidth="1"/>
    <col min="1331" max="1331" width="16.42578125" style="575" customWidth="1"/>
    <col min="1332" max="1332" width="13.140625" style="575" customWidth="1"/>
    <col min="1333" max="1333" width="15.28515625" style="575" customWidth="1"/>
    <col min="1334" max="1334" width="14" style="575" bestFit="1" customWidth="1"/>
    <col min="1335" max="1335" width="17.140625" style="575" customWidth="1"/>
    <col min="1336" max="1357" width="16.5703125" style="575" customWidth="1"/>
    <col min="1358" max="1358" width="20.140625" style="575" customWidth="1"/>
    <col min="1359" max="1359" width="13.28515625" style="575" customWidth="1"/>
    <col min="1360" max="1360" width="14.85546875" style="575" customWidth="1"/>
    <col min="1361" max="1361" width="13.85546875" style="575" customWidth="1"/>
    <col min="1362" max="1362" width="13.5703125" style="575" customWidth="1"/>
    <col min="1363" max="1363" width="13" style="575" customWidth="1"/>
    <col min="1364" max="1364" width="13.5703125" style="575" customWidth="1"/>
    <col min="1365" max="1365" width="7.7109375" style="575" bestFit="1" customWidth="1"/>
    <col min="1366" max="1535" width="9.140625" style="575"/>
    <col min="1536" max="1536" width="4.28515625" style="575" customWidth="1"/>
    <col min="1537" max="1537" width="10.140625" style="575" customWidth="1"/>
    <col min="1538" max="1538" width="8.85546875" style="575" customWidth="1"/>
    <col min="1539" max="1539" width="11.140625" style="575" customWidth="1"/>
    <col min="1540" max="1540" width="15" style="575" bestFit="1" customWidth="1"/>
    <col min="1541" max="1541" width="13.5703125" style="575" customWidth="1"/>
    <col min="1542" max="1542" width="11.42578125" style="575" bestFit="1" customWidth="1"/>
    <col min="1543" max="1543" width="11.28515625" style="575" customWidth="1"/>
    <col min="1544" max="1544" width="15.28515625" style="575" bestFit="1" customWidth="1"/>
    <col min="1545" max="1547" width="11.85546875" style="575" customWidth="1"/>
    <col min="1548" max="1548" width="19.140625" style="575" customWidth="1"/>
    <col min="1549" max="1549" width="15" style="575" customWidth="1"/>
    <col min="1550" max="1550" width="15.28515625" style="575" customWidth="1"/>
    <col min="1551" max="1553" width="18.85546875" style="575" customWidth="1"/>
    <col min="1554" max="1554" width="12.7109375" style="575" customWidth="1"/>
    <col min="1555" max="1555" width="13.7109375" style="575" customWidth="1"/>
    <col min="1556" max="1556" width="16.140625" style="575" customWidth="1"/>
    <col min="1557" max="1557" width="17" style="575" customWidth="1"/>
    <col min="1558" max="1558" width="15" style="575" customWidth="1"/>
    <col min="1559" max="1559" width="14.28515625" style="575" customWidth="1"/>
    <col min="1560" max="1560" width="14.85546875" style="575" customWidth="1"/>
    <col min="1561" max="1561" width="17.140625" style="575" customWidth="1"/>
    <col min="1562" max="1562" width="13.5703125" style="575" customWidth="1"/>
    <col min="1563" max="1564" width="14.85546875" style="575" customWidth="1"/>
    <col min="1565" max="1565" width="18.85546875" style="575" customWidth="1"/>
    <col min="1566" max="1566" width="19.42578125" style="575" customWidth="1"/>
    <col min="1567" max="1567" width="16.140625" style="575" customWidth="1"/>
    <col min="1568" max="1568" width="14.5703125" style="575" customWidth="1"/>
    <col min="1569" max="1569" width="20.28515625" style="575" customWidth="1"/>
    <col min="1570" max="1570" width="13.85546875" style="575" customWidth="1"/>
    <col min="1571" max="1571" width="19.140625" style="575" customWidth="1"/>
    <col min="1572" max="1572" width="19.7109375" style="575" customWidth="1"/>
    <col min="1573" max="1573" width="16.5703125" style="575" customWidth="1"/>
    <col min="1574" max="1574" width="19.140625" style="575" customWidth="1"/>
    <col min="1575" max="1577" width="16.5703125" style="575" customWidth="1"/>
    <col min="1578" max="1578" width="15.7109375" style="575" customWidth="1"/>
    <col min="1579" max="1579" width="19.42578125" style="575" customWidth="1"/>
    <col min="1580" max="1580" width="14.85546875" style="575" bestFit="1" customWidth="1"/>
    <col min="1581" max="1581" width="13.7109375" style="575" bestFit="1" customWidth="1"/>
    <col min="1582" max="1582" width="13" style="575" customWidth="1"/>
    <col min="1583" max="1583" width="18.42578125" style="575" customWidth="1"/>
    <col min="1584" max="1586" width="13.140625" style="575" customWidth="1"/>
    <col min="1587" max="1587" width="16.42578125" style="575" customWidth="1"/>
    <col min="1588" max="1588" width="13.140625" style="575" customWidth="1"/>
    <col min="1589" max="1589" width="15.28515625" style="575" customWidth="1"/>
    <col min="1590" max="1590" width="14" style="575" bestFit="1" customWidth="1"/>
    <col min="1591" max="1591" width="17.140625" style="575" customWidth="1"/>
    <col min="1592" max="1613" width="16.5703125" style="575" customWidth="1"/>
    <col min="1614" max="1614" width="20.140625" style="575" customWidth="1"/>
    <col min="1615" max="1615" width="13.28515625" style="575" customWidth="1"/>
    <col min="1616" max="1616" width="14.85546875" style="575" customWidth="1"/>
    <col min="1617" max="1617" width="13.85546875" style="575" customWidth="1"/>
    <col min="1618" max="1618" width="13.5703125" style="575" customWidth="1"/>
    <col min="1619" max="1619" width="13" style="575" customWidth="1"/>
    <col min="1620" max="1620" width="13.5703125" style="575" customWidth="1"/>
    <col min="1621" max="1621" width="7.7109375" style="575" bestFit="1" customWidth="1"/>
    <col min="1622" max="1791" width="9.140625" style="575"/>
    <col min="1792" max="1792" width="4.28515625" style="575" customWidth="1"/>
    <col min="1793" max="1793" width="10.140625" style="575" customWidth="1"/>
    <col min="1794" max="1794" width="8.85546875" style="575" customWidth="1"/>
    <col min="1795" max="1795" width="11.140625" style="575" customWidth="1"/>
    <col min="1796" max="1796" width="15" style="575" bestFit="1" customWidth="1"/>
    <col min="1797" max="1797" width="13.5703125" style="575" customWidth="1"/>
    <col min="1798" max="1798" width="11.42578125" style="575" bestFit="1" customWidth="1"/>
    <col min="1799" max="1799" width="11.28515625" style="575" customWidth="1"/>
    <col min="1800" max="1800" width="15.28515625" style="575" bestFit="1" customWidth="1"/>
    <col min="1801" max="1803" width="11.85546875" style="575" customWidth="1"/>
    <col min="1804" max="1804" width="19.140625" style="575" customWidth="1"/>
    <col min="1805" max="1805" width="15" style="575" customWidth="1"/>
    <col min="1806" max="1806" width="15.28515625" style="575" customWidth="1"/>
    <col min="1807" max="1809" width="18.85546875" style="575" customWidth="1"/>
    <col min="1810" max="1810" width="12.7109375" style="575" customWidth="1"/>
    <col min="1811" max="1811" width="13.7109375" style="575" customWidth="1"/>
    <col min="1812" max="1812" width="16.140625" style="575" customWidth="1"/>
    <col min="1813" max="1813" width="17" style="575" customWidth="1"/>
    <col min="1814" max="1814" width="15" style="575" customWidth="1"/>
    <col min="1815" max="1815" width="14.28515625" style="575" customWidth="1"/>
    <col min="1816" max="1816" width="14.85546875" style="575" customWidth="1"/>
    <col min="1817" max="1817" width="17.140625" style="575" customWidth="1"/>
    <col min="1818" max="1818" width="13.5703125" style="575" customWidth="1"/>
    <col min="1819" max="1820" width="14.85546875" style="575" customWidth="1"/>
    <col min="1821" max="1821" width="18.85546875" style="575" customWidth="1"/>
    <col min="1822" max="1822" width="19.42578125" style="575" customWidth="1"/>
    <col min="1823" max="1823" width="16.140625" style="575" customWidth="1"/>
    <col min="1824" max="1824" width="14.5703125" style="575" customWidth="1"/>
    <col min="1825" max="1825" width="20.28515625" style="575" customWidth="1"/>
    <col min="1826" max="1826" width="13.85546875" style="575" customWidth="1"/>
    <col min="1827" max="1827" width="19.140625" style="575" customWidth="1"/>
    <col min="1828" max="1828" width="19.7109375" style="575" customWidth="1"/>
    <col min="1829" max="1829" width="16.5703125" style="575" customWidth="1"/>
    <col min="1830" max="1830" width="19.140625" style="575" customWidth="1"/>
    <col min="1831" max="1833" width="16.5703125" style="575" customWidth="1"/>
    <col min="1834" max="1834" width="15.7109375" style="575" customWidth="1"/>
    <col min="1835" max="1835" width="19.42578125" style="575" customWidth="1"/>
    <col min="1836" max="1836" width="14.85546875" style="575" bestFit="1" customWidth="1"/>
    <col min="1837" max="1837" width="13.7109375" style="575" bestFit="1" customWidth="1"/>
    <col min="1838" max="1838" width="13" style="575" customWidth="1"/>
    <col min="1839" max="1839" width="18.42578125" style="575" customWidth="1"/>
    <col min="1840" max="1842" width="13.140625" style="575" customWidth="1"/>
    <col min="1843" max="1843" width="16.42578125" style="575" customWidth="1"/>
    <col min="1844" max="1844" width="13.140625" style="575" customWidth="1"/>
    <col min="1845" max="1845" width="15.28515625" style="575" customWidth="1"/>
    <col min="1846" max="1846" width="14" style="575" bestFit="1" customWidth="1"/>
    <col min="1847" max="1847" width="17.140625" style="575" customWidth="1"/>
    <col min="1848" max="1869" width="16.5703125" style="575" customWidth="1"/>
    <col min="1870" max="1870" width="20.140625" style="575" customWidth="1"/>
    <col min="1871" max="1871" width="13.28515625" style="575" customWidth="1"/>
    <col min="1872" max="1872" width="14.85546875" style="575" customWidth="1"/>
    <col min="1873" max="1873" width="13.85546875" style="575" customWidth="1"/>
    <col min="1874" max="1874" width="13.5703125" style="575" customWidth="1"/>
    <col min="1875" max="1875" width="13" style="575" customWidth="1"/>
    <col min="1876" max="1876" width="13.5703125" style="575" customWidth="1"/>
    <col min="1877" max="1877" width="7.7109375" style="575" bestFit="1" customWidth="1"/>
    <col min="1878" max="2047" width="9.140625" style="575"/>
    <col min="2048" max="2048" width="4.28515625" style="575" customWidth="1"/>
    <col min="2049" max="2049" width="10.140625" style="575" customWidth="1"/>
    <col min="2050" max="2050" width="8.85546875" style="575" customWidth="1"/>
    <col min="2051" max="2051" width="11.140625" style="575" customWidth="1"/>
    <col min="2052" max="2052" width="15" style="575" bestFit="1" customWidth="1"/>
    <col min="2053" max="2053" width="13.5703125" style="575" customWidth="1"/>
    <col min="2054" max="2054" width="11.42578125" style="575" bestFit="1" customWidth="1"/>
    <col min="2055" max="2055" width="11.28515625" style="575" customWidth="1"/>
    <col min="2056" max="2056" width="15.28515625" style="575" bestFit="1" customWidth="1"/>
    <col min="2057" max="2059" width="11.85546875" style="575" customWidth="1"/>
    <col min="2060" max="2060" width="19.140625" style="575" customWidth="1"/>
    <col min="2061" max="2061" width="15" style="575" customWidth="1"/>
    <col min="2062" max="2062" width="15.28515625" style="575" customWidth="1"/>
    <col min="2063" max="2065" width="18.85546875" style="575" customWidth="1"/>
    <col min="2066" max="2066" width="12.7109375" style="575" customWidth="1"/>
    <col min="2067" max="2067" width="13.7109375" style="575" customWidth="1"/>
    <col min="2068" max="2068" width="16.140625" style="575" customWidth="1"/>
    <col min="2069" max="2069" width="17" style="575" customWidth="1"/>
    <col min="2070" max="2070" width="15" style="575" customWidth="1"/>
    <col min="2071" max="2071" width="14.28515625" style="575" customWidth="1"/>
    <col min="2072" max="2072" width="14.85546875" style="575" customWidth="1"/>
    <col min="2073" max="2073" width="17.140625" style="575" customWidth="1"/>
    <col min="2074" max="2074" width="13.5703125" style="575" customWidth="1"/>
    <col min="2075" max="2076" width="14.85546875" style="575" customWidth="1"/>
    <col min="2077" max="2077" width="18.85546875" style="575" customWidth="1"/>
    <col min="2078" max="2078" width="19.42578125" style="575" customWidth="1"/>
    <col min="2079" max="2079" width="16.140625" style="575" customWidth="1"/>
    <col min="2080" max="2080" width="14.5703125" style="575" customWidth="1"/>
    <col min="2081" max="2081" width="20.28515625" style="575" customWidth="1"/>
    <col min="2082" max="2082" width="13.85546875" style="575" customWidth="1"/>
    <col min="2083" max="2083" width="19.140625" style="575" customWidth="1"/>
    <col min="2084" max="2084" width="19.7109375" style="575" customWidth="1"/>
    <col min="2085" max="2085" width="16.5703125" style="575" customWidth="1"/>
    <col min="2086" max="2086" width="19.140625" style="575" customWidth="1"/>
    <col min="2087" max="2089" width="16.5703125" style="575" customWidth="1"/>
    <col min="2090" max="2090" width="15.7109375" style="575" customWidth="1"/>
    <col min="2091" max="2091" width="19.42578125" style="575" customWidth="1"/>
    <col min="2092" max="2092" width="14.85546875" style="575" bestFit="1" customWidth="1"/>
    <col min="2093" max="2093" width="13.7109375" style="575" bestFit="1" customWidth="1"/>
    <col min="2094" max="2094" width="13" style="575" customWidth="1"/>
    <col min="2095" max="2095" width="18.42578125" style="575" customWidth="1"/>
    <col min="2096" max="2098" width="13.140625" style="575" customWidth="1"/>
    <col min="2099" max="2099" width="16.42578125" style="575" customWidth="1"/>
    <col min="2100" max="2100" width="13.140625" style="575" customWidth="1"/>
    <col min="2101" max="2101" width="15.28515625" style="575" customWidth="1"/>
    <col min="2102" max="2102" width="14" style="575" bestFit="1" customWidth="1"/>
    <col min="2103" max="2103" width="17.140625" style="575" customWidth="1"/>
    <col min="2104" max="2125" width="16.5703125" style="575" customWidth="1"/>
    <col min="2126" max="2126" width="20.140625" style="575" customWidth="1"/>
    <col min="2127" max="2127" width="13.28515625" style="575" customWidth="1"/>
    <col min="2128" max="2128" width="14.85546875" style="575" customWidth="1"/>
    <col min="2129" max="2129" width="13.85546875" style="575" customWidth="1"/>
    <col min="2130" max="2130" width="13.5703125" style="575" customWidth="1"/>
    <col min="2131" max="2131" width="13" style="575" customWidth="1"/>
    <col min="2132" max="2132" width="13.5703125" style="575" customWidth="1"/>
    <col min="2133" max="2133" width="7.7109375" style="575" bestFit="1" customWidth="1"/>
    <col min="2134" max="2303" width="9.140625" style="575"/>
    <col min="2304" max="2304" width="4.28515625" style="575" customWidth="1"/>
    <col min="2305" max="2305" width="10.140625" style="575" customWidth="1"/>
    <col min="2306" max="2306" width="8.85546875" style="575" customWidth="1"/>
    <col min="2307" max="2307" width="11.140625" style="575" customWidth="1"/>
    <col min="2308" max="2308" width="15" style="575" bestFit="1" customWidth="1"/>
    <col min="2309" max="2309" width="13.5703125" style="575" customWidth="1"/>
    <col min="2310" max="2310" width="11.42578125" style="575" bestFit="1" customWidth="1"/>
    <col min="2311" max="2311" width="11.28515625" style="575" customWidth="1"/>
    <col min="2312" max="2312" width="15.28515625" style="575" bestFit="1" customWidth="1"/>
    <col min="2313" max="2315" width="11.85546875" style="575" customWidth="1"/>
    <col min="2316" max="2316" width="19.140625" style="575" customWidth="1"/>
    <col min="2317" max="2317" width="15" style="575" customWidth="1"/>
    <col min="2318" max="2318" width="15.28515625" style="575" customWidth="1"/>
    <col min="2319" max="2321" width="18.85546875" style="575" customWidth="1"/>
    <col min="2322" max="2322" width="12.7109375" style="575" customWidth="1"/>
    <col min="2323" max="2323" width="13.7109375" style="575" customWidth="1"/>
    <col min="2324" max="2324" width="16.140625" style="575" customWidth="1"/>
    <col min="2325" max="2325" width="17" style="575" customWidth="1"/>
    <col min="2326" max="2326" width="15" style="575" customWidth="1"/>
    <col min="2327" max="2327" width="14.28515625" style="575" customWidth="1"/>
    <col min="2328" max="2328" width="14.85546875" style="575" customWidth="1"/>
    <col min="2329" max="2329" width="17.140625" style="575" customWidth="1"/>
    <col min="2330" max="2330" width="13.5703125" style="575" customWidth="1"/>
    <col min="2331" max="2332" width="14.85546875" style="575" customWidth="1"/>
    <col min="2333" max="2333" width="18.85546875" style="575" customWidth="1"/>
    <col min="2334" max="2334" width="19.42578125" style="575" customWidth="1"/>
    <col min="2335" max="2335" width="16.140625" style="575" customWidth="1"/>
    <col min="2336" max="2336" width="14.5703125" style="575" customWidth="1"/>
    <col min="2337" max="2337" width="20.28515625" style="575" customWidth="1"/>
    <col min="2338" max="2338" width="13.85546875" style="575" customWidth="1"/>
    <col min="2339" max="2339" width="19.140625" style="575" customWidth="1"/>
    <col min="2340" max="2340" width="19.7109375" style="575" customWidth="1"/>
    <col min="2341" max="2341" width="16.5703125" style="575" customWidth="1"/>
    <col min="2342" max="2342" width="19.140625" style="575" customWidth="1"/>
    <col min="2343" max="2345" width="16.5703125" style="575" customWidth="1"/>
    <col min="2346" max="2346" width="15.7109375" style="575" customWidth="1"/>
    <col min="2347" max="2347" width="19.42578125" style="575" customWidth="1"/>
    <col min="2348" max="2348" width="14.85546875" style="575" bestFit="1" customWidth="1"/>
    <col min="2349" max="2349" width="13.7109375" style="575" bestFit="1" customWidth="1"/>
    <col min="2350" max="2350" width="13" style="575" customWidth="1"/>
    <col min="2351" max="2351" width="18.42578125" style="575" customWidth="1"/>
    <col min="2352" max="2354" width="13.140625" style="575" customWidth="1"/>
    <col min="2355" max="2355" width="16.42578125" style="575" customWidth="1"/>
    <col min="2356" max="2356" width="13.140625" style="575" customWidth="1"/>
    <col min="2357" max="2357" width="15.28515625" style="575" customWidth="1"/>
    <col min="2358" max="2358" width="14" style="575" bestFit="1" customWidth="1"/>
    <col min="2359" max="2359" width="17.140625" style="575" customWidth="1"/>
    <col min="2360" max="2381" width="16.5703125" style="575" customWidth="1"/>
    <col min="2382" max="2382" width="20.140625" style="575" customWidth="1"/>
    <col min="2383" max="2383" width="13.28515625" style="575" customWidth="1"/>
    <col min="2384" max="2384" width="14.85546875" style="575" customWidth="1"/>
    <col min="2385" max="2385" width="13.85546875" style="575" customWidth="1"/>
    <col min="2386" max="2386" width="13.5703125" style="575" customWidth="1"/>
    <col min="2387" max="2387" width="13" style="575" customWidth="1"/>
    <col min="2388" max="2388" width="13.5703125" style="575" customWidth="1"/>
    <col min="2389" max="2389" width="7.7109375" style="575" bestFit="1" customWidth="1"/>
    <col min="2390" max="2559" width="9.140625" style="575"/>
    <col min="2560" max="2560" width="4.28515625" style="575" customWidth="1"/>
    <col min="2561" max="2561" width="10.140625" style="575" customWidth="1"/>
    <col min="2562" max="2562" width="8.85546875" style="575" customWidth="1"/>
    <col min="2563" max="2563" width="11.140625" style="575" customWidth="1"/>
    <col min="2564" max="2564" width="15" style="575" bestFit="1" customWidth="1"/>
    <col min="2565" max="2565" width="13.5703125" style="575" customWidth="1"/>
    <col min="2566" max="2566" width="11.42578125" style="575" bestFit="1" customWidth="1"/>
    <col min="2567" max="2567" width="11.28515625" style="575" customWidth="1"/>
    <col min="2568" max="2568" width="15.28515625" style="575" bestFit="1" customWidth="1"/>
    <col min="2569" max="2571" width="11.85546875" style="575" customWidth="1"/>
    <col min="2572" max="2572" width="19.140625" style="575" customWidth="1"/>
    <col min="2573" max="2573" width="15" style="575" customWidth="1"/>
    <col min="2574" max="2574" width="15.28515625" style="575" customWidth="1"/>
    <col min="2575" max="2577" width="18.85546875" style="575" customWidth="1"/>
    <col min="2578" max="2578" width="12.7109375" style="575" customWidth="1"/>
    <col min="2579" max="2579" width="13.7109375" style="575" customWidth="1"/>
    <col min="2580" max="2580" width="16.140625" style="575" customWidth="1"/>
    <col min="2581" max="2581" width="17" style="575" customWidth="1"/>
    <col min="2582" max="2582" width="15" style="575" customWidth="1"/>
    <col min="2583" max="2583" width="14.28515625" style="575" customWidth="1"/>
    <col min="2584" max="2584" width="14.85546875" style="575" customWidth="1"/>
    <col min="2585" max="2585" width="17.140625" style="575" customWidth="1"/>
    <col min="2586" max="2586" width="13.5703125" style="575" customWidth="1"/>
    <col min="2587" max="2588" width="14.85546875" style="575" customWidth="1"/>
    <col min="2589" max="2589" width="18.85546875" style="575" customWidth="1"/>
    <col min="2590" max="2590" width="19.42578125" style="575" customWidth="1"/>
    <col min="2591" max="2591" width="16.140625" style="575" customWidth="1"/>
    <col min="2592" max="2592" width="14.5703125" style="575" customWidth="1"/>
    <col min="2593" max="2593" width="20.28515625" style="575" customWidth="1"/>
    <col min="2594" max="2594" width="13.85546875" style="575" customWidth="1"/>
    <col min="2595" max="2595" width="19.140625" style="575" customWidth="1"/>
    <col min="2596" max="2596" width="19.7109375" style="575" customWidth="1"/>
    <col min="2597" max="2597" width="16.5703125" style="575" customWidth="1"/>
    <col min="2598" max="2598" width="19.140625" style="575" customWidth="1"/>
    <col min="2599" max="2601" width="16.5703125" style="575" customWidth="1"/>
    <col min="2602" max="2602" width="15.7109375" style="575" customWidth="1"/>
    <col min="2603" max="2603" width="19.42578125" style="575" customWidth="1"/>
    <col min="2604" max="2604" width="14.85546875" style="575" bestFit="1" customWidth="1"/>
    <col min="2605" max="2605" width="13.7109375" style="575" bestFit="1" customWidth="1"/>
    <col min="2606" max="2606" width="13" style="575" customWidth="1"/>
    <col min="2607" max="2607" width="18.42578125" style="575" customWidth="1"/>
    <col min="2608" max="2610" width="13.140625" style="575" customWidth="1"/>
    <col min="2611" max="2611" width="16.42578125" style="575" customWidth="1"/>
    <col min="2612" max="2612" width="13.140625" style="575" customWidth="1"/>
    <col min="2613" max="2613" width="15.28515625" style="575" customWidth="1"/>
    <col min="2614" max="2614" width="14" style="575" bestFit="1" customWidth="1"/>
    <col min="2615" max="2615" width="17.140625" style="575" customWidth="1"/>
    <col min="2616" max="2637" width="16.5703125" style="575" customWidth="1"/>
    <col min="2638" max="2638" width="20.140625" style="575" customWidth="1"/>
    <col min="2639" max="2639" width="13.28515625" style="575" customWidth="1"/>
    <col min="2640" max="2640" width="14.85546875" style="575" customWidth="1"/>
    <col min="2641" max="2641" width="13.85546875" style="575" customWidth="1"/>
    <col min="2642" max="2642" width="13.5703125" style="575" customWidth="1"/>
    <col min="2643" max="2643" width="13" style="575" customWidth="1"/>
    <col min="2644" max="2644" width="13.5703125" style="575" customWidth="1"/>
    <col min="2645" max="2645" width="7.7109375" style="575" bestFit="1" customWidth="1"/>
    <col min="2646" max="2815" width="9.140625" style="575"/>
    <col min="2816" max="2816" width="4.28515625" style="575" customWidth="1"/>
    <col min="2817" max="2817" width="10.140625" style="575" customWidth="1"/>
    <col min="2818" max="2818" width="8.85546875" style="575" customWidth="1"/>
    <col min="2819" max="2819" width="11.140625" style="575" customWidth="1"/>
    <col min="2820" max="2820" width="15" style="575" bestFit="1" customWidth="1"/>
    <col min="2821" max="2821" width="13.5703125" style="575" customWidth="1"/>
    <col min="2822" max="2822" width="11.42578125" style="575" bestFit="1" customWidth="1"/>
    <col min="2823" max="2823" width="11.28515625" style="575" customWidth="1"/>
    <col min="2824" max="2824" width="15.28515625" style="575" bestFit="1" customWidth="1"/>
    <col min="2825" max="2827" width="11.85546875" style="575" customWidth="1"/>
    <col min="2828" max="2828" width="19.140625" style="575" customWidth="1"/>
    <col min="2829" max="2829" width="15" style="575" customWidth="1"/>
    <col min="2830" max="2830" width="15.28515625" style="575" customWidth="1"/>
    <col min="2831" max="2833" width="18.85546875" style="575" customWidth="1"/>
    <col min="2834" max="2834" width="12.7109375" style="575" customWidth="1"/>
    <col min="2835" max="2835" width="13.7109375" style="575" customWidth="1"/>
    <col min="2836" max="2836" width="16.140625" style="575" customWidth="1"/>
    <col min="2837" max="2837" width="17" style="575" customWidth="1"/>
    <col min="2838" max="2838" width="15" style="575" customWidth="1"/>
    <col min="2839" max="2839" width="14.28515625" style="575" customWidth="1"/>
    <col min="2840" max="2840" width="14.85546875" style="575" customWidth="1"/>
    <col min="2841" max="2841" width="17.140625" style="575" customWidth="1"/>
    <col min="2842" max="2842" width="13.5703125" style="575" customWidth="1"/>
    <col min="2843" max="2844" width="14.85546875" style="575" customWidth="1"/>
    <col min="2845" max="2845" width="18.85546875" style="575" customWidth="1"/>
    <col min="2846" max="2846" width="19.42578125" style="575" customWidth="1"/>
    <col min="2847" max="2847" width="16.140625" style="575" customWidth="1"/>
    <col min="2848" max="2848" width="14.5703125" style="575" customWidth="1"/>
    <col min="2849" max="2849" width="20.28515625" style="575" customWidth="1"/>
    <col min="2850" max="2850" width="13.85546875" style="575" customWidth="1"/>
    <col min="2851" max="2851" width="19.140625" style="575" customWidth="1"/>
    <col min="2852" max="2852" width="19.7109375" style="575" customWidth="1"/>
    <col min="2853" max="2853" width="16.5703125" style="575" customWidth="1"/>
    <col min="2854" max="2854" width="19.140625" style="575" customWidth="1"/>
    <col min="2855" max="2857" width="16.5703125" style="575" customWidth="1"/>
    <col min="2858" max="2858" width="15.7109375" style="575" customWidth="1"/>
    <col min="2859" max="2859" width="19.42578125" style="575" customWidth="1"/>
    <col min="2860" max="2860" width="14.85546875" style="575" bestFit="1" customWidth="1"/>
    <col min="2861" max="2861" width="13.7109375" style="575" bestFit="1" customWidth="1"/>
    <col min="2862" max="2862" width="13" style="575" customWidth="1"/>
    <col min="2863" max="2863" width="18.42578125" style="575" customWidth="1"/>
    <col min="2864" max="2866" width="13.140625" style="575" customWidth="1"/>
    <col min="2867" max="2867" width="16.42578125" style="575" customWidth="1"/>
    <col min="2868" max="2868" width="13.140625" style="575" customWidth="1"/>
    <col min="2869" max="2869" width="15.28515625" style="575" customWidth="1"/>
    <col min="2870" max="2870" width="14" style="575" bestFit="1" customWidth="1"/>
    <col min="2871" max="2871" width="17.140625" style="575" customWidth="1"/>
    <col min="2872" max="2893" width="16.5703125" style="575" customWidth="1"/>
    <col min="2894" max="2894" width="20.140625" style="575" customWidth="1"/>
    <col min="2895" max="2895" width="13.28515625" style="575" customWidth="1"/>
    <col min="2896" max="2896" width="14.85546875" style="575" customWidth="1"/>
    <col min="2897" max="2897" width="13.85546875" style="575" customWidth="1"/>
    <col min="2898" max="2898" width="13.5703125" style="575" customWidth="1"/>
    <col min="2899" max="2899" width="13" style="575" customWidth="1"/>
    <col min="2900" max="2900" width="13.5703125" style="575" customWidth="1"/>
    <col min="2901" max="2901" width="7.7109375" style="575" bestFit="1" customWidth="1"/>
    <col min="2902" max="3071" width="9.140625" style="575"/>
    <col min="3072" max="3072" width="4.28515625" style="575" customWidth="1"/>
    <col min="3073" max="3073" width="10.140625" style="575" customWidth="1"/>
    <col min="3074" max="3074" width="8.85546875" style="575" customWidth="1"/>
    <col min="3075" max="3075" width="11.140625" style="575" customWidth="1"/>
    <col min="3076" max="3076" width="15" style="575" bestFit="1" customWidth="1"/>
    <col min="3077" max="3077" width="13.5703125" style="575" customWidth="1"/>
    <col min="3078" max="3078" width="11.42578125" style="575" bestFit="1" customWidth="1"/>
    <col min="3079" max="3079" width="11.28515625" style="575" customWidth="1"/>
    <col min="3080" max="3080" width="15.28515625" style="575" bestFit="1" customWidth="1"/>
    <col min="3081" max="3083" width="11.85546875" style="575" customWidth="1"/>
    <col min="3084" max="3084" width="19.140625" style="575" customWidth="1"/>
    <col min="3085" max="3085" width="15" style="575" customWidth="1"/>
    <col min="3086" max="3086" width="15.28515625" style="575" customWidth="1"/>
    <col min="3087" max="3089" width="18.85546875" style="575" customWidth="1"/>
    <col min="3090" max="3090" width="12.7109375" style="575" customWidth="1"/>
    <col min="3091" max="3091" width="13.7109375" style="575" customWidth="1"/>
    <col min="3092" max="3092" width="16.140625" style="575" customWidth="1"/>
    <col min="3093" max="3093" width="17" style="575" customWidth="1"/>
    <col min="3094" max="3094" width="15" style="575" customWidth="1"/>
    <col min="3095" max="3095" width="14.28515625" style="575" customWidth="1"/>
    <col min="3096" max="3096" width="14.85546875" style="575" customWidth="1"/>
    <col min="3097" max="3097" width="17.140625" style="575" customWidth="1"/>
    <col min="3098" max="3098" width="13.5703125" style="575" customWidth="1"/>
    <col min="3099" max="3100" width="14.85546875" style="575" customWidth="1"/>
    <col min="3101" max="3101" width="18.85546875" style="575" customWidth="1"/>
    <col min="3102" max="3102" width="19.42578125" style="575" customWidth="1"/>
    <col min="3103" max="3103" width="16.140625" style="575" customWidth="1"/>
    <col min="3104" max="3104" width="14.5703125" style="575" customWidth="1"/>
    <col min="3105" max="3105" width="20.28515625" style="575" customWidth="1"/>
    <col min="3106" max="3106" width="13.85546875" style="575" customWidth="1"/>
    <col min="3107" max="3107" width="19.140625" style="575" customWidth="1"/>
    <col min="3108" max="3108" width="19.7109375" style="575" customWidth="1"/>
    <col min="3109" max="3109" width="16.5703125" style="575" customWidth="1"/>
    <col min="3110" max="3110" width="19.140625" style="575" customWidth="1"/>
    <col min="3111" max="3113" width="16.5703125" style="575" customWidth="1"/>
    <col min="3114" max="3114" width="15.7109375" style="575" customWidth="1"/>
    <col min="3115" max="3115" width="19.42578125" style="575" customWidth="1"/>
    <col min="3116" max="3116" width="14.85546875" style="575" bestFit="1" customWidth="1"/>
    <col min="3117" max="3117" width="13.7109375" style="575" bestFit="1" customWidth="1"/>
    <col min="3118" max="3118" width="13" style="575" customWidth="1"/>
    <col min="3119" max="3119" width="18.42578125" style="575" customWidth="1"/>
    <col min="3120" max="3122" width="13.140625" style="575" customWidth="1"/>
    <col min="3123" max="3123" width="16.42578125" style="575" customWidth="1"/>
    <col min="3124" max="3124" width="13.140625" style="575" customWidth="1"/>
    <col min="3125" max="3125" width="15.28515625" style="575" customWidth="1"/>
    <col min="3126" max="3126" width="14" style="575" bestFit="1" customWidth="1"/>
    <col min="3127" max="3127" width="17.140625" style="575" customWidth="1"/>
    <col min="3128" max="3149" width="16.5703125" style="575" customWidth="1"/>
    <col min="3150" max="3150" width="20.140625" style="575" customWidth="1"/>
    <col min="3151" max="3151" width="13.28515625" style="575" customWidth="1"/>
    <col min="3152" max="3152" width="14.85546875" style="575" customWidth="1"/>
    <col min="3153" max="3153" width="13.85546875" style="575" customWidth="1"/>
    <col min="3154" max="3154" width="13.5703125" style="575" customWidth="1"/>
    <col min="3155" max="3155" width="13" style="575" customWidth="1"/>
    <col min="3156" max="3156" width="13.5703125" style="575" customWidth="1"/>
    <col min="3157" max="3157" width="7.7109375" style="575" bestFit="1" customWidth="1"/>
    <col min="3158" max="3327" width="9.140625" style="575"/>
    <col min="3328" max="3328" width="4.28515625" style="575" customWidth="1"/>
    <col min="3329" max="3329" width="10.140625" style="575" customWidth="1"/>
    <col min="3330" max="3330" width="8.85546875" style="575" customWidth="1"/>
    <col min="3331" max="3331" width="11.140625" style="575" customWidth="1"/>
    <col min="3332" max="3332" width="15" style="575" bestFit="1" customWidth="1"/>
    <col min="3333" max="3333" width="13.5703125" style="575" customWidth="1"/>
    <col min="3334" max="3334" width="11.42578125" style="575" bestFit="1" customWidth="1"/>
    <col min="3335" max="3335" width="11.28515625" style="575" customWidth="1"/>
    <col min="3336" max="3336" width="15.28515625" style="575" bestFit="1" customWidth="1"/>
    <col min="3337" max="3339" width="11.85546875" style="575" customWidth="1"/>
    <col min="3340" max="3340" width="19.140625" style="575" customWidth="1"/>
    <col min="3341" max="3341" width="15" style="575" customWidth="1"/>
    <col min="3342" max="3342" width="15.28515625" style="575" customWidth="1"/>
    <col min="3343" max="3345" width="18.85546875" style="575" customWidth="1"/>
    <col min="3346" max="3346" width="12.7109375" style="575" customWidth="1"/>
    <col min="3347" max="3347" width="13.7109375" style="575" customWidth="1"/>
    <col min="3348" max="3348" width="16.140625" style="575" customWidth="1"/>
    <col min="3349" max="3349" width="17" style="575" customWidth="1"/>
    <col min="3350" max="3350" width="15" style="575" customWidth="1"/>
    <col min="3351" max="3351" width="14.28515625" style="575" customWidth="1"/>
    <col min="3352" max="3352" width="14.85546875" style="575" customWidth="1"/>
    <col min="3353" max="3353" width="17.140625" style="575" customWidth="1"/>
    <col min="3354" max="3354" width="13.5703125" style="575" customWidth="1"/>
    <col min="3355" max="3356" width="14.85546875" style="575" customWidth="1"/>
    <col min="3357" max="3357" width="18.85546875" style="575" customWidth="1"/>
    <col min="3358" max="3358" width="19.42578125" style="575" customWidth="1"/>
    <col min="3359" max="3359" width="16.140625" style="575" customWidth="1"/>
    <col min="3360" max="3360" width="14.5703125" style="575" customWidth="1"/>
    <col min="3361" max="3361" width="20.28515625" style="575" customWidth="1"/>
    <col min="3362" max="3362" width="13.85546875" style="575" customWidth="1"/>
    <col min="3363" max="3363" width="19.140625" style="575" customWidth="1"/>
    <col min="3364" max="3364" width="19.7109375" style="575" customWidth="1"/>
    <col min="3365" max="3365" width="16.5703125" style="575" customWidth="1"/>
    <col min="3366" max="3366" width="19.140625" style="575" customWidth="1"/>
    <col min="3367" max="3369" width="16.5703125" style="575" customWidth="1"/>
    <col min="3370" max="3370" width="15.7109375" style="575" customWidth="1"/>
    <col min="3371" max="3371" width="19.42578125" style="575" customWidth="1"/>
    <col min="3372" max="3372" width="14.85546875" style="575" bestFit="1" customWidth="1"/>
    <col min="3373" max="3373" width="13.7109375" style="575" bestFit="1" customWidth="1"/>
    <col min="3374" max="3374" width="13" style="575" customWidth="1"/>
    <col min="3375" max="3375" width="18.42578125" style="575" customWidth="1"/>
    <col min="3376" max="3378" width="13.140625" style="575" customWidth="1"/>
    <col min="3379" max="3379" width="16.42578125" style="575" customWidth="1"/>
    <col min="3380" max="3380" width="13.140625" style="575" customWidth="1"/>
    <col min="3381" max="3381" width="15.28515625" style="575" customWidth="1"/>
    <col min="3382" max="3382" width="14" style="575" bestFit="1" customWidth="1"/>
    <col min="3383" max="3383" width="17.140625" style="575" customWidth="1"/>
    <col min="3384" max="3405" width="16.5703125" style="575" customWidth="1"/>
    <col min="3406" max="3406" width="20.140625" style="575" customWidth="1"/>
    <col min="3407" max="3407" width="13.28515625" style="575" customWidth="1"/>
    <col min="3408" max="3408" width="14.85546875" style="575" customWidth="1"/>
    <col min="3409" max="3409" width="13.85546875" style="575" customWidth="1"/>
    <col min="3410" max="3410" width="13.5703125" style="575" customWidth="1"/>
    <col min="3411" max="3411" width="13" style="575" customWidth="1"/>
    <col min="3412" max="3412" width="13.5703125" style="575" customWidth="1"/>
    <col min="3413" max="3413" width="7.7109375" style="575" bestFit="1" customWidth="1"/>
    <col min="3414" max="3583" width="9.140625" style="575"/>
    <col min="3584" max="3584" width="4.28515625" style="575" customWidth="1"/>
    <col min="3585" max="3585" width="10.140625" style="575" customWidth="1"/>
    <col min="3586" max="3586" width="8.85546875" style="575" customWidth="1"/>
    <col min="3587" max="3587" width="11.140625" style="575" customWidth="1"/>
    <col min="3588" max="3588" width="15" style="575" bestFit="1" customWidth="1"/>
    <col min="3589" max="3589" width="13.5703125" style="575" customWidth="1"/>
    <col min="3590" max="3590" width="11.42578125" style="575" bestFit="1" customWidth="1"/>
    <col min="3591" max="3591" width="11.28515625" style="575" customWidth="1"/>
    <col min="3592" max="3592" width="15.28515625" style="575" bestFit="1" customWidth="1"/>
    <col min="3593" max="3595" width="11.85546875" style="575" customWidth="1"/>
    <col min="3596" max="3596" width="19.140625" style="575" customWidth="1"/>
    <col min="3597" max="3597" width="15" style="575" customWidth="1"/>
    <col min="3598" max="3598" width="15.28515625" style="575" customWidth="1"/>
    <col min="3599" max="3601" width="18.85546875" style="575" customWidth="1"/>
    <col min="3602" max="3602" width="12.7109375" style="575" customWidth="1"/>
    <col min="3603" max="3603" width="13.7109375" style="575" customWidth="1"/>
    <col min="3604" max="3604" width="16.140625" style="575" customWidth="1"/>
    <col min="3605" max="3605" width="17" style="575" customWidth="1"/>
    <col min="3606" max="3606" width="15" style="575" customWidth="1"/>
    <col min="3607" max="3607" width="14.28515625" style="575" customWidth="1"/>
    <col min="3608" max="3608" width="14.85546875" style="575" customWidth="1"/>
    <col min="3609" max="3609" width="17.140625" style="575" customWidth="1"/>
    <col min="3610" max="3610" width="13.5703125" style="575" customWidth="1"/>
    <col min="3611" max="3612" width="14.85546875" style="575" customWidth="1"/>
    <col min="3613" max="3613" width="18.85546875" style="575" customWidth="1"/>
    <col min="3614" max="3614" width="19.42578125" style="575" customWidth="1"/>
    <col min="3615" max="3615" width="16.140625" style="575" customWidth="1"/>
    <col min="3616" max="3616" width="14.5703125" style="575" customWidth="1"/>
    <col min="3617" max="3617" width="20.28515625" style="575" customWidth="1"/>
    <col min="3618" max="3618" width="13.85546875" style="575" customWidth="1"/>
    <col min="3619" max="3619" width="19.140625" style="575" customWidth="1"/>
    <col min="3620" max="3620" width="19.7109375" style="575" customWidth="1"/>
    <col min="3621" max="3621" width="16.5703125" style="575" customWidth="1"/>
    <col min="3622" max="3622" width="19.140625" style="575" customWidth="1"/>
    <col min="3623" max="3625" width="16.5703125" style="575" customWidth="1"/>
    <col min="3626" max="3626" width="15.7109375" style="575" customWidth="1"/>
    <col min="3627" max="3627" width="19.42578125" style="575" customWidth="1"/>
    <col min="3628" max="3628" width="14.85546875" style="575" bestFit="1" customWidth="1"/>
    <col min="3629" max="3629" width="13.7109375" style="575" bestFit="1" customWidth="1"/>
    <col min="3630" max="3630" width="13" style="575" customWidth="1"/>
    <col min="3631" max="3631" width="18.42578125" style="575" customWidth="1"/>
    <col min="3632" max="3634" width="13.140625" style="575" customWidth="1"/>
    <col min="3635" max="3635" width="16.42578125" style="575" customWidth="1"/>
    <col min="3636" max="3636" width="13.140625" style="575" customWidth="1"/>
    <col min="3637" max="3637" width="15.28515625" style="575" customWidth="1"/>
    <col min="3638" max="3638" width="14" style="575" bestFit="1" customWidth="1"/>
    <col min="3639" max="3639" width="17.140625" style="575" customWidth="1"/>
    <col min="3640" max="3661" width="16.5703125" style="575" customWidth="1"/>
    <col min="3662" max="3662" width="20.140625" style="575" customWidth="1"/>
    <col min="3663" max="3663" width="13.28515625" style="575" customWidth="1"/>
    <col min="3664" max="3664" width="14.85546875" style="575" customWidth="1"/>
    <col min="3665" max="3665" width="13.85546875" style="575" customWidth="1"/>
    <col min="3666" max="3666" width="13.5703125" style="575" customWidth="1"/>
    <col min="3667" max="3667" width="13" style="575" customWidth="1"/>
    <col min="3668" max="3668" width="13.5703125" style="575" customWidth="1"/>
    <col min="3669" max="3669" width="7.7109375" style="575" bestFit="1" customWidth="1"/>
    <col min="3670" max="3839" width="9.140625" style="575"/>
    <col min="3840" max="3840" width="4.28515625" style="575" customWidth="1"/>
    <col min="3841" max="3841" width="10.140625" style="575" customWidth="1"/>
    <col min="3842" max="3842" width="8.85546875" style="575" customWidth="1"/>
    <col min="3843" max="3843" width="11.140625" style="575" customWidth="1"/>
    <col min="3844" max="3844" width="15" style="575" bestFit="1" customWidth="1"/>
    <col min="3845" max="3845" width="13.5703125" style="575" customWidth="1"/>
    <col min="3846" max="3846" width="11.42578125" style="575" bestFit="1" customWidth="1"/>
    <col min="3847" max="3847" width="11.28515625" style="575" customWidth="1"/>
    <col min="3848" max="3848" width="15.28515625" style="575" bestFit="1" customWidth="1"/>
    <col min="3849" max="3851" width="11.85546875" style="575" customWidth="1"/>
    <col min="3852" max="3852" width="19.140625" style="575" customWidth="1"/>
    <col min="3853" max="3853" width="15" style="575" customWidth="1"/>
    <col min="3854" max="3854" width="15.28515625" style="575" customWidth="1"/>
    <col min="3855" max="3857" width="18.85546875" style="575" customWidth="1"/>
    <col min="3858" max="3858" width="12.7109375" style="575" customWidth="1"/>
    <col min="3859" max="3859" width="13.7109375" style="575" customWidth="1"/>
    <col min="3860" max="3860" width="16.140625" style="575" customWidth="1"/>
    <col min="3861" max="3861" width="17" style="575" customWidth="1"/>
    <col min="3862" max="3862" width="15" style="575" customWidth="1"/>
    <col min="3863" max="3863" width="14.28515625" style="575" customWidth="1"/>
    <col min="3864" max="3864" width="14.85546875" style="575" customWidth="1"/>
    <col min="3865" max="3865" width="17.140625" style="575" customWidth="1"/>
    <col min="3866" max="3866" width="13.5703125" style="575" customWidth="1"/>
    <col min="3867" max="3868" width="14.85546875" style="575" customWidth="1"/>
    <col min="3869" max="3869" width="18.85546875" style="575" customWidth="1"/>
    <col min="3870" max="3870" width="19.42578125" style="575" customWidth="1"/>
    <col min="3871" max="3871" width="16.140625" style="575" customWidth="1"/>
    <col min="3872" max="3872" width="14.5703125" style="575" customWidth="1"/>
    <col min="3873" max="3873" width="20.28515625" style="575" customWidth="1"/>
    <col min="3874" max="3874" width="13.85546875" style="575" customWidth="1"/>
    <col min="3875" max="3875" width="19.140625" style="575" customWidth="1"/>
    <col min="3876" max="3876" width="19.7109375" style="575" customWidth="1"/>
    <col min="3877" max="3877" width="16.5703125" style="575" customWidth="1"/>
    <col min="3878" max="3878" width="19.140625" style="575" customWidth="1"/>
    <col min="3879" max="3881" width="16.5703125" style="575" customWidth="1"/>
    <col min="3882" max="3882" width="15.7109375" style="575" customWidth="1"/>
    <col min="3883" max="3883" width="19.42578125" style="575" customWidth="1"/>
    <col min="3884" max="3884" width="14.85546875" style="575" bestFit="1" customWidth="1"/>
    <col min="3885" max="3885" width="13.7109375" style="575" bestFit="1" customWidth="1"/>
    <col min="3886" max="3886" width="13" style="575" customWidth="1"/>
    <col min="3887" max="3887" width="18.42578125" style="575" customWidth="1"/>
    <col min="3888" max="3890" width="13.140625" style="575" customWidth="1"/>
    <col min="3891" max="3891" width="16.42578125" style="575" customWidth="1"/>
    <col min="3892" max="3892" width="13.140625" style="575" customWidth="1"/>
    <col min="3893" max="3893" width="15.28515625" style="575" customWidth="1"/>
    <col min="3894" max="3894" width="14" style="575" bestFit="1" customWidth="1"/>
    <col min="3895" max="3895" width="17.140625" style="575" customWidth="1"/>
    <col min="3896" max="3917" width="16.5703125" style="575" customWidth="1"/>
    <col min="3918" max="3918" width="20.140625" style="575" customWidth="1"/>
    <col min="3919" max="3919" width="13.28515625" style="575" customWidth="1"/>
    <col min="3920" max="3920" width="14.85546875" style="575" customWidth="1"/>
    <col min="3921" max="3921" width="13.85546875" style="575" customWidth="1"/>
    <col min="3922" max="3922" width="13.5703125" style="575" customWidth="1"/>
    <col min="3923" max="3923" width="13" style="575" customWidth="1"/>
    <col min="3924" max="3924" width="13.5703125" style="575" customWidth="1"/>
    <col min="3925" max="3925" width="7.7109375" style="575" bestFit="1" customWidth="1"/>
    <col min="3926" max="4095" width="9.140625" style="575"/>
    <col min="4096" max="4096" width="4.28515625" style="575" customWidth="1"/>
    <col min="4097" max="4097" width="10.140625" style="575" customWidth="1"/>
    <col min="4098" max="4098" width="8.85546875" style="575" customWidth="1"/>
    <col min="4099" max="4099" width="11.140625" style="575" customWidth="1"/>
    <col min="4100" max="4100" width="15" style="575" bestFit="1" customWidth="1"/>
    <col min="4101" max="4101" width="13.5703125" style="575" customWidth="1"/>
    <col min="4102" max="4102" width="11.42578125" style="575" bestFit="1" customWidth="1"/>
    <col min="4103" max="4103" width="11.28515625" style="575" customWidth="1"/>
    <col min="4104" max="4104" width="15.28515625" style="575" bestFit="1" customWidth="1"/>
    <col min="4105" max="4107" width="11.85546875" style="575" customWidth="1"/>
    <col min="4108" max="4108" width="19.140625" style="575" customWidth="1"/>
    <col min="4109" max="4109" width="15" style="575" customWidth="1"/>
    <col min="4110" max="4110" width="15.28515625" style="575" customWidth="1"/>
    <col min="4111" max="4113" width="18.85546875" style="575" customWidth="1"/>
    <col min="4114" max="4114" width="12.7109375" style="575" customWidth="1"/>
    <col min="4115" max="4115" width="13.7109375" style="575" customWidth="1"/>
    <col min="4116" max="4116" width="16.140625" style="575" customWidth="1"/>
    <col min="4117" max="4117" width="17" style="575" customWidth="1"/>
    <col min="4118" max="4118" width="15" style="575" customWidth="1"/>
    <col min="4119" max="4119" width="14.28515625" style="575" customWidth="1"/>
    <col min="4120" max="4120" width="14.85546875" style="575" customWidth="1"/>
    <col min="4121" max="4121" width="17.140625" style="575" customWidth="1"/>
    <col min="4122" max="4122" width="13.5703125" style="575" customWidth="1"/>
    <col min="4123" max="4124" width="14.85546875" style="575" customWidth="1"/>
    <col min="4125" max="4125" width="18.85546875" style="575" customWidth="1"/>
    <col min="4126" max="4126" width="19.42578125" style="575" customWidth="1"/>
    <col min="4127" max="4127" width="16.140625" style="575" customWidth="1"/>
    <col min="4128" max="4128" width="14.5703125" style="575" customWidth="1"/>
    <col min="4129" max="4129" width="20.28515625" style="575" customWidth="1"/>
    <col min="4130" max="4130" width="13.85546875" style="575" customWidth="1"/>
    <col min="4131" max="4131" width="19.140625" style="575" customWidth="1"/>
    <col min="4132" max="4132" width="19.7109375" style="575" customWidth="1"/>
    <col min="4133" max="4133" width="16.5703125" style="575" customWidth="1"/>
    <col min="4134" max="4134" width="19.140625" style="575" customWidth="1"/>
    <col min="4135" max="4137" width="16.5703125" style="575" customWidth="1"/>
    <col min="4138" max="4138" width="15.7109375" style="575" customWidth="1"/>
    <col min="4139" max="4139" width="19.42578125" style="575" customWidth="1"/>
    <col min="4140" max="4140" width="14.85546875" style="575" bestFit="1" customWidth="1"/>
    <col min="4141" max="4141" width="13.7109375" style="575" bestFit="1" customWidth="1"/>
    <col min="4142" max="4142" width="13" style="575" customWidth="1"/>
    <col min="4143" max="4143" width="18.42578125" style="575" customWidth="1"/>
    <col min="4144" max="4146" width="13.140625" style="575" customWidth="1"/>
    <col min="4147" max="4147" width="16.42578125" style="575" customWidth="1"/>
    <col min="4148" max="4148" width="13.140625" style="575" customWidth="1"/>
    <col min="4149" max="4149" width="15.28515625" style="575" customWidth="1"/>
    <col min="4150" max="4150" width="14" style="575" bestFit="1" customWidth="1"/>
    <col min="4151" max="4151" width="17.140625" style="575" customWidth="1"/>
    <col min="4152" max="4173" width="16.5703125" style="575" customWidth="1"/>
    <col min="4174" max="4174" width="20.140625" style="575" customWidth="1"/>
    <col min="4175" max="4175" width="13.28515625" style="575" customWidth="1"/>
    <col min="4176" max="4176" width="14.85546875" style="575" customWidth="1"/>
    <col min="4177" max="4177" width="13.85546875" style="575" customWidth="1"/>
    <col min="4178" max="4178" width="13.5703125" style="575" customWidth="1"/>
    <col min="4179" max="4179" width="13" style="575" customWidth="1"/>
    <col min="4180" max="4180" width="13.5703125" style="575" customWidth="1"/>
    <col min="4181" max="4181" width="7.7109375" style="575" bestFit="1" customWidth="1"/>
    <col min="4182" max="4351" width="9.140625" style="575"/>
    <col min="4352" max="4352" width="4.28515625" style="575" customWidth="1"/>
    <col min="4353" max="4353" width="10.140625" style="575" customWidth="1"/>
    <col min="4354" max="4354" width="8.85546875" style="575" customWidth="1"/>
    <col min="4355" max="4355" width="11.140625" style="575" customWidth="1"/>
    <col min="4356" max="4356" width="15" style="575" bestFit="1" customWidth="1"/>
    <col min="4357" max="4357" width="13.5703125" style="575" customWidth="1"/>
    <col min="4358" max="4358" width="11.42578125" style="575" bestFit="1" customWidth="1"/>
    <col min="4359" max="4359" width="11.28515625" style="575" customWidth="1"/>
    <col min="4360" max="4360" width="15.28515625" style="575" bestFit="1" customWidth="1"/>
    <col min="4361" max="4363" width="11.85546875" style="575" customWidth="1"/>
    <col min="4364" max="4364" width="19.140625" style="575" customWidth="1"/>
    <col min="4365" max="4365" width="15" style="575" customWidth="1"/>
    <col min="4366" max="4366" width="15.28515625" style="575" customWidth="1"/>
    <col min="4367" max="4369" width="18.85546875" style="575" customWidth="1"/>
    <col min="4370" max="4370" width="12.7109375" style="575" customWidth="1"/>
    <col min="4371" max="4371" width="13.7109375" style="575" customWidth="1"/>
    <col min="4372" max="4372" width="16.140625" style="575" customWidth="1"/>
    <col min="4373" max="4373" width="17" style="575" customWidth="1"/>
    <col min="4374" max="4374" width="15" style="575" customWidth="1"/>
    <col min="4375" max="4375" width="14.28515625" style="575" customWidth="1"/>
    <col min="4376" max="4376" width="14.85546875" style="575" customWidth="1"/>
    <col min="4377" max="4377" width="17.140625" style="575" customWidth="1"/>
    <col min="4378" max="4378" width="13.5703125" style="575" customWidth="1"/>
    <col min="4379" max="4380" width="14.85546875" style="575" customWidth="1"/>
    <col min="4381" max="4381" width="18.85546875" style="575" customWidth="1"/>
    <col min="4382" max="4382" width="19.42578125" style="575" customWidth="1"/>
    <col min="4383" max="4383" width="16.140625" style="575" customWidth="1"/>
    <col min="4384" max="4384" width="14.5703125" style="575" customWidth="1"/>
    <col min="4385" max="4385" width="20.28515625" style="575" customWidth="1"/>
    <col min="4386" max="4386" width="13.85546875" style="575" customWidth="1"/>
    <col min="4387" max="4387" width="19.140625" style="575" customWidth="1"/>
    <col min="4388" max="4388" width="19.7109375" style="575" customWidth="1"/>
    <col min="4389" max="4389" width="16.5703125" style="575" customWidth="1"/>
    <col min="4390" max="4390" width="19.140625" style="575" customWidth="1"/>
    <col min="4391" max="4393" width="16.5703125" style="575" customWidth="1"/>
    <col min="4394" max="4394" width="15.7109375" style="575" customWidth="1"/>
    <col min="4395" max="4395" width="19.42578125" style="575" customWidth="1"/>
    <col min="4396" max="4396" width="14.85546875" style="575" bestFit="1" customWidth="1"/>
    <col min="4397" max="4397" width="13.7109375" style="575" bestFit="1" customWidth="1"/>
    <col min="4398" max="4398" width="13" style="575" customWidth="1"/>
    <col min="4399" max="4399" width="18.42578125" style="575" customWidth="1"/>
    <col min="4400" max="4402" width="13.140625" style="575" customWidth="1"/>
    <col min="4403" max="4403" width="16.42578125" style="575" customWidth="1"/>
    <col min="4404" max="4404" width="13.140625" style="575" customWidth="1"/>
    <col min="4405" max="4405" width="15.28515625" style="575" customWidth="1"/>
    <col min="4406" max="4406" width="14" style="575" bestFit="1" customWidth="1"/>
    <col min="4407" max="4407" width="17.140625" style="575" customWidth="1"/>
    <col min="4408" max="4429" width="16.5703125" style="575" customWidth="1"/>
    <col min="4430" max="4430" width="20.140625" style="575" customWidth="1"/>
    <col min="4431" max="4431" width="13.28515625" style="575" customWidth="1"/>
    <col min="4432" max="4432" width="14.85546875" style="575" customWidth="1"/>
    <col min="4433" max="4433" width="13.85546875" style="575" customWidth="1"/>
    <col min="4434" max="4434" width="13.5703125" style="575" customWidth="1"/>
    <col min="4435" max="4435" width="13" style="575" customWidth="1"/>
    <col min="4436" max="4436" width="13.5703125" style="575" customWidth="1"/>
    <col min="4437" max="4437" width="7.7109375" style="575" bestFit="1" customWidth="1"/>
    <col min="4438" max="4607" width="9.140625" style="575"/>
    <col min="4608" max="4608" width="4.28515625" style="575" customWidth="1"/>
    <col min="4609" max="4609" width="10.140625" style="575" customWidth="1"/>
    <col min="4610" max="4610" width="8.85546875" style="575" customWidth="1"/>
    <col min="4611" max="4611" width="11.140625" style="575" customWidth="1"/>
    <col min="4612" max="4612" width="15" style="575" bestFit="1" customWidth="1"/>
    <col min="4613" max="4613" width="13.5703125" style="575" customWidth="1"/>
    <col min="4614" max="4614" width="11.42578125" style="575" bestFit="1" customWidth="1"/>
    <col min="4615" max="4615" width="11.28515625" style="575" customWidth="1"/>
    <col min="4616" max="4616" width="15.28515625" style="575" bestFit="1" customWidth="1"/>
    <col min="4617" max="4619" width="11.85546875" style="575" customWidth="1"/>
    <col min="4620" max="4620" width="19.140625" style="575" customWidth="1"/>
    <col min="4621" max="4621" width="15" style="575" customWidth="1"/>
    <col min="4622" max="4622" width="15.28515625" style="575" customWidth="1"/>
    <col min="4623" max="4625" width="18.85546875" style="575" customWidth="1"/>
    <col min="4626" max="4626" width="12.7109375" style="575" customWidth="1"/>
    <col min="4627" max="4627" width="13.7109375" style="575" customWidth="1"/>
    <col min="4628" max="4628" width="16.140625" style="575" customWidth="1"/>
    <col min="4629" max="4629" width="17" style="575" customWidth="1"/>
    <col min="4630" max="4630" width="15" style="575" customWidth="1"/>
    <col min="4631" max="4631" width="14.28515625" style="575" customWidth="1"/>
    <col min="4632" max="4632" width="14.85546875" style="575" customWidth="1"/>
    <col min="4633" max="4633" width="17.140625" style="575" customWidth="1"/>
    <col min="4634" max="4634" width="13.5703125" style="575" customWidth="1"/>
    <col min="4635" max="4636" width="14.85546875" style="575" customWidth="1"/>
    <col min="4637" max="4637" width="18.85546875" style="575" customWidth="1"/>
    <col min="4638" max="4638" width="19.42578125" style="575" customWidth="1"/>
    <col min="4639" max="4639" width="16.140625" style="575" customWidth="1"/>
    <col min="4640" max="4640" width="14.5703125" style="575" customWidth="1"/>
    <col min="4641" max="4641" width="20.28515625" style="575" customWidth="1"/>
    <col min="4642" max="4642" width="13.85546875" style="575" customWidth="1"/>
    <col min="4643" max="4643" width="19.140625" style="575" customWidth="1"/>
    <col min="4644" max="4644" width="19.7109375" style="575" customWidth="1"/>
    <col min="4645" max="4645" width="16.5703125" style="575" customWidth="1"/>
    <col min="4646" max="4646" width="19.140625" style="575" customWidth="1"/>
    <col min="4647" max="4649" width="16.5703125" style="575" customWidth="1"/>
    <col min="4650" max="4650" width="15.7109375" style="575" customWidth="1"/>
    <col min="4651" max="4651" width="19.42578125" style="575" customWidth="1"/>
    <col min="4652" max="4652" width="14.85546875" style="575" bestFit="1" customWidth="1"/>
    <col min="4653" max="4653" width="13.7109375" style="575" bestFit="1" customWidth="1"/>
    <col min="4654" max="4654" width="13" style="575" customWidth="1"/>
    <col min="4655" max="4655" width="18.42578125" style="575" customWidth="1"/>
    <col min="4656" max="4658" width="13.140625" style="575" customWidth="1"/>
    <col min="4659" max="4659" width="16.42578125" style="575" customWidth="1"/>
    <col min="4660" max="4660" width="13.140625" style="575" customWidth="1"/>
    <col min="4661" max="4661" width="15.28515625" style="575" customWidth="1"/>
    <col min="4662" max="4662" width="14" style="575" bestFit="1" customWidth="1"/>
    <col min="4663" max="4663" width="17.140625" style="575" customWidth="1"/>
    <col min="4664" max="4685" width="16.5703125" style="575" customWidth="1"/>
    <col min="4686" max="4686" width="20.140625" style="575" customWidth="1"/>
    <col min="4687" max="4687" width="13.28515625" style="575" customWidth="1"/>
    <col min="4688" max="4688" width="14.85546875" style="575" customWidth="1"/>
    <col min="4689" max="4689" width="13.85546875" style="575" customWidth="1"/>
    <col min="4690" max="4690" width="13.5703125" style="575" customWidth="1"/>
    <col min="4691" max="4691" width="13" style="575" customWidth="1"/>
    <col min="4692" max="4692" width="13.5703125" style="575" customWidth="1"/>
    <col min="4693" max="4693" width="7.7109375" style="575" bestFit="1" customWidth="1"/>
    <col min="4694" max="4863" width="9.140625" style="575"/>
    <col min="4864" max="4864" width="4.28515625" style="575" customWidth="1"/>
    <col min="4865" max="4865" width="10.140625" style="575" customWidth="1"/>
    <col min="4866" max="4866" width="8.85546875" style="575" customWidth="1"/>
    <col min="4867" max="4867" width="11.140625" style="575" customWidth="1"/>
    <col min="4868" max="4868" width="15" style="575" bestFit="1" customWidth="1"/>
    <col min="4869" max="4869" width="13.5703125" style="575" customWidth="1"/>
    <col min="4870" max="4870" width="11.42578125" style="575" bestFit="1" customWidth="1"/>
    <col min="4871" max="4871" width="11.28515625" style="575" customWidth="1"/>
    <col min="4872" max="4872" width="15.28515625" style="575" bestFit="1" customWidth="1"/>
    <col min="4873" max="4875" width="11.85546875" style="575" customWidth="1"/>
    <col min="4876" max="4876" width="19.140625" style="575" customWidth="1"/>
    <col min="4877" max="4877" width="15" style="575" customWidth="1"/>
    <col min="4878" max="4878" width="15.28515625" style="575" customWidth="1"/>
    <col min="4879" max="4881" width="18.85546875" style="575" customWidth="1"/>
    <col min="4882" max="4882" width="12.7109375" style="575" customWidth="1"/>
    <col min="4883" max="4883" width="13.7109375" style="575" customWidth="1"/>
    <col min="4884" max="4884" width="16.140625" style="575" customWidth="1"/>
    <col min="4885" max="4885" width="17" style="575" customWidth="1"/>
    <col min="4886" max="4886" width="15" style="575" customWidth="1"/>
    <col min="4887" max="4887" width="14.28515625" style="575" customWidth="1"/>
    <col min="4888" max="4888" width="14.85546875" style="575" customWidth="1"/>
    <col min="4889" max="4889" width="17.140625" style="575" customWidth="1"/>
    <col min="4890" max="4890" width="13.5703125" style="575" customWidth="1"/>
    <col min="4891" max="4892" width="14.85546875" style="575" customWidth="1"/>
    <col min="4893" max="4893" width="18.85546875" style="575" customWidth="1"/>
    <col min="4894" max="4894" width="19.42578125" style="575" customWidth="1"/>
    <col min="4895" max="4895" width="16.140625" style="575" customWidth="1"/>
    <col min="4896" max="4896" width="14.5703125" style="575" customWidth="1"/>
    <col min="4897" max="4897" width="20.28515625" style="575" customWidth="1"/>
    <col min="4898" max="4898" width="13.85546875" style="575" customWidth="1"/>
    <col min="4899" max="4899" width="19.140625" style="575" customWidth="1"/>
    <col min="4900" max="4900" width="19.7109375" style="575" customWidth="1"/>
    <col min="4901" max="4901" width="16.5703125" style="575" customWidth="1"/>
    <col min="4902" max="4902" width="19.140625" style="575" customWidth="1"/>
    <col min="4903" max="4905" width="16.5703125" style="575" customWidth="1"/>
    <col min="4906" max="4906" width="15.7109375" style="575" customWidth="1"/>
    <col min="4907" max="4907" width="19.42578125" style="575" customWidth="1"/>
    <col min="4908" max="4908" width="14.85546875" style="575" bestFit="1" customWidth="1"/>
    <col min="4909" max="4909" width="13.7109375" style="575" bestFit="1" customWidth="1"/>
    <col min="4910" max="4910" width="13" style="575" customWidth="1"/>
    <col min="4911" max="4911" width="18.42578125" style="575" customWidth="1"/>
    <col min="4912" max="4914" width="13.140625" style="575" customWidth="1"/>
    <col min="4915" max="4915" width="16.42578125" style="575" customWidth="1"/>
    <col min="4916" max="4916" width="13.140625" style="575" customWidth="1"/>
    <col min="4917" max="4917" width="15.28515625" style="575" customWidth="1"/>
    <col min="4918" max="4918" width="14" style="575" bestFit="1" customWidth="1"/>
    <col min="4919" max="4919" width="17.140625" style="575" customWidth="1"/>
    <col min="4920" max="4941" width="16.5703125" style="575" customWidth="1"/>
    <col min="4942" max="4942" width="20.140625" style="575" customWidth="1"/>
    <col min="4943" max="4943" width="13.28515625" style="575" customWidth="1"/>
    <col min="4944" max="4944" width="14.85546875" style="575" customWidth="1"/>
    <col min="4945" max="4945" width="13.85546875" style="575" customWidth="1"/>
    <col min="4946" max="4946" width="13.5703125" style="575" customWidth="1"/>
    <col min="4947" max="4947" width="13" style="575" customWidth="1"/>
    <col min="4948" max="4948" width="13.5703125" style="575" customWidth="1"/>
    <col min="4949" max="4949" width="7.7109375" style="575" bestFit="1" customWidth="1"/>
    <col min="4950" max="5119" width="9.140625" style="575"/>
    <col min="5120" max="5120" width="4.28515625" style="575" customWidth="1"/>
    <col min="5121" max="5121" width="10.140625" style="575" customWidth="1"/>
    <col min="5122" max="5122" width="8.85546875" style="575" customWidth="1"/>
    <col min="5123" max="5123" width="11.140625" style="575" customWidth="1"/>
    <col min="5124" max="5124" width="15" style="575" bestFit="1" customWidth="1"/>
    <col min="5125" max="5125" width="13.5703125" style="575" customWidth="1"/>
    <col min="5126" max="5126" width="11.42578125" style="575" bestFit="1" customWidth="1"/>
    <col min="5127" max="5127" width="11.28515625" style="575" customWidth="1"/>
    <col min="5128" max="5128" width="15.28515625" style="575" bestFit="1" customWidth="1"/>
    <col min="5129" max="5131" width="11.85546875" style="575" customWidth="1"/>
    <col min="5132" max="5132" width="19.140625" style="575" customWidth="1"/>
    <col min="5133" max="5133" width="15" style="575" customWidth="1"/>
    <col min="5134" max="5134" width="15.28515625" style="575" customWidth="1"/>
    <col min="5135" max="5137" width="18.85546875" style="575" customWidth="1"/>
    <col min="5138" max="5138" width="12.7109375" style="575" customWidth="1"/>
    <col min="5139" max="5139" width="13.7109375" style="575" customWidth="1"/>
    <col min="5140" max="5140" width="16.140625" style="575" customWidth="1"/>
    <col min="5141" max="5141" width="17" style="575" customWidth="1"/>
    <col min="5142" max="5142" width="15" style="575" customWidth="1"/>
    <col min="5143" max="5143" width="14.28515625" style="575" customWidth="1"/>
    <col min="5144" max="5144" width="14.85546875" style="575" customWidth="1"/>
    <col min="5145" max="5145" width="17.140625" style="575" customWidth="1"/>
    <col min="5146" max="5146" width="13.5703125" style="575" customWidth="1"/>
    <col min="5147" max="5148" width="14.85546875" style="575" customWidth="1"/>
    <col min="5149" max="5149" width="18.85546875" style="575" customWidth="1"/>
    <col min="5150" max="5150" width="19.42578125" style="575" customWidth="1"/>
    <col min="5151" max="5151" width="16.140625" style="575" customWidth="1"/>
    <col min="5152" max="5152" width="14.5703125" style="575" customWidth="1"/>
    <col min="5153" max="5153" width="20.28515625" style="575" customWidth="1"/>
    <col min="5154" max="5154" width="13.85546875" style="575" customWidth="1"/>
    <col min="5155" max="5155" width="19.140625" style="575" customWidth="1"/>
    <col min="5156" max="5156" width="19.7109375" style="575" customWidth="1"/>
    <col min="5157" max="5157" width="16.5703125" style="575" customWidth="1"/>
    <col min="5158" max="5158" width="19.140625" style="575" customWidth="1"/>
    <col min="5159" max="5161" width="16.5703125" style="575" customWidth="1"/>
    <col min="5162" max="5162" width="15.7109375" style="575" customWidth="1"/>
    <col min="5163" max="5163" width="19.42578125" style="575" customWidth="1"/>
    <col min="5164" max="5164" width="14.85546875" style="575" bestFit="1" customWidth="1"/>
    <col min="5165" max="5165" width="13.7109375" style="575" bestFit="1" customWidth="1"/>
    <col min="5166" max="5166" width="13" style="575" customWidth="1"/>
    <col min="5167" max="5167" width="18.42578125" style="575" customWidth="1"/>
    <col min="5168" max="5170" width="13.140625" style="575" customWidth="1"/>
    <col min="5171" max="5171" width="16.42578125" style="575" customWidth="1"/>
    <col min="5172" max="5172" width="13.140625" style="575" customWidth="1"/>
    <col min="5173" max="5173" width="15.28515625" style="575" customWidth="1"/>
    <col min="5174" max="5174" width="14" style="575" bestFit="1" customWidth="1"/>
    <col min="5175" max="5175" width="17.140625" style="575" customWidth="1"/>
    <col min="5176" max="5197" width="16.5703125" style="575" customWidth="1"/>
    <col min="5198" max="5198" width="20.140625" style="575" customWidth="1"/>
    <col min="5199" max="5199" width="13.28515625" style="575" customWidth="1"/>
    <col min="5200" max="5200" width="14.85546875" style="575" customWidth="1"/>
    <col min="5201" max="5201" width="13.85546875" style="575" customWidth="1"/>
    <col min="5202" max="5202" width="13.5703125" style="575" customWidth="1"/>
    <col min="5203" max="5203" width="13" style="575" customWidth="1"/>
    <col min="5204" max="5204" width="13.5703125" style="575" customWidth="1"/>
    <col min="5205" max="5205" width="7.7109375" style="575" bestFit="1" customWidth="1"/>
    <col min="5206" max="5375" width="9.140625" style="575"/>
    <col min="5376" max="5376" width="4.28515625" style="575" customWidth="1"/>
    <col min="5377" max="5377" width="10.140625" style="575" customWidth="1"/>
    <col min="5378" max="5378" width="8.85546875" style="575" customWidth="1"/>
    <col min="5379" max="5379" width="11.140625" style="575" customWidth="1"/>
    <col min="5380" max="5380" width="15" style="575" bestFit="1" customWidth="1"/>
    <col min="5381" max="5381" width="13.5703125" style="575" customWidth="1"/>
    <col min="5382" max="5382" width="11.42578125" style="575" bestFit="1" customWidth="1"/>
    <col min="5383" max="5383" width="11.28515625" style="575" customWidth="1"/>
    <col min="5384" max="5384" width="15.28515625" style="575" bestFit="1" customWidth="1"/>
    <col min="5385" max="5387" width="11.85546875" style="575" customWidth="1"/>
    <col min="5388" max="5388" width="19.140625" style="575" customWidth="1"/>
    <col min="5389" max="5389" width="15" style="575" customWidth="1"/>
    <col min="5390" max="5390" width="15.28515625" style="575" customWidth="1"/>
    <col min="5391" max="5393" width="18.85546875" style="575" customWidth="1"/>
    <col min="5394" max="5394" width="12.7109375" style="575" customWidth="1"/>
    <col min="5395" max="5395" width="13.7109375" style="575" customWidth="1"/>
    <col min="5396" max="5396" width="16.140625" style="575" customWidth="1"/>
    <col min="5397" max="5397" width="17" style="575" customWidth="1"/>
    <col min="5398" max="5398" width="15" style="575" customWidth="1"/>
    <col min="5399" max="5399" width="14.28515625" style="575" customWidth="1"/>
    <col min="5400" max="5400" width="14.85546875" style="575" customWidth="1"/>
    <col min="5401" max="5401" width="17.140625" style="575" customWidth="1"/>
    <col min="5402" max="5402" width="13.5703125" style="575" customWidth="1"/>
    <col min="5403" max="5404" width="14.85546875" style="575" customWidth="1"/>
    <col min="5405" max="5405" width="18.85546875" style="575" customWidth="1"/>
    <col min="5406" max="5406" width="19.42578125" style="575" customWidth="1"/>
    <col min="5407" max="5407" width="16.140625" style="575" customWidth="1"/>
    <col min="5408" max="5408" width="14.5703125" style="575" customWidth="1"/>
    <col min="5409" max="5409" width="20.28515625" style="575" customWidth="1"/>
    <col min="5410" max="5410" width="13.85546875" style="575" customWidth="1"/>
    <col min="5411" max="5411" width="19.140625" style="575" customWidth="1"/>
    <col min="5412" max="5412" width="19.7109375" style="575" customWidth="1"/>
    <col min="5413" max="5413" width="16.5703125" style="575" customWidth="1"/>
    <col min="5414" max="5414" width="19.140625" style="575" customWidth="1"/>
    <col min="5415" max="5417" width="16.5703125" style="575" customWidth="1"/>
    <col min="5418" max="5418" width="15.7109375" style="575" customWidth="1"/>
    <col min="5419" max="5419" width="19.42578125" style="575" customWidth="1"/>
    <col min="5420" max="5420" width="14.85546875" style="575" bestFit="1" customWidth="1"/>
    <col min="5421" max="5421" width="13.7109375" style="575" bestFit="1" customWidth="1"/>
    <col min="5422" max="5422" width="13" style="575" customWidth="1"/>
    <col min="5423" max="5423" width="18.42578125" style="575" customWidth="1"/>
    <col min="5424" max="5426" width="13.140625" style="575" customWidth="1"/>
    <col min="5427" max="5427" width="16.42578125" style="575" customWidth="1"/>
    <col min="5428" max="5428" width="13.140625" style="575" customWidth="1"/>
    <col min="5429" max="5429" width="15.28515625" style="575" customWidth="1"/>
    <col min="5430" max="5430" width="14" style="575" bestFit="1" customWidth="1"/>
    <col min="5431" max="5431" width="17.140625" style="575" customWidth="1"/>
    <col min="5432" max="5453" width="16.5703125" style="575" customWidth="1"/>
    <col min="5454" max="5454" width="20.140625" style="575" customWidth="1"/>
    <col min="5455" max="5455" width="13.28515625" style="575" customWidth="1"/>
    <col min="5456" max="5456" width="14.85546875" style="575" customWidth="1"/>
    <col min="5457" max="5457" width="13.85546875" style="575" customWidth="1"/>
    <col min="5458" max="5458" width="13.5703125" style="575" customWidth="1"/>
    <col min="5459" max="5459" width="13" style="575" customWidth="1"/>
    <col min="5460" max="5460" width="13.5703125" style="575" customWidth="1"/>
    <col min="5461" max="5461" width="7.7109375" style="575" bestFit="1" customWidth="1"/>
    <col min="5462" max="5631" width="9.140625" style="575"/>
    <col min="5632" max="5632" width="4.28515625" style="575" customWidth="1"/>
    <col min="5633" max="5633" width="10.140625" style="575" customWidth="1"/>
    <col min="5634" max="5634" width="8.85546875" style="575" customWidth="1"/>
    <col min="5635" max="5635" width="11.140625" style="575" customWidth="1"/>
    <col min="5636" max="5636" width="15" style="575" bestFit="1" customWidth="1"/>
    <col min="5637" max="5637" width="13.5703125" style="575" customWidth="1"/>
    <col min="5638" max="5638" width="11.42578125" style="575" bestFit="1" customWidth="1"/>
    <col min="5639" max="5639" width="11.28515625" style="575" customWidth="1"/>
    <col min="5640" max="5640" width="15.28515625" style="575" bestFit="1" customWidth="1"/>
    <col min="5641" max="5643" width="11.85546875" style="575" customWidth="1"/>
    <col min="5644" max="5644" width="19.140625" style="575" customWidth="1"/>
    <col min="5645" max="5645" width="15" style="575" customWidth="1"/>
    <col min="5646" max="5646" width="15.28515625" style="575" customWidth="1"/>
    <col min="5647" max="5649" width="18.85546875" style="575" customWidth="1"/>
    <col min="5650" max="5650" width="12.7109375" style="575" customWidth="1"/>
    <col min="5651" max="5651" width="13.7109375" style="575" customWidth="1"/>
    <col min="5652" max="5652" width="16.140625" style="575" customWidth="1"/>
    <col min="5653" max="5653" width="17" style="575" customWidth="1"/>
    <col min="5654" max="5654" width="15" style="575" customWidth="1"/>
    <col min="5655" max="5655" width="14.28515625" style="575" customWidth="1"/>
    <col min="5656" max="5656" width="14.85546875" style="575" customWidth="1"/>
    <col min="5657" max="5657" width="17.140625" style="575" customWidth="1"/>
    <col min="5658" max="5658" width="13.5703125" style="575" customWidth="1"/>
    <col min="5659" max="5660" width="14.85546875" style="575" customWidth="1"/>
    <col min="5661" max="5661" width="18.85546875" style="575" customWidth="1"/>
    <col min="5662" max="5662" width="19.42578125" style="575" customWidth="1"/>
    <col min="5663" max="5663" width="16.140625" style="575" customWidth="1"/>
    <col min="5664" max="5664" width="14.5703125" style="575" customWidth="1"/>
    <col min="5665" max="5665" width="20.28515625" style="575" customWidth="1"/>
    <col min="5666" max="5666" width="13.85546875" style="575" customWidth="1"/>
    <col min="5667" max="5667" width="19.140625" style="575" customWidth="1"/>
    <col min="5668" max="5668" width="19.7109375" style="575" customWidth="1"/>
    <col min="5669" max="5669" width="16.5703125" style="575" customWidth="1"/>
    <col min="5670" max="5670" width="19.140625" style="575" customWidth="1"/>
    <col min="5671" max="5673" width="16.5703125" style="575" customWidth="1"/>
    <col min="5674" max="5674" width="15.7109375" style="575" customWidth="1"/>
    <col min="5675" max="5675" width="19.42578125" style="575" customWidth="1"/>
    <col min="5676" max="5676" width="14.85546875" style="575" bestFit="1" customWidth="1"/>
    <col min="5677" max="5677" width="13.7109375" style="575" bestFit="1" customWidth="1"/>
    <col min="5678" max="5678" width="13" style="575" customWidth="1"/>
    <col min="5679" max="5679" width="18.42578125" style="575" customWidth="1"/>
    <col min="5680" max="5682" width="13.140625" style="575" customWidth="1"/>
    <col min="5683" max="5683" width="16.42578125" style="575" customWidth="1"/>
    <col min="5684" max="5684" width="13.140625" style="575" customWidth="1"/>
    <col min="5685" max="5685" width="15.28515625" style="575" customWidth="1"/>
    <col min="5686" max="5686" width="14" style="575" bestFit="1" customWidth="1"/>
    <col min="5687" max="5687" width="17.140625" style="575" customWidth="1"/>
    <col min="5688" max="5709" width="16.5703125" style="575" customWidth="1"/>
    <col min="5710" max="5710" width="20.140625" style="575" customWidth="1"/>
    <col min="5711" max="5711" width="13.28515625" style="575" customWidth="1"/>
    <col min="5712" max="5712" width="14.85546875" style="575" customWidth="1"/>
    <col min="5713" max="5713" width="13.85546875" style="575" customWidth="1"/>
    <col min="5714" max="5714" width="13.5703125" style="575" customWidth="1"/>
    <col min="5715" max="5715" width="13" style="575" customWidth="1"/>
    <col min="5716" max="5716" width="13.5703125" style="575" customWidth="1"/>
    <col min="5717" max="5717" width="7.7109375" style="575" bestFit="1" customWidth="1"/>
    <col min="5718" max="5887" width="9.140625" style="575"/>
    <col min="5888" max="5888" width="4.28515625" style="575" customWidth="1"/>
    <col min="5889" max="5889" width="10.140625" style="575" customWidth="1"/>
    <col min="5890" max="5890" width="8.85546875" style="575" customWidth="1"/>
    <col min="5891" max="5891" width="11.140625" style="575" customWidth="1"/>
    <col min="5892" max="5892" width="15" style="575" bestFit="1" customWidth="1"/>
    <col min="5893" max="5893" width="13.5703125" style="575" customWidth="1"/>
    <col min="5894" max="5894" width="11.42578125" style="575" bestFit="1" customWidth="1"/>
    <col min="5895" max="5895" width="11.28515625" style="575" customWidth="1"/>
    <col min="5896" max="5896" width="15.28515625" style="575" bestFit="1" customWidth="1"/>
    <col min="5897" max="5899" width="11.85546875" style="575" customWidth="1"/>
    <col min="5900" max="5900" width="19.140625" style="575" customWidth="1"/>
    <col min="5901" max="5901" width="15" style="575" customWidth="1"/>
    <col min="5902" max="5902" width="15.28515625" style="575" customWidth="1"/>
    <col min="5903" max="5905" width="18.85546875" style="575" customWidth="1"/>
    <col min="5906" max="5906" width="12.7109375" style="575" customWidth="1"/>
    <col min="5907" max="5907" width="13.7109375" style="575" customWidth="1"/>
    <col min="5908" max="5908" width="16.140625" style="575" customWidth="1"/>
    <col min="5909" max="5909" width="17" style="575" customWidth="1"/>
    <col min="5910" max="5910" width="15" style="575" customWidth="1"/>
    <col min="5911" max="5911" width="14.28515625" style="575" customWidth="1"/>
    <col min="5912" max="5912" width="14.85546875" style="575" customWidth="1"/>
    <col min="5913" max="5913" width="17.140625" style="575" customWidth="1"/>
    <col min="5914" max="5914" width="13.5703125" style="575" customWidth="1"/>
    <col min="5915" max="5916" width="14.85546875" style="575" customWidth="1"/>
    <col min="5917" max="5917" width="18.85546875" style="575" customWidth="1"/>
    <col min="5918" max="5918" width="19.42578125" style="575" customWidth="1"/>
    <col min="5919" max="5919" width="16.140625" style="575" customWidth="1"/>
    <col min="5920" max="5920" width="14.5703125" style="575" customWidth="1"/>
    <col min="5921" max="5921" width="20.28515625" style="575" customWidth="1"/>
    <col min="5922" max="5922" width="13.85546875" style="575" customWidth="1"/>
    <col min="5923" max="5923" width="19.140625" style="575" customWidth="1"/>
    <col min="5924" max="5924" width="19.7109375" style="575" customWidth="1"/>
    <col min="5925" max="5925" width="16.5703125" style="575" customWidth="1"/>
    <col min="5926" max="5926" width="19.140625" style="575" customWidth="1"/>
    <col min="5927" max="5929" width="16.5703125" style="575" customWidth="1"/>
    <col min="5930" max="5930" width="15.7109375" style="575" customWidth="1"/>
    <col min="5931" max="5931" width="19.42578125" style="575" customWidth="1"/>
    <col min="5932" max="5932" width="14.85546875" style="575" bestFit="1" customWidth="1"/>
    <col min="5933" max="5933" width="13.7109375" style="575" bestFit="1" customWidth="1"/>
    <col min="5934" max="5934" width="13" style="575" customWidth="1"/>
    <col min="5935" max="5935" width="18.42578125" style="575" customWidth="1"/>
    <col min="5936" max="5938" width="13.140625" style="575" customWidth="1"/>
    <col min="5939" max="5939" width="16.42578125" style="575" customWidth="1"/>
    <col min="5940" max="5940" width="13.140625" style="575" customWidth="1"/>
    <col min="5941" max="5941" width="15.28515625" style="575" customWidth="1"/>
    <col min="5942" max="5942" width="14" style="575" bestFit="1" customWidth="1"/>
    <col min="5943" max="5943" width="17.140625" style="575" customWidth="1"/>
    <col min="5944" max="5965" width="16.5703125" style="575" customWidth="1"/>
    <col min="5966" max="5966" width="20.140625" style="575" customWidth="1"/>
    <col min="5967" max="5967" width="13.28515625" style="575" customWidth="1"/>
    <col min="5968" max="5968" width="14.85546875" style="575" customWidth="1"/>
    <col min="5969" max="5969" width="13.85546875" style="575" customWidth="1"/>
    <col min="5970" max="5970" width="13.5703125" style="575" customWidth="1"/>
    <col min="5971" max="5971" width="13" style="575" customWidth="1"/>
    <col min="5972" max="5972" width="13.5703125" style="575" customWidth="1"/>
    <col min="5973" max="5973" width="7.7109375" style="575" bestFit="1" customWidth="1"/>
    <col min="5974" max="6143" width="9.140625" style="575"/>
    <col min="6144" max="6144" width="4.28515625" style="575" customWidth="1"/>
    <col min="6145" max="6145" width="10.140625" style="575" customWidth="1"/>
    <col min="6146" max="6146" width="8.85546875" style="575" customWidth="1"/>
    <col min="6147" max="6147" width="11.140625" style="575" customWidth="1"/>
    <col min="6148" max="6148" width="15" style="575" bestFit="1" customWidth="1"/>
    <col min="6149" max="6149" width="13.5703125" style="575" customWidth="1"/>
    <col min="6150" max="6150" width="11.42578125" style="575" bestFit="1" customWidth="1"/>
    <col min="6151" max="6151" width="11.28515625" style="575" customWidth="1"/>
    <col min="6152" max="6152" width="15.28515625" style="575" bestFit="1" customWidth="1"/>
    <col min="6153" max="6155" width="11.85546875" style="575" customWidth="1"/>
    <col min="6156" max="6156" width="19.140625" style="575" customWidth="1"/>
    <col min="6157" max="6157" width="15" style="575" customWidth="1"/>
    <col min="6158" max="6158" width="15.28515625" style="575" customWidth="1"/>
    <col min="6159" max="6161" width="18.85546875" style="575" customWidth="1"/>
    <col min="6162" max="6162" width="12.7109375" style="575" customWidth="1"/>
    <col min="6163" max="6163" width="13.7109375" style="575" customWidth="1"/>
    <col min="6164" max="6164" width="16.140625" style="575" customWidth="1"/>
    <col min="6165" max="6165" width="17" style="575" customWidth="1"/>
    <col min="6166" max="6166" width="15" style="575" customWidth="1"/>
    <col min="6167" max="6167" width="14.28515625" style="575" customWidth="1"/>
    <col min="6168" max="6168" width="14.85546875" style="575" customWidth="1"/>
    <col min="6169" max="6169" width="17.140625" style="575" customWidth="1"/>
    <col min="6170" max="6170" width="13.5703125" style="575" customWidth="1"/>
    <col min="6171" max="6172" width="14.85546875" style="575" customWidth="1"/>
    <col min="6173" max="6173" width="18.85546875" style="575" customWidth="1"/>
    <col min="6174" max="6174" width="19.42578125" style="575" customWidth="1"/>
    <col min="6175" max="6175" width="16.140625" style="575" customWidth="1"/>
    <col min="6176" max="6176" width="14.5703125" style="575" customWidth="1"/>
    <col min="6177" max="6177" width="20.28515625" style="575" customWidth="1"/>
    <col min="6178" max="6178" width="13.85546875" style="575" customWidth="1"/>
    <col min="6179" max="6179" width="19.140625" style="575" customWidth="1"/>
    <col min="6180" max="6180" width="19.7109375" style="575" customWidth="1"/>
    <col min="6181" max="6181" width="16.5703125" style="575" customWidth="1"/>
    <col min="6182" max="6182" width="19.140625" style="575" customWidth="1"/>
    <col min="6183" max="6185" width="16.5703125" style="575" customWidth="1"/>
    <col min="6186" max="6186" width="15.7109375" style="575" customWidth="1"/>
    <col min="6187" max="6187" width="19.42578125" style="575" customWidth="1"/>
    <col min="6188" max="6188" width="14.85546875" style="575" bestFit="1" customWidth="1"/>
    <col min="6189" max="6189" width="13.7109375" style="575" bestFit="1" customWidth="1"/>
    <col min="6190" max="6190" width="13" style="575" customWidth="1"/>
    <col min="6191" max="6191" width="18.42578125" style="575" customWidth="1"/>
    <col min="6192" max="6194" width="13.140625" style="575" customWidth="1"/>
    <col min="6195" max="6195" width="16.42578125" style="575" customWidth="1"/>
    <col min="6196" max="6196" width="13.140625" style="575" customWidth="1"/>
    <col min="6197" max="6197" width="15.28515625" style="575" customWidth="1"/>
    <col min="6198" max="6198" width="14" style="575" bestFit="1" customWidth="1"/>
    <col min="6199" max="6199" width="17.140625" style="575" customWidth="1"/>
    <col min="6200" max="6221" width="16.5703125" style="575" customWidth="1"/>
    <col min="6222" max="6222" width="20.140625" style="575" customWidth="1"/>
    <col min="6223" max="6223" width="13.28515625" style="575" customWidth="1"/>
    <col min="6224" max="6224" width="14.85546875" style="575" customWidth="1"/>
    <col min="6225" max="6225" width="13.85546875" style="575" customWidth="1"/>
    <col min="6226" max="6226" width="13.5703125" style="575" customWidth="1"/>
    <col min="6227" max="6227" width="13" style="575" customWidth="1"/>
    <col min="6228" max="6228" width="13.5703125" style="575" customWidth="1"/>
    <col min="6229" max="6229" width="7.7109375" style="575" bestFit="1" customWidth="1"/>
    <col min="6230" max="6399" width="9.140625" style="575"/>
    <col min="6400" max="6400" width="4.28515625" style="575" customWidth="1"/>
    <col min="6401" max="6401" width="10.140625" style="575" customWidth="1"/>
    <col min="6402" max="6402" width="8.85546875" style="575" customWidth="1"/>
    <col min="6403" max="6403" width="11.140625" style="575" customWidth="1"/>
    <col min="6404" max="6404" width="15" style="575" bestFit="1" customWidth="1"/>
    <col min="6405" max="6405" width="13.5703125" style="575" customWidth="1"/>
    <col min="6406" max="6406" width="11.42578125" style="575" bestFit="1" customWidth="1"/>
    <col min="6407" max="6407" width="11.28515625" style="575" customWidth="1"/>
    <col min="6408" max="6408" width="15.28515625" style="575" bestFit="1" customWidth="1"/>
    <col min="6409" max="6411" width="11.85546875" style="575" customWidth="1"/>
    <col min="6412" max="6412" width="19.140625" style="575" customWidth="1"/>
    <col min="6413" max="6413" width="15" style="575" customWidth="1"/>
    <col min="6414" max="6414" width="15.28515625" style="575" customWidth="1"/>
    <col min="6415" max="6417" width="18.85546875" style="575" customWidth="1"/>
    <col min="6418" max="6418" width="12.7109375" style="575" customWidth="1"/>
    <col min="6419" max="6419" width="13.7109375" style="575" customWidth="1"/>
    <col min="6420" max="6420" width="16.140625" style="575" customWidth="1"/>
    <col min="6421" max="6421" width="17" style="575" customWidth="1"/>
    <col min="6422" max="6422" width="15" style="575" customWidth="1"/>
    <col min="6423" max="6423" width="14.28515625" style="575" customWidth="1"/>
    <col min="6424" max="6424" width="14.85546875" style="575" customWidth="1"/>
    <col min="6425" max="6425" width="17.140625" style="575" customWidth="1"/>
    <col min="6426" max="6426" width="13.5703125" style="575" customWidth="1"/>
    <col min="6427" max="6428" width="14.85546875" style="575" customWidth="1"/>
    <col min="6429" max="6429" width="18.85546875" style="575" customWidth="1"/>
    <col min="6430" max="6430" width="19.42578125" style="575" customWidth="1"/>
    <col min="6431" max="6431" width="16.140625" style="575" customWidth="1"/>
    <col min="6432" max="6432" width="14.5703125" style="575" customWidth="1"/>
    <col min="6433" max="6433" width="20.28515625" style="575" customWidth="1"/>
    <col min="6434" max="6434" width="13.85546875" style="575" customWidth="1"/>
    <col min="6435" max="6435" width="19.140625" style="575" customWidth="1"/>
    <col min="6436" max="6436" width="19.7109375" style="575" customWidth="1"/>
    <col min="6437" max="6437" width="16.5703125" style="575" customWidth="1"/>
    <col min="6438" max="6438" width="19.140625" style="575" customWidth="1"/>
    <col min="6439" max="6441" width="16.5703125" style="575" customWidth="1"/>
    <col min="6442" max="6442" width="15.7109375" style="575" customWidth="1"/>
    <col min="6443" max="6443" width="19.42578125" style="575" customWidth="1"/>
    <col min="6444" max="6444" width="14.85546875" style="575" bestFit="1" customWidth="1"/>
    <col min="6445" max="6445" width="13.7109375" style="575" bestFit="1" customWidth="1"/>
    <col min="6446" max="6446" width="13" style="575" customWidth="1"/>
    <col min="6447" max="6447" width="18.42578125" style="575" customWidth="1"/>
    <col min="6448" max="6450" width="13.140625" style="575" customWidth="1"/>
    <col min="6451" max="6451" width="16.42578125" style="575" customWidth="1"/>
    <col min="6452" max="6452" width="13.140625" style="575" customWidth="1"/>
    <col min="6453" max="6453" width="15.28515625" style="575" customWidth="1"/>
    <col min="6454" max="6454" width="14" style="575" bestFit="1" customWidth="1"/>
    <col min="6455" max="6455" width="17.140625" style="575" customWidth="1"/>
    <col min="6456" max="6477" width="16.5703125" style="575" customWidth="1"/>
    <col min="6478" max="6478" width="20.140625" style="575" customWidth="1"/>
    <col min="6479" max="6479" width="13.28515625" style="575" customWidth="1"/>
    <col min="6480" max="6480" width="14.85546875" style="575" customWidth="1"/>
    <col min="6481" max="6481" width="13.85546875" style="575" customWidth="1"/>
    <col min="6482" max="6482" width="13.5703125" style="575" customWidth="1"/>
    <col min="6483" max="6483" width="13" style="575" customWidth="1"/>
    <col min="6484" max="6484" width="13.5703125" style="575" customWidth="1"/>
    <col min="6485" max="6485" width="7.7109375" style="575" bestFit="1" customWidth="1"/>
    <col min="6486" max="6655" width="9.140625" style="575"/>
    <col min="6656" max="6656" width="4.28515625" style="575" customWidth="1"/>
    <col min="6657" max="6657" width="10.140625" style="575" customWidth="1"/>
    <col min="6658" max="6658" width="8.85546875" style="575" customWidth="1"/>
    <col min="6659" max="6659" width="11.140625" style="575" customWidth="1"/>
    <col min="6660" max="6660" width="15" style="575" bestFit="1" customWidth="1"/>
    <col min="6661" max="6661" width="13.5703125" style="575" customWidth="1"/>
    <col min="6662" max="6662" width="11.42578125" style="575" bestFit="1" customWidth="1"/>
    <col min="6663" max="6663" width="11.28515625" style="575" customWidth="1"/>
    <col min="6664" max="6664" width="15.28515625" style="575" bestFit="1" customWidth="1"/>
    <col min="6665" max="6667" width="11.85546875" style="575" customWidth="1"/>
    <col min="6668" max="6668" width="19.140625" style="575" customWidth="1"/>
    <col min="6669" max="6669" width="15" style="575" customWidth="1"/>
    <col min="6670" max="6670" width="15.28515625" style="575" customWidth="1"/>
    <col min="6671" max="6673" width="18.85546875" style="575" customWidth="1"/>
    <col min="6674" max="6674" width="12.7109375" style="575" customWidth="1"/>
    <col min="6675" max="6675" width="13.7109375" style="575" customWidth="1"/>
    <col min="6676" max="6676" width="16.140625" style="575" customWidth="1"/>
    <col min="6677" max="6677" width="17" style="575" customWidth="1"/>
    <col min="6678" max="6678" width="15" style="575" customWidth="1"/>
    <col min="6679" max="6679" width="14.28515625" style="575" customWidth="1"/>
    <col min="6680" max="6680" width="14.85546875" style="575" customWidth="1"/>
    <col min="6681" max="6681" width="17.140625" style="575" customWidth="1"/>
    <col min="6682" max="6682" width="13.5703125" style="575" customWidth="1"/>
    <col min="6683" max="6684" width="14.85546875" style="575" customWidth="1"/>
    <col min="6685" max="6685" width="18.85546875" style="575" customWidth="1"/>
    <col min="6686" max="6686" width="19.42578125" style="575" customWidth="1"/>
    <col min="6687" max="6687" width="16.140625" style="575" customWidth="1"/>
    <col min="6688" max="6688" width="14.5703125" style="575" customWidth="1"/>
    <col min="6689" max="6689" width="20.28515625" style="575" customWidth="1"/>
    <col min="6690" max="6690" width="13.85546875" style="575" customWidth="1"/>
    <col min="6691" max="6691" width="19.140625" style="575" customWidth="1"/>
    <col min="6692" max="6692" width="19.7109375" style="575" customWidth="1"/>
    <col min="6693" max="6693" width="16.5703125" style="575" customWidth="1"/>
    <col min="6694" max="6694" width="19.140625" style="575" customWidth="1"/>
    <col min="6695" max="6697" width="16.5703125" style="575" customWidth="1"/>
    <col min="6698" max="6698" width="15.7109375" style="575" customWidth="1"/>
    <col min="6699" max="6699" width="19.42578125" style="575" customWidth="1"/>
    <col min="6700" max="6700" width="14.85546875" style="575" bestFit="1" customWidth="1"/>
    <col min="6701" max="6701" width="13.7109375" style="575" bestFit="1" customWidth="1"/>
    <col min="6702" max="6702" width="13" style="575" customWidth="1"/>
    <col min="6703" max="6703" width="18.42578125" style="575" customWidth="1"/>
    <col min="6704" max="6706" width="13.140625" style="575" customWidth="1"/>
    <col min="6707" max="6707" width="16.42578125" style="575" customWidth="1"/>
    <col min="6708" max="6708" width="13.140625" style="575" customWidth="1"/>
    <col min="6709" max="6709" width="15.28515625" style="575" customWidth="1"/>
    <col min="6710" max="6710" width="14" style="575" bestFit="1" customWidth="1"/>
    <col min="6711" max="6711" width="17.140625" style="575" customWidth="1"/>
    <col min="6712" max="6733" width="16.5703125" style="575" customWidth="1"/>
    <col min="6734" max="6734" width="20.140625" style="575" customWidth="1"/>
    <col min="6735" max="6735" width="13.28515625" style="575" customWidth="1"/>
    <col min="6736" max="6736" width="14.85546875" style="575" customWidth="1"/>
    <col min="6737" max="6737" width="13.85546875" style="575" customWidth="1"/>
    <col min="6738" max="6738" width="13.5703125" style="575" customWidth="1"/>
    <col min="6739" max="6739" width="13" style="575" customWidth="1"/>
    <col min="6740" max="6740" width="13.5703125" style="575" customWidth="1"/>
    <col min="6741" max="6741" width="7.7109375" style="575" bestFit="1" customWidth="1"/>
    <col min="6742" max="6911" width="9.140625" style="575"/>
    <col min="6912" max="6912" width="4.28515625" style="575" customWidth="1"/>
    <col min="6913" max="6913" width="10.140625" style="575" customWidth="1"/>
    <col min="6914" max="6914" width="8.85546875" style="575" customWidth="1"/>
    <col min="6915" max="6915" width="11.140625" style="575" customWidth="1"/>
    <col min="6916" max="6916" width="15" style="575" bestFit="1" customWidth="1"/>
    <col min="6917" max="6917" width="13.5703125" style="575" customWidth="1"/>
    <col min="6918" max="6918" width="11.42578125" style="575" bestFit="1" customWidth="1"/>
    <col min="6919" max="6919" width="11.28515625" style="575" customWidth="1"/>
    <col min="6920" max="6920" width="15.28515625" style="575" bestFit="1" customWidth="1"/>
    <col min="6921" max="6923" width="11.85546875" style="575" customWidth="1"/>
    <col min="6924" max="6924" width="19.140625" style="575" customWidth="1"/>
    <col min="6925" max="6925" width="15" style="575" customWidth="1"/>
    <col min="6926" max="6926" width="15.28515625" style="575" customWidth="1"/>
    <col min="6927" max="6929" width="18.85546875" style="575" customWidth="1"/>
    <col min="6930" max="6930" width="12.7109375" style="575" customWidth="1"/>
    <col min="6931" max="6931" width="13.7109375" style="575" customWidth="1"/>
    <col min="6932" max="6932" width="16.140625" style="575" customWidth="1"/>
    <col min="6933" max="6933" width="17" style="575" customWidth="1"/>
    <col min="6934" max="6934" width="15" style="575" customWidth="1"/>
    <col min="6935" max="6935" width="14.28515625" style="575" customWidth="1"/>
    <col min="6936" max="6936" width="14.85546875" style="575" customWidth="1"/>
    <col min="6937" max="6937" width="17.140625" style="575" customWidth="1"/>
    <col min="6938" max="6938" width="13.5703125" style="575" customWidth="1"/>
    <col min="6939" max="6940" width="14.85546875" style="575" customWidth="1"/>
    <col min="6941" max="6941" width="18.85546875" style="575" customWidth="1"/>
    <col min="6942" max="6942" width="19.42578125" style="575" customWidth="1"/>
    <col min="6943" max="6943" width="16.140625" style="575" customWidth="1"/>
    <col min="6944" max="6944" width="14.5703125" style="575" customWidth="1"/>
    <col min="6945" max="6945" width="20.28515625" style="575" customWidth="1"/>
    <col min="6946" max="6946" width="13.85546875" style="575" customWidth="1"/>
    <col min="6947" max="6947" width="19.140625" style="575" customWidth="1"/>
    <col min="6948" max="6948" width="19.7109375" style="575" customWidth="1"/>
    <col min="6949" max="6949" width="16.5703125" style="575" customWidth="1"/>
    <col min="6950" max="6950" width="19.140625" style="575" customWidth="1"/>
    <col min="6951" max="6953" width="16.5703125" style="575" customWidth="1"/>
    <col min="6954" max="6954" width="15.7109375" style="575" customWidth="1"/>
    <col min="6955" max="6955" width="19.42578125" style="575" customWidth="1"/>
    <col min="6956" max="6956" width="14.85546875" style="575" bestFit="1" customWidth="1"/>
    <col min="6957" max="6957" width="13.7109375" style="575" bestFit="1" customWidth="1"/>
    <col min="6958" max="6958" width="13" style="575" customWidth="1"/>
    <col min="6959" max="6959" width="18.42578125" style="575" customWidth="1"/>
    <col min="6960" max="6962" width="13.140625" style="575" customWidth="1"/>
    <col min="6963" max="6963" width="16.42578125" style="575" customWidth="1"/>
    <col min="6964" max="6964" width="13.140625" style="575" customWidth="1"/>
    <col min="6965" max="6965" width="15.28515625" style="575" customWidth="1"/>
    <col min="6966" max="6966" width="14" style="575" bestFit="1" customWidth="1"/>
    <col min="6967" max="6967" width="17.140625" style="575" customWidth="1"/>
    <col min="6968" max="6989" width="16.5703125" style="575" customWidth="1"/>
    <col min="6990" max="6990" width="20.140625" style="575" customWidth="1"/>
    <col min="6991" max="6991" width="13.28515625" style="575" customWidth="1"/>
    <col min="6992" max="6992" width="14.85546875" style="575" customWidth="1"/>
    <col min="6993" max="6993" width="13.85546875" style="575" customWidth="1"/>
    <col min="6994" max="6994" width="13.5703125" style="575" customWidth="1"/>
    <col min="6995" max="6995" width="13" style="575" customWidth="1"/>
    <col min="6996" max="6996" width="13.5703125" style="575" customWidth="1"/>
    <col min="6997" max="6997" width="7.7109375" style="575" bestFit="1" customWidth="1"/>
    <col min="6998" max="7167" width="9.140625" style="575"/>
    <col min="7168" max="7168" width="4.28515625" style="575" customWidth="1"/>
    <col min="7169" max="7169" width="10.140625" style="575" customWidth="1"/>
    <col min="7170" max="7170" width="8.85546875" style="575" customWidth="1"/>
    <col min="7171" max="7171" width="11.140625" style="575" customWidth="1"/>
    <col min="7172" max="7172" width="15" style="575" bestFit="1" customWidth="1"/>
    <col min="7173" max="7173" width="13.5703125" style="575" customWidth="1"/>
    <col min="7174" max="7174" width="11.42578125" style="575" bestFit="1" customWidth="1"/>
    <col min="7175" max="7175" width="11.28515625" style="575" customWidth="1"/>
    <col min="7176" max="7176" width="15.28515625" style="575" bestFit="1" customWidth="1"/>
    <col min="7177" max="7179" width="11.85546875" style="575" customWidth="1"/>
    <col min="7180" max="7180" width="19.140625" style="575" customWidth="1"/>
    <col min="7181" max="7181" width="15" style="575" customWidth="1"/>
    <col min="7182" max="7182" width="15.28515625" style="575" customWidth="1"/>
    <col min="7183" max="7185" width="18.85546875" style="575" customWidth="1"/>
    <col min="7186" max="7186" width="12.7109375" style="575" customWidth="1"/>
    <col min="7187" max="7187" width="13.7109375" style="575" customWidth="1"/>
    <col min="7188" max="7188" width="16.140625" style="575" customWidth="1"/>
    <col min="7189" max="7189" width="17" style="575" customWidth="1"/>
    <col min="7190" max="7190" width="15" style="575" customWidth="1"/>
    <col min="7191" max="7191" width="14.28515625" style="575" customWidth="1"/>
    <col min="7192" max="7192" width="14.85546875" style="575" customWidth="1"/>
    <col min="7193" max="7193" width="17.140625" style="575" customWidth="1"/>
    <col min="7194" max="7194" width="13.5703125" style="575" customWidth="1"/>
    <col min="7195" max="7196" width="14.85546875" style="575" customWidth="1"/>
    <col min="7197" max="7197" width="18.85546875" style="575" customWidth="1"/>
    <col min="7198" max="7198" width="19.42578125" style="575" customWidth="1"/>
    <col min="7199" max="7199" width="16.140625" style="575" customWidth="1"/>
    <col min="7200" max="7200" width="14.5703125" style="575" customWidth="1"/>
    <col min="7201" max="7201" width="20.28515625" style="575" customWidth="1"/>
    <col min="7202" max="7202" width="13.85546875" style="575" customWidth="1"/>
    <col min="7203" max="7203" width="19.140625" style="575" customWidth="1"/>
    <col min="7204" max="7204" width="19.7109375" style="575" customWidth="1"/>
    <col min="7205" max="7205" width="16.5703125" style="575" customWidth="1"/>
    <col min="7206" max="7206" width="19.140625" style="575" customWidth="1"/>
    <col min="7207" max="7209" width="16.5703125" style="575" customWidth="1"/>
    <col min="7210" max="7210" width="15.7109375" style="575" customWidth="1"/>
    <col min="7211" max="7211" width="19.42578125" style="575" customWidth="1"/>
    <col min="7212" max="7212" width="14.85546875" style="575" bestFit="1" customWidth="1"/>
    <col min="7213" max="7213" width="13.7109375" style="575" bestFit="1" customWidth="1"/>
    <col min="7214" max="7214" width="13" style="575" customWidth="1"/>
    <col min="7215" max="7215" width="18.42578125" style="575" customWidth="1"/>
    <col min="7216" max="7218" width="13.140625" style="575" customWidth="1"/>
    <col min="7219" max="7219" width="16.42578125" style="575" customWidth="1"/>
    <col min="7220" max="7220" width="13.140625" style="575" customWidth="1"/>
    <col min="7221" max="7221" width="15.28515625" style="575" customWidth="1"/>
    <col min="7222" max="7222" width="14" style="575" bestFit="1" customWidth="1"/>
    <col min="7223" max="7223" width="17.140625" style="575" customWidth="1"/>
    <col min="7224" max="7245" width="16.5703125" style="575" customWidth="1"/>
    <col min="7246" max="7246" width="20.140625" style="575" customWidth="1"/>
    <col min="7247" max="7247" width="13.28515625" style="575" customWidth="1"/>
    <col min="7248" max="7248" width="14.85546875" style="575" customWidth="1"/>
    <col min="7249" max="7249" width="13.85546875" style="575" customWidth="1"/>
    <col min="7250" max="7250" width="13.5703125" style="575" customWidth="1"/>
    <col min="7251" max="7251" width="13" style="575" customWidth="1"/>
    <col min="7252" max="7252" width="13.5703125" style="575" customWidth="1"/>
    <col min="7253" max="7253" width="7.7109375" style="575" bestFit="1" customWidth="1"/>
    <col min="7254" max="7423" width="9.140625" style="575"/>
    <col min="7424" max="7424" width="4.28515625" style="575" customWidth="1"/>
    <col min="7425" max="7425" width="10.140625" style="575" customWidth="1"/>
    <col min="7426" max="7426" width="8.85546875" style="575" customWidth="1"/>
    <col min="7427" max="7427" width="11.140625" style="575" customWidth="1"/>
    <col min="7428" max="7428" width="15" style="575" bestFit="1" customWidth="1"/>
    <col min="7429" max="7429" width="13.5703125" style="575" customWidth="1"/>
    <col min="7430" max="7430" width="11.42578125" style="575" bestFit="1" customWidth="1"/>
    <col min="7431" max="7431" width="11.28515625" style="575" customWidth="1"/>
    <col min="7432" max="7432" width="15.28515625" style="575" bestFit="1" customWidth="1"/>
    <col min="7433" max="7435" width="11.85546875" style="575" customWidth="1"/>
    <col min="7436" max="7436" width="19.140625" style="575" customWidth="1"/>
    <col min="7437" max="7437" width="15" style="575" customWidth="1"/>
    <col min="7438" max="7438" width="15.28515625" style="575" customWidth="1"/>
    <col min="7439" max="7441" width="18.85546875" style="575" customWidth="1"/>
    <col min="7442" max="7442" width="12.7109375" style="575" customWidth="1"/>
    <col min="7443" max="7443" width="13.7109375" style="575" customWidth="1"/>
    <col min="7444" max="7444" width="16.140625" style="575" customWidth="1"/>
    <col min="7445" max="7445" width="17" style="575" customWidth="1"/>
    <col min="7446" max="7446" width="15" style="575" customWidth="1"/>
    <col min="7447" max="7447" width="14.28515625" style="575" customWidth="1"/>
    <col min="7448" max="7448" width="14.85546875" style="575" customWidth="1"/>
    <col min="7449" max="7449" width="17.140625" style="575" customWidth="1"/>
    <col min="7450" max="7450" width="13.5703125" style="575" customWidth="1"/>
    <col min="7451" max="7452" width="14.85546875" style="575" customWidth="1"/>
    <col min="7453" max="7453" width="18.85546875" style="575" customWidth="1"/>
    <col min="7454" max="7454" width="19.42578125" style="575" customWidth="1"/>
    <col min="7455" max="7455" width="16.140625" style="575" customWidth="1"/>
    <col min="7456" max="7456" width="14.5703125" style="575" customWidth="1"/>
    <col min="7457" max="7457" width="20.28515625" style="575" customWidth="1"/>
    <col min="7458" max="7458" width="13.85546875" style="575" customWidth="1"/>
    <col min="7459" max="7459" width="19.140625" style="575" customWidth="1"/>
    <col min="7460" max="7460" width="19.7109375" style="575" customWidth="1"/>
    <col min="7461" max="7461" width="16.5703125" style="575" customWidth="1"/>
    <col min="7462" max="7462" width="19.140625" style="575" customWidth="1"/>
    <col min="7463" max="7465" width="16.5703125" style="575" customWidth="1"/>
    <col min="7466" max="7466" width="15.7109375" style="575" customWidth="1"/>
    <col min="7467" max="7467" width="19.42578125" style="575" customWidth="1"/>
    <col min="7468" max="7468" width="14.85546875" style="575" bestFit="1" customWidth="1"/>
    <col min="7469" max="7469" width="13.7109375" style="575" bestFit="1" customWidth="1"/>
    <col min="7470" max="7470" width="13" style="575" customWidth="1"/>
    <col min="7471" max="7471" width="18.42578125" style="575" customWidth="1"/>
    <col min="7472" max="7474" width="13.140625" style="575" customWidth="1"/>
    <col min="7475" max="7475" width="16.42578125" style="575" customWidth="1"/>
    <col min="7476" max="7476" width="13.140625" style="575" customWidth="1"/>
    <col min="7477" max="7477" width="15.28515625" style="575" customWidth="1"/>
    <col min="7478" max="7478" width="14" style="575" bestFit="1" customWidth="1"/>
    <col min="7479" max="7479" width="17.140625" style="575" customWidth="1"/>
    <col min="7480" max="7501" width="16.5703125" style="575" customWidth="1"/>
    <col min="7502" max="7502" width="20.140625" style="575" customWidth="1"/>
    <col min="7503" max="7503" width="13.28515625" style="575" customWidth="1"/>
    <col min="7504" max="7504" width="14.85546875" style="575" customWidth="1"/>
    <col min="7505" max="7505" width="13.85546875" style="575" customWidth="1"/>
    <col min="7506" max="7506" width="13.5703125" style="575" customWidth="1"/>
    <col min="7507" max="7507" width="13" style="575" customWidth="1"/>
    <col min="7508" max="7508" width="13.5703125" style="575" customWidth="1"/>
    <col min="7509" max="7509" width="7.7109375" style="575" bestFit="1" customWidth="1"/>
    <col min="7510" max="7679" width="9.140625" style="575"/>
    <col min="7680" max="7680" width="4.28515625" style="575" customWidth="1"/>
    <col min="7681" max="7681" width="10.140625" style="575" customWidth="1"/>
    <col min="7682" max="7682" width="8.85546875" style="575" customWidth="1"/>
    <col min="7683" max="7683" width="11.140625" style="575" customWidth="1"/>
    <col min="7684" max="7684" width="15" style="575" bestFit="1" customWidth="1"/>
    <col min="7685" max="7685" width="13.5703125" style="575" customWidth="1"/>
    <col min="7686" max="7686" width="11.42578125" style="575" bestFit="1" customWidth="1"/>
    <col min="7687" max="7687" width="11.28515625" style="575" customWidth="1"/>
    <col min="7688" max="7688" width="15.28515625" style="575" bestFit="1" customWidth="1"/>
    <col min="7689" max="7691" width="11.85546875" style="575" customWidth="1"/>
    <col min="7692" max="7692" width="19.140625" style="575" customWidth="1"/>
    <col min="7693" max="7693" width="15" style="575" customWidth="1"/>
    <col min="7694" max="7694" width="15.28515625" style="575" customWidth="1"/>
    <col min="7695" max="7697" width="18.85546875" style="575" customWidth="1"/>
    <col min="7698" max="7698" width="12.7109375" style="575" customWidth="1"/>
    <col min="7699" max="7699" width="13.7109375" style="575" customWidth="1"/>
    <col min="7700" max="7700" width="16.140625" style="575" customWidth="1"/>
    <col min="7701" max="7701" width="17" style="575" customWidth="1"/>
    <col min="7702" max="7702" width="15" style="575" customWidth="1"/>
    <col min="7703" max="7703" width="14.28515625" style="575" customWidth="1"/>
    <col min="7704" max="7704" width="14.85546875" style="575" customWidth="1"/>
    <col min="7705" max="7705" width="17.140625" style="575" customWidth="1"/>
    <col min="7706" max="7706" width="13.5703125" style="575" customWidth="1"/>
    <col min="7707" max="7708" width="14.85546875" style="575" customWidth="1"/>
    <col min="7709" max="7709" width="18.85546875" style="575" customWidth="1"/>
    <col min="7710" max="7710" width="19.42578125" style="575" customWidth="1"/>
    <col min="7711" max="7711" width="16.140625" style="575" customWidth="1"/>
    <col min="7712" max="7712" width="14.5703125" style="575" customWidth="1"/>
    <col min="7713" max="7713" width="20.28515625" style="575" customWidth="1"/>
    <col min="7714" max="7714" width="13.85546875" style="575" customWidth="1"/>
    <col min="7715" max="7715" width="19.140625" style="575" customWidth="1"/>
    <col min="7716" max="7716" width="19.7109375" style="575" customWidth="1"/>
    <col min="7717" max="7717" width="16.5703125" style="575" customWidth="1"/>
    <col min="7718" max="7718" width="19.140625" style="575" customWidth="1"/>
    <col min="7719" max="7721" width="16.5703125" style="575" customWidth="1"/>
    <col min="7722" max="7722" width="15.7109375" style="575" customWidth="1"/>
    <col min="7723" max="7723" width="19.42578125" style="575" customWidth="1"/>
    <col min="7724" max="7724" width="14.85546875" style="575" bestFit="1" customWidth="1"/>
    <col min="7725" max="7725" width="13.7109375" style="575" bestFit="1" customWidth="1"/>
    <col min="7726" max="7726" width="13" style="575" customWidth="1"/>
    <col min="7727" max="7727" width="18.42578125" style="575" customWidth="1"/>
    <col min="7728" max="7730" width="13.140625" style="575" customWidth="1"/>
    <col min="7731" max="7731" width="16.42578125" style="575" customWidth="1"/>
    <col min="7732" max="7732" width="13.140625" style="575" customWidth="1"/>
    <col min="7733" max="7733" width="15.28515625" style="575" customWidth="1"/>
    <col min="7734" max="7734" width="14" style="575" bestFit="1" customWidth="1"/>
    <col min="7735" max="7735" width="17.140625" style="575" customWidth="1"/>
    <col min="7736" max="7757" width="16.5703125" style="575" customWidth="1"/>
    <col min="7758" max="7758" width="20.140625" style="575" customWidth="1"/>
    <col min="7759" max="7759" width="13.28515625" style="575" customWidth="1"/>
    <col min="7760" max="7760" width="14.85546875" style="575" customWidth="1"/>
    <col min="7761" max="7761" width="13.85546875" style="575" customWidth="1"/>
    <col min="7762" max="7762" width="13.5703125" style="575" customWidth="1"/>
    <col min="7763" max="7763" width="13" style="575" customWidth="1"/>
    <col min="7764" max="7764" width="13.5703125" style="575" customWidth="1"/>
    <col min="7765" max="7765" width="7.7109375" style="575" bestFit="1" customWidth="1"/>
    <col min="7766" max="7935" width="9.140625" style="575"/>
    <col min="7936" max="7936" width="4.28515625" style="575" customWidth="1"/>
    <col min="7937" max="7937" width="10.140625" style="575" customWidth="1"/>
    <col min="7938" max="7938" width="8.85546875" style="575" customWidth="1"/>
    <col min="7939" max="7939" width="11.140625" style="575" customWidth="1"/>
    <col min="7940" max="7940" width="15" style="575" bestFit="1" customWidth="1"/>
    <col min="7941" max="7941" width="13.5703125" style="575" customWidth="1"/>
    <col min="7942" max="7942" width="11.42578125" style="575" bestFit="1" customWidth="1"/>
    <col min="7943" max="7943" width="11.28515625" style="575" customWidth="1"/>
    <col min="7944" max="7944" width="15.28515625" style="575" bestFit="1" customWidth="1"/>
    <col min="7945" max="7947" width="11.85546875" style="575" customWidth="1"/>
    <col min="7948" max="7948" width="19.140625" style="575" customWidth="1"/>
    <col min="7949" max="7949" width="15" style="575" customWidth="1"/>
    <col min="7950" max="7950" width="15.28515625" style="575" customWidth="1"/>
    <col min="7951" max="7953" width="18.85546875" style="575" customWidth="1"/>
    <col min="7954" max="7954" width="12.7109375" style="575" customWidth="1"/>
    <col min="7955" max="7955" width="13.7109375" style="575" customWidth="1"/>
    <col min="7956" max="7956" width="16.140625" style="575" customWidth="1"/>
    <col min="7957" max="7957" width="17" style="575" customWidth="1"/>
    <col min="7958" max="7958" width="15" style="575" customWidth="1"/>
    <col min="7959" max="7959" width="14.28515625" style="575" customWidth="1"/>
    <col min="7960" max="7960" width="14.85546875" style="575" customWidth="1"/>
    <col min="7961" max="7961" width="17.140625" style="575" customWidth="1"/>
    <col min="7962" max="7962" width="13.5703125" style="575" customWidth="1"/>
    <col min="7963" max="7964" width="14.85546875" style="575" customWidth="1"/>
    <col min="7965" max="7965" width="18.85546875" style="575" customWidth="1"/>
    <col min="7966" max="7966" width="19.42578125" style="575" customWidth="1"/>
    <col min="7967" max="7967" width="16.140625" style="575" customWidth="1"/>
    <col min="7968" max="7968" width="14.5703125" style="575" customWidth="1"/>
    <col min="7969" max="7969" width="20.28515625" style="575" customWidth="1"/>
    <col min="7970" max="7970" width="13.85546875" style="575" customWidth="1"/>
    <col min="7971" max="7971" width="19.140625" style="575" customWidth="1"/>
    <col min="7972" max="7972" width="19.7109375" style="575" customWidth="1"/>
    <col min="7973" max="7973" width="16.5703125" style="575" customWidth="1"/>
    <col min="7974" max="7974" width="19.140625" style="575" customWidth="1"/>
    <col min="7975" max="7977" width="16.5703125" style="575" customWidth="1"/>
    <col min="7978" max="7978" width="15.7109375" style="575" customWidth="1"/>
    <col min="7979" max="7979" width="19.42578125" style="575" customWidth="1"/>
    <col min="7980" max="7980" width="14.85546875" style="575" bestFit="1" customWidth="1"/>
    <col min="7981" max="7981" width="13.7109375" style="575" bestFit="1" customWidth="1"/>
    <col min="7982" max="7982" width="13" style="575" customWidth="1"/>
    <col min="7983" max="7983" width="18.42578125" style="575" customWidth="1"/>
    <col min="7984" max="7986" width="13.140625" style="575" customWidth="1"/>
    <col min="7987" max="7987" width="16.42578125" style="575" customWidth="1"/>
    <col min="7988" max="7988" width="13.140625" style="575" customWidth="1"/>
    <col min="7989" max="7989" width="15.28515625" style="575" customWidth="1"/>
    <col min="7990" max="7990" width="14" style="575" bestFit="1" customWidth="1"/>
    <col min="7991" max="7991" width="17.140625" style="575" customWidth="1"/>
    <col min="7992" max="8013" width="16.5703125" style="575" customWidth="1"/>
    <col min="8014" max="8014" width="20.140625" style="575" customWidth="1"/>
    <col min="8015" max="8015" width="13.28515625" style="575" customWidth="1"/>
    <col min="8016" max="8016" width="14.85546875" style="575" customWidth="1"/>
    <col min="8017" max="8017" width="13.85546875" style="575" customWidth="1"/>
    <col min="8018" max="8018" width="13.5703125" style="575" customWidth="1"/>
    <col min="8019" max="8019" width="13" style="575" customWidth="1"/>
    <col min="8020" max="8020" width="13.5703125" style="575" customWidth="1"/>
    <col min="8021" max="8021" width="7.7109375" style="575" bestFit="1" customWidth="1"/>
    <col min="8022" max="8191" width="9.140625" style="575"/>
    <col min="8192" max="8192" width="4.28515625" style="575" customWidth="1"/>
    <col min="8193" max="8193" width="10.140625" style="575" customWidth="1"/>
    <col min="8194" max="8194" width="8.85546875" style="575" customWidth="1"/>
    <col min="8195" max="8195" width="11.140625" style="575" customWidth="1"/>
    <col min="8196" max="8196" width="15" style="575" bestFit="1" customWidth="1"/>
    <col min="8197" max="8197" width="13.5703125" style="575" customWidth="1"/>
    <col min="8198" max="8198" width="11.42578125" style="575" bestFit="1" customWidth="1"/>
    <col min="8199" max="8199" width="11.28515625" style="575" customWidth="1"/>
    <col min="8200" max="8200" width="15.28515625" style="575" bestFit="1" customWidth="1"/>
    <col min="8201" max="8203" width="11.85546875" style="575" customWidth="1"/>
    <col min="8204" max="8204" width="19.140625" style="575" customWidth="1"/>
    <col min="8205" max="8205" width="15" style="575" customWidth="1"/>
    <col min="8206" max="8206" width="15.28515625" style="575" customWidth="1"/>
    <col min="8207" max="8209" width="18.85546875" style="575" customWidth="1"/>
    <col min="8210" max="8210" width="12.7109375" style="575" customWidth="1"/>
    <col min="8211" max="8211" width="13.7109375" style="575" customWidth="1"/>
    <col min="8212" max="8212" width="16.140625" style="575" customWidth="1"/>
    <col min="8213" max="8213" width="17" style="575" customWidth="1"/>
    <col min="8214" max="8214" width="15" style="575" customWidth="1"/>
    <col min="8215" max="8215" width="14.28515625" style="575" customWidth="1"/>
    <col min="8216" max="8216" width="14.85546875" style="575" customWidth="1"/>
    <col min="8217" max="8217" width="17.140625" style="575" customWidth="1"/>
    <col min="8218" max="8218" width="13.5703125" style="575" customWidth="1"/>
    <col min="8219" max="8220" width="14.85546875" style="575" customWidth="1"/>
    <col min="8221" max="8221" width="18.85546875" style="575" customWidth="1"/>
    <col min="8222" max="8222" width="19.42578125" style="575" customWidth="1"/>
    <col min="8223" max="8223" width="16.140625" style="575" customWidth="1"/>
    <col min="8224" max="8224" width="14.5703125" style="575" customWidth="1"/>
    <col min="8225" max="8225" width="20.28515625" style="575" customWidth="1"/>
    <col min="8226" max="8226" width="13.85546875" style="575" customWidth="1"/>
    <col min="8227" max="8227" width="19.140625" style="575" customWidth="1"/>
    <col min="8228" max="8228" width="19.7109375" style="575" customWidth="1"/>
    <col min="8229" max="8229" width="16.5703125" style="575" customWidth="1"/>
    <col min="8230" max="8230" width="19.140625" style="575" customWidth="1"/>
    <col min="8231" max="8233" width="16.5703125" style="575" customWidth="1"/>
    <col min="8234" max="8234" width="15.7109375" style="575" customWidth="1"/>
    <col min="8235" max="8235" width="19.42578125" style="575" customWidth="1"/>
    <col min="8236" max="8236" width="14.85546875" style="575" bestFit="1" customWidth="1"/>
    <col min="8237" max="8237" width="13.7109375" style="575" bestFit="1" customWidth="1"/>
    <col min="8238" max="8238" width="13" style="575" customWidth="1"/>
    <col min="8239" max="8239" width="18.42578125" style="575" customWidth="1"/>
    <col min="8240" max="8242" width="13.140625" style="575" customWidth="1"/>
    <col min="8243" max="8243" width="16.42578125" style="575" customWidth="1"/>
    <col min="8244" max="8244" width="13.140625" style="575" customWidth="1"/>
    <col min="8245" max="8245" width="15.28515625" style="575" customWidth="1"/>
    <col min="8246" max="8246" width="14" style="575" bestFit="1" customWidth="1"/>
    <col min="8247" max="8247" width="17.140625" style="575" customWidth="1"/>
    <col min="8248" max="8269" width="16.5703125" style="575" customWidth="1"/>
    <col min="8270" max="8270" width="20.140625" style="575" customWidth="1"/>
    <col min="8271" max="8271" width="13.28515625" style="575" customWidth="1"/>
    <col min="8272" max="8272" width="14.85546875" style="575" customWidth="1"/>
    <col min="8273" max="8273" width="13.85546875" style="575" customWidth="1"/>
    <col min="8274" max="8274" width="13.5703125" style="575" customWidth="1"/>
    <col min="8275" max="8275" width="13" style="575" customWidth="1"/>
    <col min="8276" max="8276" width="13.5703125" style="575" customWidth="1"/>
    <col min="8277" max="8277" width="7.7109375" style="575" bestFit="1" customWidth="1"/>
    <col min="8278" max="8447" width="9.140625" style="575"/>
    <col min="8448" max="8448" width="4.28515625" style="575" customWidth="1"/>
    <col min="8449" max="8449" width="10.140625" style="575" customWidth="1"/>
    <col min="8450" max="8450" width="8.85546875" style="575" customWidth="1"/>
    <col min="8451" max="8451" width="11.140625" style="575" customWidth="1"/>
    <col min="8452" max="8452" width="15" style="575" bestFit="1" customWidth="1"/>
    <col min="8453" max="8453" width="13.5703125" style="575" customWidth="1"/>
    <col min="8454" max="8454" width="11.42578125" style="575" bestFit="1" customWidth="1"/>
    <col min="8455" max="8455" width="11.28515625" style="575" customWidth="1"/>
    <col min="8456" max="8456" width="15.28515625" style="575" bestFit="1" customWidth="1"/>
    <col min="8457" max="8459" width="11.85546875" style="575" customWidth="1"/>
    <col min="8460" max="8460" width="19.140625" style="575" customWidth="1"/>
    <col min="8461" max="8461" width="15" style="575" customWidth="1"/>
    <col min="8462" max="8462" width="15.28515625" style="575" customWidth="1"/>
    <col min="8463" max="8465" width="18.85546875" style="575" customWidth="1"/>
    <col min="8466" max="8466" width="12.7109375" style="575" customWidth="1"/>
    <col min="8467" max="8467" width="13.7109375" style="575" customWidth="1"/>
    <col min="8468" max="8468" width="16.140625" style="575" customWidth="1"/>
    <col min="8469" max="8469" width="17" style="575" customWidth="1"/>
    <col min="8470" max="8470" width="15" style="575" customWidth="1"/>
    <col min="8471" max="8471" width="14.28515625" style="575" customWidth="1"/>
    <col min="8472" max="8472" width="14.85546875" style="575" customWidth="1"/>
    <col min="8473" max="8473" width="17.140625" style="575" customWidth="1"/>
    <col min="8474" max="8474" width="13.5703125" style="575" customWidth="1"/>
    <col min="8475" max="8476" width="14.85546875" style="575" customWidth="1"/>
    <col min="8477" max="8477" width="18.85546875" style="575" customWidth="1"/>
    <col min="8478" max="8478" width="19.42578125" style="575" customWidth="1"/>
    <col min="8479" max="8479" width="16.140625" style="575" customWidth="1"/>
    <col min="8480" max="8480" width="14.5703125" style="575" customWidth="1"/>
    <col min="8481" max="8481" width="20.28515625" style="575" customWidth="1"/>
    <col min="8482" max="8482" width="13.85546875" style="575" customWidth="1"/>
    <col min="8483" max="8483" width="19.140625" style="575" customWidth="1"/>
    <col min="8484" max="8484" width="19.7109375" style="575" customWidth="1"/>
    <col min="8485" max="8485" width="16.5703125" style="575" customWidth="1"/>
    <col min="8486" max="8486" width="19.140625" style="575" customWidth="1"/>
    <col min="8487" max="8489" width="16.5703125" style="575" customWidth="1"/>
    <col min="8490" max="8490" width="15.7109375" style="575" customWidth="1"/>
    <col min="8491" max="8491" width="19.42578125" style="575" customWidth="1"/>
    <col min="8492" max="8492" width="14.85546875" style="575" bestFit="1" customWidth="1"/>
    <col min="8493" max="8493" width="13.7109375" style="575" bestFit="1" customWidth="1"/>
    <col min="8494" max="8494" width="13" style="575" customWidth="1"/>
    <col min="8495" max="8495" width="18.42578125" style="575" customWidth="1"/>
    <col min="8496" max="8498" width="13.140625" style="575" customWidth="1"/>
    <col min="8499" max="8499" width="16.42578125" style="575" customWidth="1"/>
    <col min="8500" max="8500" width="13.140625" style="575" customWidth="1"/>
    <col min="8501" max="8501" width="15.28515625" style="575" customWidth="1"/>
    <col min="8502" max="8502" width="14" style="575" bestFit="1" customWidth="1"/>
    <col min="8503" max="8503" width="17.140625" style="575" customWidth="1"/>
    <col min="8504" max="8525" width="16.5703125" style="575" customWidth="1"/>
    <col min="8526" max="8526" width="20.140625" style="575" customWidth="1"/>
    <col min="8527" max="8527" width="13.28515625" style="575" customWidth="1"/>
    <col min="8528" max="8528" width="14.85546875" style="575" customWidth="1"/>
    <col min="8529" max="8529" width="13.85546875" style="575" customWidth="1"/>
    <col min="8530" max="8530" width="13.5703125" style="575" customWidth="1"/>
    <col min="8531" max="8531" width="13" style="575" customWidth="1"/>
    <col min="8532" max="8532" width="13.5703125" style="575" customWidth="1"/>
    <col min="8533" max="8533" width="7.7109375" style="575" bestFit="1" customWidth="1"/>
    <col min="8534" max="8703" width="9.140625" style="575"/>
    <col min="8704" max="8704" width="4.28515625" style="575" customWidth="1"/>
    <col min="8705" max="8705" width="10.140625" style="575" customWidth="1"/>
    <col min="8706" max="8706" width="8.85546875" style="575" customWidth="1"/>
    <col min="8707" max="8707" width="11.140625" style="575" customWidth="1"/>
    <col min="8708" max="8708" width="15" style="575" bestFit="1" customWidth="1"/>
    <col min="8709" max="8709" width="13.5703125" style="575" customWidth="1"/>
    <col min="8710" max="8710" width="11.42578125" style="575" bestFit="1" customWidth="1"/>
    <col min="8711" max="8711" width="11.28515625" style="575" customWidth="1"/>
    <col min="8712" max="8712" width="15.28515625" style="575" bestFit="1" customWidth="1"/>
    <col min="8713" max="8715" width="11.85546875" style="575" customWidth="1"/>
    <col min="8716" max="8716" width="19.140625" style="575" customWidth="1"/>
    <col min="8717" max="8717" width="15" style="575" customWidth="1"/>
    <col min="8718" max="8718" width="15.28515625" style="575" customWidth="1"/>
    <col min="8719" max="8721" width="18.85546875" style="575" customWidth="1"/>
    <col min="8722" max="8722" width="12.7109375" style="575" customWidth="1"/>
    <col min="8723" max="8723" width="13.7109375" style="575" customWidth="1"/>
    <col min="8724" max="8724" width="16.140625" style="575" customWidth="1"/>
    <col min="8725" max="8725" width="17" style="575" customWidth="1"/>
    <col min="8726" max="8726" width="15" style="575" customWidth="1"/>
    <col min="8727" max="8727" width="14.28515625" style="575" customWidth="1"/>
    <col min="8728" max="8728" width="14.85546875" style="575" customWidth="1"/>
    <col min="8729" max="8729" width="17.140625" style="575" customWidth="1"/>
    <col min="8730" max="8730" width="13.5703125" style="575" customWidth="1"/>
    <col min="8731" max="8732" width="14.85546875" style="575" customWidth="1"/>
    <col min="8733" max="8733" width="18.85546875" style="575" customWidth="1"/>
    <col min="8734" max="8734" width="19.42578125" style="575" customWidth="1"/>
    <col min="8735" max="8735" width="16.140625" style="575" customWidth="1"/>
    <col min="8736" max="8736" width="14.5703125" style="575" customWidth="1"/>
    <col min="8737" max="8737" width="20.28515625" style="575" customWidth="1"/>
    <col min="8738" max="8738" width="13.85546875" style="575" customWidth="1"/>
    <col min="8739" max="8739" width="19.140625" style="575" customWidth="1"/>
    <col min="8740" max="8740" width="19.7109375" style="575" customWidth="1"/>
    <col min="8741" max="8741" width="16.5703125" style="575" customWidth="1"/>
    <col min="8742" max="8742" width="19.140625" style="575" customWidth="1"/>
    <col min="8743" max="8745" width="16.5703125" style="575" customWidth="1"/>
    <col min="8746" max="8746" width="15.7109375" style="575" customWidth="1"/>
    <col min="8747" max="8747" width="19.42578125" style="575" customWidth="1"/>
    <col min="8748" max="8748" width="14.85546875" style="575" bestFit="1" customWidth="1"/>
    <col min="8749" max="8749" width="13.7109375" style="575" bestFit="1" customWidth="1"/>
    <col min="8750" max="8750" width="13" style="575" customWidth="1"/>
    <col min="8751" max="8751" width="18.42578125" style="575" customWidth="1"/>
    <col min="8752" max="8754" width="13.140625" style="575" customWidth="1"/>
    <col min="8755" max="8755" width="16.42578125" style="575" customWidth="1"/>
    <col min="8756" max="8756" width="13.140625" style="575" customWidth="1"/>
    <col min="8757" max="8757" width="15.28515625" style="575" customWidth="1"/>
    <col min="8758" max="8758" width="14" style="575" bestFit="1" customWidth="1"/>
    <col min="8759" max="8759" width="17.140625" style="575" customWidth="1"/>
    <col min="8760" max="8781" width="16.5703125" style="575" customWidth="1"/>
    <col min="8782" max="8782" width="20.140625" style="575" customWidth="1"/>
    <col min="8783" max="8783" width="13.28515625" style="575" customWidth="1"/>
    <col min="8784" max="8784" width="14.85546875" style="575" customWidth="1"/>
    <col min="8785" max="8785" width="13.85546875" style="575" customWidth="1"/>
    <col min="8786" max="8786" width="13.5703125" style="575" customWidth="1"/>
    <col min="8787" max="8787" width="13" style="575" customWidth="1"/>
    <col min="8788" max="8788" width="13.5703125" style="575" customWidth="1"/>
    <col min="8789" max="8789" width="7.7109375" style="575" bestFit="1" customWidth="1"/>
    <col min="8790" max="8959" width="9.140625" style="575"/>
    <col min="8960" max="8960" width="4.28515625" style="575" customWidth="1"/>
    <col min="8961" max="8961" width="10.140625" style="575" customWidth="1"/>
    <col min="8962" max="8962" width="8.85546875" style="575" customWidth="1"/>
    <col min="8963" max="8963" width="11.140625" style="575" customWidth="1"/>
    <col min="8964" max="8964" width="15" style="575" bestFit="1" customWidth="1"/>
    <col min="8965" max="8965" width="13.5703125" style="575" customWidth="1"/>
    <col min="8966" max="8966" width="11.42578125" style="575" bestFit="1" customWidth="1"/>
    <col min="8967" max="8967" width="11.28515625" style="575" customWidth="1"/>
    <col min="8968" max="8968" width="15.28515625" style="575" bestFit="1" customWidth="1"/>
    <col min="8969" max="8971" width="11.85546875" style="575" customWidth="1"/>
    <col min="8972" max="8972" width="19.140625" style="575" customWidth="1"/>
    <col min="8973" max="8973" width="15" style="575" customWidth="1"/>
    <col min="8974" max="8974" width="15.28515625" style="575" customWidth="1"/>
    <col min="8975" max="8977" width="18.85546875" style="575" customWidth="1"/>
    <col min="8978" max="8978" width="12.7109375" style="575" customWidth="1"/>
    <col min="8979" max="8979" width="13.7109375" style="575" customWidth="1"/>
    <col min="8980" max="8980" width="16.140625" style="575" customWidth="1"/>
    <col min="8981" max="8981" width="17" style="575" customWidth="1"/>
    <col min="8982" max="8982" width="15" style="575" customWidth="1"/>
    <col min="8983" max="8983" width="14.28515625" style="575" customWidth="1"/>
    <col min="8984" max="8984" width="14.85546875" style="575" customWidth="1"/>
    <col min="8985" max="8985" width="17.140625" style="575" customWidth="1"/>
    <col min="8986" max="8986" width="13.5703125" style="575" customWidth="1"/>
    <col min="8987" max="8988" width="14.85546875" style="575" customWidth="1"/>
    <col min="8989" max="8989" width="18.85546875" style="575" customWidth="1"/>
    <col min="8990" max="8990" width="19.42578125" style="575" customWidth="1"/>
    <col min="8991" max="8991" width="16.140625" style="575" customWidth="1"/>
    <col min="8992" max="8992" width="14.5703125" style="575" customWidth="1"/>
    <col min="8993" max="8993" width="20.28515625" style="575" customWidth="1"/>
    <col min="8994" max="8994" width="13.85546875" style="575" customWidth="1"/>
    <col min="8995" max="8995" width="19.140625" style="575" customWidth="1"/>
    <col min="8996" max="8996" width="19.7109375" style="575" customWidth="1"/>
    <col min="8997" max="8997" width="16.5703125" style="575" customWidth="1"/>
    <col min="8998" max="8998" width="19.140625" style="575" customWidth="1"/>
    <col min="8999" max="9001" width="16.5703125" style="575" customWidth="1"/>
    <col min="9002" max="9002" width="15.7109375" style="575" customWidth="1"/>
    <col min="9003" max="9003" width="19.42578125" style="575" customWidth="1"/>
    <col min="9004" max="9004" width="14.85546875" style="575" bestFit="1" customWidth="1"/>
    <col min="9005" max="9005" width="13.7109375" style="575" bestFit="1" customWidth="1"/>
    <col min="9006" max="9006" width="13" style="575" customWidth="1"/>
    <col min="9007" max="9007" width="18.42578125" style="575" customWidth="1"/>
    <col min="9008" max="9010" width="13.140625" style="575" customWidth="1"/>
    <col min="9011" max="9011" width="16.42578125" style="575" customWidth="1"/>
    <col min="9012" max="9012" width="13.140625" style="575" customWidth="1"/>
    <col min="9013" max="9013" width="15.28515625" style="575" customWidth="1"/>
    <col min="9014" max="9014" width="14" style="575" bestFit="1" customWidth="1"/>
    <col min="9015" max="9015" width="17.140625" style="575" customWidth="1"/>
    <col min="9016" max="9037" width="16.5703125" style="575" customWidth="1"/>
    <col min="9038" max="9038" width="20.140625" style="575" customWidth="1"/>
    <col min="9039" max="9039" width="13.28515625" style="575" customWidth="1"/>
    <col min="9040" max="9040" width="14.85546875" style="575" customWidth="1"/>
    <col min="9041" max="9041" width="13.85546875" style="575" customWidth="1"/>
    <col min="9042" max="9042" width="13.5703125" style="575" customWidth="1"/>
    <col min="9043" max="9043" width="13" style="575" customWidth="1"/>
    <col min="9044" max="9044" width="13.5703125" style="575" customWidth="1"/>
    <col min="9045" max="9045" width="7.7109375" style="575" bestFit="1" customWidth="1"/>
    <col min="9046" max="9215" width="9.140625" style="575"/>
    <col min="9216" max="9216" width="4.28515625" style="575" customWidth="1"/>
    <col min="9217" max="9217" width="10.140625" style="575" customWidth="1"/>
    <col min="9218" max="9218" width="8.85546875" style="575" customWidth="1"/>
    <col min="9219" max="9219" width="11.140625" style="575" customWidth="1"/>
    <col min="9220" max="9220" width="15" style="575" bestFit="1" customWidth="1"/>
    <col min="9221" max="9221" width="13.5703125" style="575" customWidth="1"/>
    <col min="9222" max="9222" width="11.42578125" style="575" bestFit="1" customWidth="1"/>
    <col min="9223" max="9223" width="11.28515625" style="575" customWidth="1"/>
    <col min="9224" max="9224" width="15.28515625" style="575" bestFit="1" customWidth="1"/>
    <col min="9225" max="9227" width="11.85546875" style="575" customWidth="1"/>
    <col min="9228" max="9228" width="19.140625" style="575" customWidth="1"/>
    <col min="9229" max="9229" width="15" style="575" customWidth="1"/>
    <col min="9230" max="9230" width="15.28515625" style="575" customWidth="1"/>
    <col min="9231" max="9233" width="18.85546875" style="575" customWidth="1"/>
    <col min="9234" max="9234" width="12.7109375" style="575" customWidth="1"/>
    <col min="9235" max="9235" width="13.7109375" style="575" customWidth="1"/>
    <col min="9236" max="9236" width="16.140625" style="575" customWidth="1"/>
    <col min="9237" max="9237" width="17" style="575" customWidth="1"/>
    <col min="9238" max="9238" width="15" style="575" customWidth="1"/>
    <col min="9239" max="9239" width="14.28515625" style="575" customWidth="1"/>
    <col min="9240" max="9240" width="14.85546875" style="575" customWidth="1"/>
    <col min="9241" max="9241" width="17.140625" style="575" customWidth="1"/>
    <col min="9242" max="9242" width="13.5703125" style="575" customWidth="1"/>
    <col min="9243" max="9244" width="14.85546875" style="575" customWidth="1"/>
    <col min="9245" max="9245" width="18.85546875" style="575" customWidth="1"/>
    <col min="9246" max="9246" width="19.42578125" style="575" customWidth="1"/>
    <col min="9247" max="9247" width="16.140625" style="575" customWidth="1"/>
    <col min="9248" max="9248" width="14.5703125" style="575" customWidth="1"/>
    <col min="9249" max="9249" width="20.28515625" style="575" customWidth="1"/>
    <col min="9250" max="9250" width="13.85546875" style="575" customWidth="1"/>
    <col min="9251" max="9251" width="19.140625" style="575" customWidth="1"/>
    <col min="9252" max="9252" width="19.7109375" style="575" customWidth="1"/>
    <col min="9253" max="9253" width="16.5703125" style="575" customWidth="1"/>
    <col min="9254" max="9254" width="19.140625" style="575" customWidth="1"/>
    <col min="9255" max="9257" width="16.5703125" style="575" customWidth="1"/>
    <col min="9258" max="9258" width="15.7109375" style="575" customWidth="1"/>
    <col min="9259" max="9259" width="19.42578125" style="575" customWidth="1"/>
    <col min="9260" max="9260" width="14.85546875" style="575" bestFit="1" customWidth="1"/>
    <col min="9261" max="9261" width="13.7109375" style="575" bestFit="1" customWidth="1"/>
    <col min="9262" max="9262" width="13" style="575" customWidth="1"/>
    <col min="9263" max="9263" width="18.42578125" style="575" customWidth="1"/>
    <col min="9264" max="9266" width="13.140625" style="575" customWidth="1"/>
    <col min="9267" max="9267" width="16.42578125" style="575" customWidth="1"/>
    <col min="9268" max="9268" width="13.140625" style="575" customWidth="1"/>
    <col min="9269" max="9269" width="15.28515625" style="575" customWidth="1"/>
    <col min="9270" max="9270" width="14" style="575" bestFit="1" customWidth="1"/>
    <col min="9271" max="9271" width="17.140625" style="575" customWidth="1"/>
    <col min="9272" max="9293" width="16.5703125" style="575" customWidth="1"/>
    <col min="9294" max="9294" width="20.140625" style="575" customWidth="1"/>
    <col min="9295" max="9295" width="13.28515625" style="575" customWidth="1"/>
    <col min="9296" max="9296" width="14.85546875" style="575" customWidth="1"/>
    <col min="9297" max="9297" width="13.85546875" style="575" customWidth="1"/>
    <col min="9298" max="9298" width="13.5703125" style="575" customWidth="1"/>
    <col min="9299" max="9299" width="13" style="575" customWidth="1"/>
    <col min="9300" max="9300" width="13.5703125" style="575" customWidth="1"/>
    <col min="9301" max="9301" width="7.7109375" style="575" bestFit="1" customWidth="1"/>
    <col min="9302" max="9471" width="9.140625" style="575"/>
    <col min="9472" max="9472" width="4.28515625" style="575" customWidth="1"/>
    <col min="9473" max="9473" width="10.140625" style="575" customWidth="1"/>
    <col min="9474" max="9474" width="8.85546875" style="575" customWidth="1"/>
    <col min="9475" max="9475" width="11.140625" style="575" customWidth="1"/>
    <col min="9476" max="9476" width="15" style="575" bestFit="1" customWidth="1"/>
    <col min="9477" max="9477" width="13.5703125" style="575" customWidth="1"/>
    <col min="9478" max="9478" width="11.42578125" style="575" bestFit="1" customWidth="1"/>
    <col min="9479" max="9479" width="11.28515625" style="575" customWidth="1"/>
    <col min="9480" max="9480" width="15.28515625" style="575" bestFit="1" customWidth="1"/>
    <col min="9481" max="9483" width="11.85546875" style="575" customWidth="1"/>
    <col min="9484" max="9484" width="19.140625" style="575" customWidth="1"/>
    <col min="9485" max="9485" width="15" style="575" customWidth="1"/>
    <col min="9486" max="9486" width="15.28515625" style="575" customWidth="1"/>
    <col min="9487" max="9489" width="18.85546875" style="575" customWidth="1"/>
    <col min="9490" max="9490" width="12.7109375" style="575" customWidth="1"/>
    <col min="9491" max="9491" width="13.7109375" style="575" customWidth="1"/>
    <col min="9492" max="9492" width="16.140625" style="575" customWidth="1"/>
    <col min="9493" max="9493" width="17" style="575" customWidth="1"/>
    <col min="9494" max="9494" width="15" style="575" customWidth="1"/>
    <col min="9495" max="9495" width="14.28515625" style="575" customWidth="1"/>
    <col min="9496" max="9496" width="14.85546875" style="575" customWidth="1"/>
    <col min="9497" max="9497" width="17.140625" style="575" customWidth="1"/>
    <col min="9498" max="9498" width="13.5703125" style="575" customWidth="1"/>
    <col min="9499" max="9500" width="14.85546875" style="575" customWidth="1"/>
    <col min="9501" max="9501" width="18.85546875" style="575" customWidth="1"/>
    <col min="9502" max="9502" width="19.42578125" style="575" customWidth="1"/>
    <col min="9503" max="9503" width="16.140625" style="575" customWidth="1"/>
    <col min="9504" max="9504" width="14.5703125" style="575" customWidth="1"/>
    <col min="9505" max="9505" width="20.28515625" style="575" customWidth="1"/>
    <col min="9506" max="9506" width="13.85546875" style="575" customWidth="1"/>
    <col min="9507" max="9507" width="19.140625" style="575" customWidth="1"/>
    <col min="9508" max="9508" width="19.7109375" style="575" customWidth="1"/>
    <col min="9509" max="9509" width="16.5703125" style="575" customWidth="1"/>
    <col min="9510" max="9510" width="19.140625" style="575" customWidth="1"/>
    <col min="9511" max="9513" width="16.5703125" style="575" customWidth="1"/>
    <col min="9514" max="9514" width="15.7109375" style="575" customWidth="1"/>
    <col min="9515" max="9515" width="19.42578125" style="575" customWidth="1"/>
    <col min="9516" max="9516" width="14.85546875" style="575" bestFit="1" customWidth="1"/>
    <col min="9517" max="9517" width="13.7109375" style="575" bestFit="1" customWidth="1"/>
    <col min="9518" max="9518" width="13" style="575" customWidth="1"/>
    <col min="9519" max="9519" width="18.42578125" style="575" customWidth="1"/>
    <col min="9520" max="9522" width="13.140625" style="575" customWidth="1"/>
    <col min="9523" max="9523" width="16.42578125" style="575" customWidth="1"/>
    <col min="9524" max="9524" width="13.140625" style="575" customWidth="1"/>
    <col min="9525" max="9525" width="15.28515625" style="575" customWidth="1"/>
    <col min="9526" max="9526" width="14" style="575" bestFit="1" customWidth="1"/>
    <col min="9527" max="9527" width="17.140625" style="575" customWidth="1"/>
    <col min="9528" max="9549" width="16.5703125" style="575" customWidth="1"/>
    <col min="9550" max="9550" width="20.140625" style="575" customWidth="1"/>
    <col min="9551" max="9551" width="13.28515625" style="575" customWidth="1"/>
    <col min="9552" max="9552" width="14.85546875" style="575" customWidth="1"/>
    <col min="9553" max="9553" width="13.85546875" style="575" customWidth="1"/>
    <col min="9554" max="9554" width="13.5703125" style="575" customWidth="1"/>
    <col min="9555" max="9555" width="13" style="575" customWidth="1"/>
    <col min="9556" max="9556" width="13.5703125" style="575" customWidth="1"/>
    <col min="9557" max="9557" width="7.7109375" style="575" bestFit="1" customWidth="1"/>
    <col min="9558" max="9727" width="9.140625" style="575"/>
    <col min="9728" max="9728" width="4.28515625" style="575" customWidth="1"/>
    <col min="9729" max="9729" width="10.140625" style="575" customWidth="1"/>
    <col min="9730" max="9730" width="8.85546875" style="575" customWidth="1"/>
    <col min="9731" max="9731" width="11.140625" style="575" customWidth="1"/>
    <col min="9732" max="9732" width="15" style="575" bestFit="1" customWidth="1"/>
    <col min="9733" max="9733" width="13.5703125" style="575" customWidth="1"/>
    <col min="9734" max="9734" width="11.42578125" style="575" bestFit="1" customWidth="1"/>
    <col min="9735" max="9735" width="11.28515625" style="575" customWidth="1"/>
    <col min="9736" max="9736" width="15.28515625" style="575" bestFit="1" customWidth="1"/>
    <col min="9737" max="9739" width="11.85546875" style="575" customWidth="1"/>
    <col min="9740" max="9740" width="19.140625" style="575" customWidth="1"/>
    <col min="9741" max="9741" width="15" style="575" customWidth="1"/>
    <col min="9742" max="9742" width="15.28515625" style="575" customWidth="1"/>
    <col min="9743" max="9745" width="18.85546875" style="575" customWidth="1"/>
    <col min="9746" max="9746" width="12.7109375" style="575" customWidth="1"/>
    <col min="9747" max="9747" width="13.7109375" style="575" customWidth="1"/>
    <col min="9748" max="9748" width="16.140625" style="575" customWidth="1"/>
    <col min="9749" max="9749" width="17" style="575" customWidth="1"/>
    <col min="9750" max="9750" width="15" style="575" customWidth="1"/>
    <col min="9751" max="9751" width="14.28515625" style="575" customWidth="1"/>
    <col min="9752" max="9752" width="14.85546875" style="575" customWidth="1"/>
    <col min="9753" max="9753" width="17.140625" style="575" customWidth="1"/>
    <col min="9754" max="9754" width="13.5703125" style="575" customWidth="1"/>
    <col min="9755" max="9756" width="14.85546875" style="575" customWidth="1"/>
    <col min="9757" max="9757" width="18.85546875" style="575" customWidth="1"/>
    <col min="9758" max="9758" width="19.42578125" style="575" customWidth="1"/>
    <col min="9759" max="9759" width="16.140625" style="575" customWidth="1"/>
    <col min="9760" max="9760" width="14.5703125" style="575" customWidth="1"/>
    <col min="9761" max="9761" width="20.28515625" style="575" customWidth="1"/>
    <col min="9762" max="9762" width="13.85546875" style="575" customWidth="1"/>
    <col min="9763" max="9763" width="19.140625" style="575" customWidth="1"/>
    <col min="9764" max="9764" width="19.7109375" style="575" customWidth="1"/>
    <col min="9765" max="9765" width="16.5703125" style="575" customWidth="1"/>
    <col min="9766" max="9766" width="19.140625" style="575" customWidth="1"/>
    <col min="9767" max="9769" width="16.5703125" style="575" customWidth="1"/>
    <col min="9770" max="9770" width="15.7109375" style="575" customWidth="1"/>
    <col min="9771" max="9771" width="19.42578125" style="575" customWidth="1"/>
    <col min="9772" max="9772" width="14.85546875" style="575" bestFit="1" customWidth="1"/>
    <col min="9773" max="9773" width="13.7109375" style="575" bestFit="1" customWidth="1"/>
    <col min="9774" max="9774" width="13" style="575" customWidth="1"/>
    <col min="9775" max="9775" width="18.42578125" style="575" customWidth="1"/>
    <col min="9776" max="9778" width="13.140625" style="575" customWidth="1"/>
    <col min="9779" max="9779" width="16.42578125" style="575" customWidth="1"/>
    <col min="9780" max="9780" width="13.140625" style="575" customWidth="1"/>
    <col min="9781" max="9781" width="15.28515625" style="575" customWidth="1"/>
    <col min="9782" max="9782" width="14" style="575" bestFit="1" customWidth="1"/>
    <col min="9783" max="9783" width="17.140625" style="575" customWidth="1"/>
    <col min="9784" max="9805" width="16.5703125" style="575" customWidth="1"/>
    <col min="9806" max="9806" width="20.140625" style="575" customWidth="1"/>
    <col min="9807" max="9807" width="13.28515625" style="575" customWidth="1"/>
    <col min="9808" max="9808" width="14.85546875" style="575" customWidth="1"/>
    <col min="9809" max="9809" width="13.85546875" style="575" customWidth="1"/>
    <col min="9810" max="9810" width="13.5703125" style="575" customWidth="1"/>
    <col min="9811" max="9811" width="13" style="575" customWidth="1"/>
    <col min="9812" max="9812" width="13.5703125" style="575" customWidth="1"/>
    <col min="9813" max="9813" width="7.7109375" style="575" bestFit="1" customWidth="1"/>
    <col min="9814" max="9983" width="9.140625" style="575"/>
    <col min="9984" max="9984" width="4.28515625" style="575" customWidth="1"/>
    <col min="9985" max="9985" width="10.140625" style="575" customWidth="1"/>
    <col min="9986" max="9986" width="8.85546875" style="575" customWidth="1"/>
    <col min="9987" max="9987" width="11.140625" style="575" customWidth="1"/>
    <col min="9988" max="9988" width="15" style="575" bestFit="1" customWidth="1"/>
    <col min="9989" max="9989" width="13.5703125" style="575" customWidth="1"/>
    <col min="9990" max="9990" width="11.42578125" style="575" bestFit="1" customWidth="1"/>
    <col min="9991" max="9991" width="11.28515625" style="575" customWidth="1"/>
    <col min="9992" max="9992" width="15.28515625" style="575" bestFit="1" customWidth="1"/>
    <col min="9993" max="9995" width="11.85546875" style="575" customWidth="1"/>
    <col min="9996" max="9996" width="19.140625" style="575" customWidth="1"/>
    <col min="9997" max="9997" width="15" style="575" customWidth="1"/>
    <col min="9998" max="9998" width="15.28515625" style="575" customWidth="1"/>
    <col min="9999" max="10001" width="18.85546875" style="575" customWidth="1"/>
    <col min="10002" max="10002" width="12.7109375" style="575" customWidth="1"/>
    <col min="10003" max="10003" width="13.7109375" style="575" customWidth="1"/>
    <col min="10004" max="10004" width="16.140625" style="575" customWidth="1"/>
    <col min="10005" max="10005" width="17" style="575" customWidth="1"/>
    <col min="10006" max="10006" width="15" style="575" customWidth="1"/>
    <col min="10007" max="10007" width="14.28515625" style="575" customWidth="1"/>
    <col min="10008" max="10008" width="14.85546875" style="575" customWidth="1"/>
    <col min="10009" max="10009" width="17.140625" style="575" customWidth="1"/>
    <col min="10010" max="10010" width="13.5703125" style="575" customWidth="1"/>
    <col min="10011" max="10012" width="14.85546875" style="575" customWidth="1"/>
    <col min="10013" max="10013" width="18.85546875" style="575" customWidth="1"/>
    <col min="10014" max="10014" width="19.42578125" style="575" customWidth="1"/>
    <col min="10015" max="10015" width="16.140625" style="575" customWidth="1"/>
    <col min="10016" max="10016" width="14.5703125" style="575" customWidth="1"/>
    <col min="10017" max="10017" width="20.28515625" style="575" customWidth="1"/>
    <col min="10018" max="10018" width="13.85546875" style="575" customWidth="1"/>
    <col min="10019" max="10019" width="19.140625" style="575" customWidth="1"/>
    <col min="10020" max="10020" width="19.7109375" style="575" customWidth="1"/>
    <col min="10021" max="10021" width="16.5703125" style="575" customWidth="1"/>
    <col min="10022" max="10022" width="19.140625" style="575" customWidth="1"/>
    <col min="10023" max="10025" width="16.5703125" style="575" customWidth="1"/>
    <col min="10026" max="10026" width="15.7109375" style="575" customWidth="1"/>
    <col min="10027" max="10027" width="19.42578125" style="575" customWidth="1"/>
    <col min="10028" max="10028" width="14.85546875" style="575" bestFit="1" customWidth="1"/>
    <col min="10029" max="10029" width="13.7109375" style="575" bestFit="1" customWidth="1"/>
    <col min="10030" max="10030" width="13" style="575" customWidth="1"/>
    <col min="10031" max="10031" width="18.42578125" style="575" customWidth="1"/>
    <col min="10032" max="10034" width="13.140625" style="575" customWidth="1"/>
    <col min="10035" max="10035" width="16.42578125" style="575" customWidth="1"/>
    <col min="10036" max="10036" width="13.140625" style="575" customWidth="1"/>
    <col min="10037" max="10037" width="15.28515625" style="575" customWidth="1"/>
    <col min="10038" max="10038" width="14" style="575" bestFit="1" customWidth="1"/>
    <col min="10039" max="10039" width="17.140625" style="575" customWidth="1"/>
    <col min="10040" max="10061" width="16.5703125" style="575" customWidth="1"/>
    <col min="10062" max="10062" width="20.140625" style="575" customWidth="1"/>
    <col min="10063" max="10063" width="13.28515625" style="575" customWidth="1"/>
    <col min="10064" max="10064" width="14.85546875" style="575" customWidth="1"/>
    <col min="10065" max="10065" width="13.85546875" style="575" customWidth="1"/>
    <col min="10066" max="10066" width="13.5703125" style="575" customWidth="1"/>
    <col min="10067" max="10067" width="13" style="575" customWidth="1"/>
    <col min="10068" max="10068" width="13.5703125" style="575" customWidth="1"/>
    <col min="10069" max="10069" width="7.7109375" style="575" bestFit="1" customWidth="1"/>
    <col min="10070" max="10239" width="9.140625" style="575"/>
    <col min="10240" max="10240" width="4.28515625" style="575" customWidth="1"/>
    <col min="10241" max="10241" width="10.140625" style="575" customWidth="1"/>
    <col min="10242" max="10242" width="8.85546875" style="575" customWidth="1"/>
    <col min="10243" max="10243" width="11.140625" style="575" customWidth="1"/>
    <col min="10244" max="10244" width="15" style="575" bestFit="1" customWidth="1"/>
    <col min="10245" max="10245" width="13.5703125" style="575" customWidth="1"/>
    <col min="10246" max="10246" width="11.42578125" style="575" bestFit="1" customWidth="1"/>
    <col min="10247" max="10247" width="11.28515625" style="575" customWidth="1"/>
    <col min="10248" max="10248" width="15.28515625" style="575" bestFit="1" customWidth="1"/>
    <col min="10249" max="10251" width="11.85546875" style="575" customWidth="1"/>
    <col min="10252" max="10252" width="19.140625" style="575" customWidth="1"/>
    <col min="10253" max="10253" width="15" style="575" customWidth="1"/>
    <col min="10254" max="10254" width="15.28515625" style="575" customWidth="1"/>
    <col min="10255" max="10257" width="18.85546875" style="575" customWidth="1"/>
    <col min="10258" max="10258" width="12.7109375" style="575" customWidth="1"/>
    <col min="10259" max="10259" width="13.7109375" style="575" customWidth="1"/>
    <col min="10260" max="10260" width="16.140625" style="575" customWidth="1"/>
    <col min="10261" max="10261" width="17" style="575" customWidth="1"/>
    <col min="10262" max="10262" width="15" style="575" customWidth="1"/>
    <col min="10263" max="10263" width="14.28515625" style="575" customWidth="1"/>
    <col min="10264" max="10264" width="14.85546875" style="575" customWidth="1"/>
    <col min="10265" max="10265" width="17.140625" style="575" customWidth="1"/>
    <col min="10266" max="10266" width="13.5703125" style="575" customWidth="1"/>
    <col min="10267" max="10268" width="14.85546875" style="575" customWidth="1"/>
    <col min="10269" max="10269" width="18.85546875" style="575" customWidth="1"/>
    <col min="10270" max="10270" width="19.42578125" style="575" customWidth="1"/>
    <col min="10271" max="10271" width="16.140625" style="575" customWidth="1"/>
    <col min="10272" max="10272" width="14.5703125" style="575" customWidth="1"/>
    <col min="10273" max="10273" width="20.28515625" style="575" customWidth="1"/>
    <col min="10274" max="10274" width="13.85546875" style="575" customWidth="1"/>
    <col min="10275" max="10275" width="19.140625" style="575" customWidth="1"/>
    <col min="10276" max="10276" width="19.7109375" style="575" customWidth="1"/>
    <col min="10277" max="10277" width="16.5703125" style="575" customWidth="1"/>
    <col min="10278" max="10278" width="19.140625" style="575" customWidth="1"/>
    <col min="10279" max="10281" width="16.5703125" style="575" customWidth="1"/>
    <col min="10282" max="10282" width="15.7109375" style="575" customWidth="1"/>
    <col min="10283" max="10283" width="19.42578125" style="575" customWidth="1"/>
    <col min="10284" max="10284" width="14.85546875" style="575" bestFit="1" customWidth="1"/>
    <col min="10285" max="10285" width="13.7109375" style="575" bestFit="1" customWidth="1"/>
    <col min="10286" max="10286" width="13" style="575" customWidth="1"/>
    <col min="10287" max="10287" width="18.42578125" style="575" customWidth="1"/>
    <col min="10288" max="10290" width="13.140625" style="575" customWidth="1"/>
    <col min="10291" max="10291" width="16.42578125" style="575" customWidth="1"/>
    <col min="10292" max="10292" width="13.140625" style="575" customWidth="1"/>
    <col min="10293" max="10293" width="15.28515625" style="575" customWidth="1"/>
    <col min="10294" max="10294" width="14" style="575" bestFit="1" customWidth="1"/>
    <col min="10295" max="10295" width="17.140625" style="575" customWidth="1"/>
    <col min="10296" max="10317" width="16.5703125" style="575" customWidth="1"/>
    <col min="10318" max="10318" width="20.140625" style="575" customWidth="1"/>
    <col min="10319" max="10319" width="13.28515625" style="575" customWidth="1"/>
    <col min="10320" max="10320" width="14.85546875" style="575" customWidth="1"/>
    <col min="10321" max="10321" width="13.85546875" style="575" customWidth="1"/>
    <col min="10322" max="10322" width="13.5703125" style="575" customWidth="1"/>
    <col min="10323" max="10323" width="13" style="575" customWidth="1"/>
    <col min="10324" max="10324" width="13.5703125" style="575" customWidth="1"/>
    <col min="10325" max="10325" width="7.7109375" style="575" bestFit="1" customWidth="1"/>
    <col min="10326" max="10495" width="9.140625" style="575"/>
    <col min="10496" max="10496" width="4.28515625" style="575" customWidth="1"/>
    <col min="10497" max="10497" width="10.140625" style="575" customWidth="1"/>
    <col min="10498" max="10498" width="8.85546875" style="575" customWidth="1"/>
    <col min="10499" max="10499" width="11.140625" style="575" customWidth="1"/>
    <col min="10500" max="10500" width="15" style="575" bestFit="1" customWidth="1"/>
    <col min="10501" max="10501" width="13.5703125" style="575" customWidth="1"/>
    <col min="10502" max="10502" width="11.42578125" style="575" bestFit="1" customWidth="1"/>
    <col min="10503" max="10503" width="11.28515625" style="575" customWidth="1"/>
    <col min="10504" max="10504" width="15.28515625" style="575" bestFit="1" customWidth="1"/>
    <col min="10505" max="10507" width="11.85546875" style="575" customWidth="1"/>
    <col min="10508" max="10508" width="19.140625" style="575" customWidth="1"/>
    <col min="10509" max="10509" width="15" style="575" customWidth="1"/>
    <col min="10510" max="10510" width="15.28515625" style="575" customWidth="1"/>
    <col min="10511" max="10513" width="18.85546875" style="575" customWidth="1"/>
    <col min="10514" max="10514" width="12.7109375" style="575" customWidth="1"/>
    <col min="10515" max="10515" width="13.7109375" style="575" customWidth="1"/>
    <col min="10516" max="10516" width="16.140625" style="575" customWidth="1"/>
    <col min="10517" max="10517" width="17" style="575" customWidth="1"/>
    <col min="10518" max="10518" width="15" style="575" customWidth="1"/>
    <col min="10519" max="10519" width="14.28515625" style="575" customWidth="1"/>
    <col min="10520" max="10520" width="14.85546875" style="575" customWidth="1"/>
    <col min="10521" max="10521" width="17.140625" style="575" customWidth="1"/>
    <col min="10522" max="10522" width="13.5703125" style="575" customWidth="1"/>
    <col min="10523" max="10524" width="14.85546875" style="575" customWidth="1"/>
    <col min="10525" max="10525" width="18.85546875" style="575" customWidth="1"/>
    <col min="10526" max="10526" width="19.42578125" style="575" customWidth="1"/>
    <col min="10527" max="10527" width="16.140625" style="575" customWidth="1"/>
    <col min="10528" max="10528" width="14.5703125" style="575" customWidth="1"/>
    <col min="10529" max="10529" width="20.28515625" style="575" customWidth="1"/>
    <col min="10530" max="10530" width="13.85546875" style="575" customWidth="1"/>
    <col min="10531" max="10531" width="19.140625" style="575" customWidth="1"/>
    <col min="10532" max="10532" width="19.7109375" style="575" customWidth="1"/>
    <col min="10533" max="10533" width="16.5703125" style="575" customWidth="1"/>
    <col min="10534" max="10534" width="19.140625" style="575" customWidth="1"/>
    <col min="10535" max="10537" width="16.5703125" style="575" customWidth="1"/>
    <col min="10538" max="10538" width="15.7109375" style="575" customWidth="1"/>
    <col min="10539" max="10539" width="19.42578125" style="575" customWidth="1"/>
    <col min="10540" max="10540" width="14.85546875" style="575" bestFit="1" customWidth="1"/>
    <col min="10541" max="10541" width="13.7109375" style="575" bestFit="1" customWidth="1"/>
    <col min="10542" max="10542" width="13" style="575" customWidth="1"/>
    <col min="10543" max="10543" width="18.42578125" style="575" customWidth="1"/>
    <col min="10544" max="10546" width="13.140625" style="575" customWidth="1"/>
    <col min="10547" max="10547" width="16.42578125" style="575" customWidth="1"/>
    <col min="10548" max="10548" width="13.140625" style="575" customWidth="1"/>
    <col min="10549" max="10549" width="15.28515625" style="575" customWidth="1"/>
    <col min="10550" max="10550" width="14" style="575" bestFit="1" customWidth="1"/>
    <col min="10551" max="10551" width="17.140625" style="575" customWidth="1"/>
    <col min="10552" max="10573" width="16.5703125" style="575" customWidth="1"/>
    <col min="10574" max="10574" width="20.140625" style="575" customWidth="1"/>
    <col min="10575" max="10575" width="13.28515625" style="575" customWidth="1"/>
    <col min="10576" max="10576" width="14.85546875" style="575" customWidth="1"/>
    <col min="10577" max="10577" width="13.85546875" style="575" customWidth="1"/>
    <col min="10578" max="10578" width="13.5703125" style="575" customWidth="1"/>
    <col min="10579" max="10579" width="13" style="575" customWidth="1"/>
    <col min="10580" max="10580" width="13.5703125" style="575" customWidth="1"/>
    <col min="10581" max="10581" width="7.7109375" style="575" bestFit="1" customWidth="1"/>
    <col min="10582" max="10751" width="9.140625" style="575"/>
    <col min="10752" max="10752" width="4.28515625" style="575" customWidth="1"/>
    <col min="10753" max="10753" width="10.140625" style="575" customWidth="1"/>
    <col min="10754" max="10754" width="8.85546875" style="575" customWidth="1"/>
    <col min="10755" max="10755" width="11.140625" style="575" customWidth="1"/>
    <col min="10756" max="10756" width="15" style="575" bestFit="1" customWidth="1"/>
    <col min="10757" max="10757" width="13.5703125" style="575" customWidth="1"/>
    <col min="10758" max="10758" width="11.42578125" style="575" bestFit="1" customWidth="1"/>
    <col min="10759" max="10759" width="11.28515625" style="575" customWidth="1"/>
    <col min="10760" max="10760" width="15.28515625" style="575" bestFit="1" customWidth="1"/>
    <col min="10761" max="10763" width="11.85546875" style="575" customWidth="1"/>
    <col min="10764" max="10764" width="19.140625" style="575" customWidth="1"/>
    <col min="10765" max="10765" width="15" style="575" customWidth="1"/>
    <col min="10766" max="10766" width="15.28515625" style="575" customWidth="1"/>
    <col min="10767" max="10769" width="18.85546875" style="575" customWidth="1"/>
    <col min="10770" max="10770" width="12.7109375" style="575" customWidth="1"/>
    <col min="10771" max="10771" width="13.7109375" style="575" customWidth="1"/>
    <col min="10772" max="10772" width="16.140625" style="575" customWidth="1"/>
    <col min="10773" max="10773" width="17" style="575" customWidth="1"/>
    <col min="10774" max="10774" width="15" style="575" customWidth="1"/>
    <col min="10775" max="10775" width="14.28515625" style="575" customWidth="1"/>
    <col min="10776" max="10776" width="14.85546875" style="575" customWidth="1"/>
    <col min="10777" max="10777" width="17.140625" style="575" customWidth="1"/>
    <col min="10778" max="10778" width="13.5703125" style="575" customWidth="1"/>
    <col min="10779" max="10780" width="14.85546875" style="575" customWidth="1"/>
    <col min="10781" max="10781" width="18.85546875" style="575" customWidth="1"/>
    <col min="10782" max="10782" width="19.42578125" style="575" customWidth="1"/>
    <col min="10783" max="10783" width="16.140625" style="575" customWidth="1"/>
    <col min="10784" max="10784" width="14.5703125" style="575" customWidth="1"/>
    <col min="10785" max="10785" width="20.28515625" style="575" customWidth="1"/>
    <col min="10786" max="10786" width="13.85546875" style="575" customWidth="1"/>
    <col min="10787" max="10787" width="19.140625" style="575" customWidth="1"/>
    <col min="10788" max="10788" width="19.7109375" style="575" customWidth="1"/>
    <col min="10789" max="10789" width="16.5703125" style="575" customWidth="1"/>
    <col min="10790" max="10790" width="19.140625" style="575" customWidth="1"/>
    <col min="10791" max="10793" width="16.5703125" style="575" customWidth="1"/>
    <col min="10794" max="10794" width="15.7109375" style="575" customWidth="1"/>
    <col min="10795" max="10795" width="19.42578125" style="575" customWidth="1"/>
    <col min="10796" max="10796" width="14.85546875" style="575" bestFit="1" customWidth="1"/>
    <col min="10797" max="10797" width="13.7109375" style="575" bestFit="1" customWidth="1"/>
    <col min="10798" max="10798" width="13" style="575" customWidth="1"/>
    <col min="10799" max="10799" width="18.42578125" style="575" customWidth="1"/>
    <col min="10800" max="10802" width="13.140625" style="575" customWidth="1"/>
    <col min="10803" max="10803" width="16.42578125" style="575" customWidth="1"/>
    <col min="10804" max="10804" width="13.140625" style="575" customWidth="1"/>
    <col min="10805" max="10805" width="15.28515625" style="575" customWidth="1"/>
    <col min="10806" max="10806" width="14" style="575" bestFit="1" customWidth="1"/>
    <col min="10807" max="10807" width="17.140625" style="575" customWidth="1"/>
    <col min="10808" max="10829" width="16.5703125" style="575" customWidth="1"/>
    <col min="10830" max="10830" width="20.140625" style="575" customWidth="1"/>
    <col min="10831" max="10831" width="13.28515625" style="575" customWidth="1"/>
    <col min="10832" max="10832" width="14.85546875" style="575" customWidth="1"/>
    <col min="10833" max="10833" width="13.85546875" style="575" customWidth="1"/>
    <col min="10834" max="10834" width="13.5703125" style="575" customWidth="1"/>
    <col min="10835" max="10835" width="13" style="575" customWidth="1"/>
    <col min="10836" max="10836" width="13.5703125" style="575" customWidth="1"/>
    <col min="10837" max="10837" width="7.7109375" style="575" bestFit="1" customWidth="1"/>
    <col min="10838" max="11007" width="9.140625" style="575"/>
    <col min="11008" max="11008" width="4.28515625" style="575" customWidth="1"/>
    <col min="11009" max="11009" width="10.140625" style="575" customWidth="1"/>
    <col min="11010" max="11010" width="8.85546875" style="575" customWidth="1"/>
    <col min="11011" max="11011" width="11.140625" style="575" customWidth="1"/>
    <col min="11012" max="11012" width="15" style="575" bestFit="1" customWidth="1"/>
    <col min="11013" max="11013" width="13.5703125" style="575" customWidth="1"/>
    <col min="11014" max="11014" width="11.42578125" style="575" bestFit="1" customWidth="1"/>
    <col min="11015" max="11015" width="11.28515625" style="575" customWidth="1"/>
    <col min="11016" max="11016" width="15.28515625" style="575" bestFit="1" customWidth="1"/>
    <col min="11017" max="11019" width="11.85546875" style="575" customWidth="1"/>
    <col min="11020" max="11020" width="19.140625" style="575" customWidth="1"/>
    <col min="11021" max="11021" width="15" style="575" customWidth="1"/>
    <col min="11022" max="11022" width="15.28515625" style="575" customWidth="1"/>
    <col min="11023" max="11025" width="18.85546875" style="575" customWidth="1"/>
    <col min="11026" max="11026" width="12.7109375" style="575" customWidth="1"/>
    <col min="11027" max="11027" width="13.7109375" style="575" customWidth="1"/>
    <col min="11028" max="11028" width="16.140625" style="575" customWidth="1"/>
    <col min="11029" max="11029" width="17" style="575" customWidth="1"/>
    <col min="11030" max="11030" width="15" style="575" customWidth="1"/>
    <col min="11031" max="11031" width="14.28515625" style="575" customWidth="1"/>
    <col min="11032" max="11032" width="14.85546875" style="575" customWidth="1"/>
    <col min="11033" max="11033" width="17.140625" style="575" customWidth="1"/>
    <col min="11034" max="11034" width="13.5703125" style="575" customWidth="1"/>
    <col min="11035" max="11036" width="14.85546875" style="575" customWidth="1"/>
    <col min="11037" max="11037" width="18.85546875" style="575" customWidth="1"/>
    <col min="11038" max="11038" width="19.42578125" style="575" customWidth="1"/>
    <col min="11039" max="11039" width="16.140625" style="575" customWidth="1"/>
    <col min="11040" max="11040" width="14.5703125" style="575" customWidth="1"/>
    <col min="11041" max="11041" width="20.28515625" style="575" customWidth="1"/>
    <col min="11042" max="11042" width="13.85546875" style="575" customWidth="1"/>
    <col min="11043" max="11043" width="19.140625" style="575" customWidth="1"/>
    <col min="11044" max="11044" width="19.7109375" style="575" customWidth="1"/>
    <col min="11045" max="11045" width="16.5703125" style="575" customWidth="1"/>
    <col min="11046" max="11046" width="19.140625" style="575" customWidth="1"/>
    <col min="11047" max="11049" width="16.5703125" style="575" customWidth="1"/>
    <col min="11050" max="11050" width="15.7109375" style="575" customWidth="1"/>
    <col min="11051" max="11051" width="19.42578125" style="575" customWidth="1"/>
    <col min="11052" max="11052" width="14.85546875" style="575" bestFit="1" customWidth="1"/>
    <col min="11053" max="11053" width="13.7109375" style="575" bestFit="1" customWidth="1"/>
    <col min="11054" max="11054" width="13" style="575" customWidth="1"/>
    <col min="11055" max="11055" width="18.42578125" style="575" customWidth="1"/>
    <col min="11056" max="11058" width="13.140625" style="575" customWidth="1"/>
    <col min="11059" max="11059" width="16.42578125" style="575" customWidth="1"/>
    <col min="11060" max="11060" width="13.140625" style="575" customWidth="1"/>
    <col min="11061" max="11061" width="15.28515625" style="575" customWidth="1"/>
    <col min="11062" max="11062" width="14" style="575" bestFit="1" customWidth="1"/>
    <col min="11063" max="11063" width="17.140625" style="575" customWidth="1"/>
    <col min="11064" max="11085" width="16.5703125" style="575" customWidth="1"/>
    <col min="11086" max="11086" width="20.140625" style="575" customWidth="1"/>
    <col min="11087" max="11087" width="13.28515625" style="575" customWidth="1"/>
    <col min="11088" max="11088" width="14.85546875" style="575" customWidth="1"/>
    <col min="11089" max="11089" width="13.85546875" style="575" customWidth="1"/>
    <col min="11090" max="11090" width="13.5703125" style="575" customWidth="1"/>
    <col min="11091" max="11091" width="13" style="575" customWidth="1"/>
    <col min="11092" max="11092" width="13.5703125" style="575" customWidth="1"/>
    <col min="11093" max="11093" width="7.7109375" style="575" bestFit="1" customWidth="1"/>
    <col min="11094" max="11263" width="9.140625" style="575"/>
    <col min="11264" max="11264" width="4.28515625" style="575" customWidth="1"/>
    <col min="11265" max="11265" width="10.140625" style="575" customWidth="1"/>
    <col min="11266" max="11266" width="8.85546875" style="575" customWidth="1"/>
    <col min="11267" max="11267" width="11.140625" style="575" customWidth="1"/>
    <col min="11268" max="11268" width="15" style="575" bestFit="1" customWidth="1"/>
    <col min="11269" max="11269" width="13.5703125" style="575" customWidth="1"/>
    <col min="11270" max="11270" width="11.42578125" style="575" bestFit="1" customWidth="1"/>
    <col min="11271" max="11271" width="11.28515625" style="575" customWidth="1"/>
    <col min="11272" max="11272" width="15.28515625" style="575" bestFit="1" customWidth="1"/>
    <col min="11273" max="11275" width="11.85546875" style="575" customWidth="1"/>
    <col min="11276" max="11276" width="19.140625" style="575" customWidth="1"/>
    <col min="11277" max="11277" width="15" style="575" customWidth="1"/>
    <col min="11278" max="11278" width="15.28515625" style="575" customWidth="1"/>
    <col min="11279" max="11281" width="18.85546875" style="575" customWidth="1"/>
    <col min="11282" max="11282" width="12.7109375" style="575" customWidth="1"/>
    <col min="11283" max="11283" width="13.7109375" style="575" customWidth="1"/>
    <col min="11284" max="11284" width="16.140625" style="575" customWidth="1"/>
    <col min="11285" max="11285" width="17" style="575" customWidth="1"/>
    <col min="11286" max="11286" width="15" style="575" customWidth="1"/>
    <col min="11287" max="11287" width="14.28515625" style="575" customWidth="1"/>
    <col min="11288" max="11288" width="14.85546875" style="575" customWidth="1"/>
    <col min="11289" max="11289" width="17.140625" style="575" customWidth="1"/>
    <col min="11290" max="11290" width="13.5703125" style="575" customWidth="1"/>
    <col min="11291" max="11292" width="14.85546875" style="575" customWidth="1"/>
    <col min="11293" max="11293" width="18.85546875" style="575" customWidth="1"/>
    <col min="11294" max="11294" width="19.42578125" style="575" customWidth="1"/>
    <col min="11295" max="11295" width="16.140625" style="575" customWidth="1"/>
    <col min="11296" max="11296" width="14.5703125" style="575" customWidth="1"/>
    <col min="11297" max="11297" width="20.28515625" style="575" customWidth="1"/>
    <col min="11298" max="11298" width="13.85546875" style="575" customWidth="1"/>
    <col min="11299" max="11299" width="19.140625" style="575" customWidth="1"/>
    <col min="11300" max="11300" width="19.7109375" style="575" customWidth="1"/>
    <col min="11301" max="11301" width="16.5703125" style="575" customWidth="1"/>
    <col min="11302" max="11302" width="19.140625" style="575" customWidth="1"/>
    <col min="11303" max="11305" width="16.5703125" style="575" customWidth="1"/>
    <col min="11306" max="11306" width="15.7109375" style="575" customWidth="1"/>
    <col min="11307" max="11307" width="19.42578125" style="575" customWidth="1"/>
    <col min="11308" max="11308" width="14.85546875" style="575" bestFit="1" customWidth="1"/>
    <col min="11309" max="11309" width="13.7109375" style="575" bestFit="1" customWidth="1"/>
    <col min="11310" max="11310" width="13" style="575" customWidth="1"/>
    <col min="11311" max="11311" width="18.42578125" style="575" customWidth="1"/>
    <col min="11312" max="11314" width="13.140625" style="575" customWidth="1"/>
    <col min="11315" max="11315" width="16.42578125" style="575" customWidth="1"/>
    <col min="11316" max="11316" width="13.140625" style="575" customWidth="1"/>
    <col min="11317" max="11317" width="15.28515625" style="575" customWidth="1"/>
    <col min="11318" max="11318" width="14" style="575" bestFit="1" customWidth="1"/>
    <col min="11319" max="11319" width="17.140625" style="575" customWidth="1"/>
    <col min="11320" max="11341" width="16.5703125" style="575" customWidth="1"/>
    <col min="11342" max="11342" width="20.140625" style="575" customWidth="1"/>
    <col min="11343" max="11343" width="13.28515625" style="575" customWidth="1"/>
    <col min="11344" max="11344" width="14.85546875" style="575" customWidth="1"/>
    <col min="11345" max="11345" width="13.85546875" style="575" customWidth="1"/>
    <col min="11346" max="11346" width="13.5703125" style="575" customWidth="1"/>
    <col min="11347" max="11347" width="13" style="575" customWidth="1"/>
    <col min="11348" max="11348" width="13.5703125" style="575" customWidth="1"/>
    <col min="11349" max="11349" width="7.7109375" style="575" bestFit="1" customWidth="1"/>
    <col min="11350" max="11519" width="9.140625" style="575"/>
    <col min="11520" max="11520" width="4.28515625" style="575" customWidth="1"/>
    <col min="11521" max="11521" width="10.140625" style="575" customWidth="1"/>
    <col min="11522" max="11522" width="8.85546875" style="575" customWidth="1"/>
    <col min="11523" max="11523" width="11.140625" style="575" customWidth="1"/>
    <col min="11524" max="11524" width="15" style="575" bestFit="1" customWidth="1"/>
    <col min="11525" max="11525" width="13.5703125" style="575" customWidth="1"/>
    <col min="11526" max="11526" width="11.42578125" style="575" bestFit="1" customWidth="1"/>
    <col min="11527" max="11527" width="11.28515625" style="575" customWidth="1"/>
    <col min="11528" max="11528" width="15.28515625" style="575" bestFit="1" customWidth="1"/>
    <col min="11529" max="11531" width="11.85546875" style="575" customWidth="1"/>
    <col min="11532" max="11532" width="19.140625" style="575" customWidth="1"/>
    <col min="11533" max="11533" width="15" style="575" customWidth="1"/>
    <col min="11534" max="11534" width="15.28515625" style="575" customWidth="1"/>
    <col min="11535" max="11537" width="18.85546875" style="575" customWidth="1"/>
    <col min="11538" max="11538" width="12.7109375" style="575" customWidth="1"/>
    <col min="11539" max="11539" width="13.7109375" style="575" customWidth="1"/>
    <col min="11540" max="11540" width="16.140625" style="575" customWidth="1"/>
    <col min="11541" max="11541" width="17" style="575" customWidth="1"/>
    <col min="11542" max="11542" width="15" style="575" customWidth="1"/>
    <col min="11543" max="11543" width="14.28515625" style="575" customWidth="1"/>
    <col min="11544" max="11544" width="14.85546875" style="575" customWidth="1"/>
    <col min="11545" max="11545" width="17.140625" style="575" customWidth="1"/>
    <col min="11546" max="11546" width="13.5703125" style="575" customWidth="1"/>
    <col min="11547" max="11548" width="14.85546875" style="575" customWidth="1"/>
    <col min="11549" max="11549" width="18.85546875" style="575" customWidth="1"/>
    <col min="11550" max="11550" width="19.42578125" style="575" customWidth="1"/>
    <col min="11551" max="11551" width="16.140625" style="575" customWidth="1"/>
    <col min="11552" max="11552" width="14.5703125" style="575" customWidth="1"/>
    <col min="11553" max="11553" width="20.28515625" style="575" customWidth="1"/>
    <col min="11554" max="11554" width="13.85546875" style="575" customWidth="1"/>
    <col min="11555" max="11555" width="19.140625" style="575" customWidth="1"/>
    <col min="11556" max="11556" width="19.7109375" style="575" customWidth="1"/>
    <col min="11557" max="11557" width="16.5703125" style="575" customWidth="1"/>
    <col min="11558" max="11558" width="19.140625" style="575" customWidth="1"/>
    <col min="11559" max="11561" width="16.5703125" style="575" customWidth="1"/>
    <col min="11562" max="11562" width="15.7109375" style="575" customWidth="1"/>
    <col min="11563" max="11563" width="19.42578125" style="575" customWidth="1"/>
    <col min="11564" max="11564" width="14.85546875" style="575" bestFit="1" customWidth="1"/>
    <col min="11565" max="11565" width="13.7109375" style="575" bestFit="1" customWidth="1"/>
    <col min="11566" max="11566" width="13" style="575" customWidth="1"/>
    <col min="11567" max="11567" width="18.42578125" style="575" customWidth="1"/>
    <col min="11568" max="11570" width="13.140625" style="575" customWidth="1"/>
    <col min="11571" max="11571" width="16.42578125" style="575" customWidth="1"/>
    <col min="11572" max="11572" width="13.140625" style="575" customWidth="1"/>
    <col min="11573" max="11573" width="15.28515625" style="575" customWidth="1"/>
    <col min="11574" max="11574" width="14" style="575" bestFit="1" customWidth="1"/>
    <col min="11575" max="11575" width="17.140625" style="575" customWidth="1"/>
    <col min="11576" max="11597" width="16.5703125" style="575" customWidth="1"/>
    <col min="11598" max="11598" width="20.140625" style="575" customWidth="1"/>
    <col min="11599" max="11599" width="13.28515625" style="575" customWidth="1"/>
    <col min="11600" max="11600" width="14.85546875" style="575" customWidth="1"/>
    <col min="11601" max="11601" width="13.85546875" style="575" customWidth="1"/>
    <col min="11602" max="11602" width="13.5703125" style="575" customWidth="1"/>
    <col min="11603" max="11603" width="13" style="575" customWidth="1"/>
    <col min="11604" max="11604" width="13.5703125" style="575" customWidth="1"/>
    <col min="11605" max="11605" width="7.7109375" style="575" bestFit="1" customWidth="1"/>
    <col min="11606" max="11775" width="9.140625" style="575"/>
    <col min="11776" max="11776" width="4.28515625" style="575" customWidth="1"/>
    <col min="11777" max="11777" width="10.140625" style="575" customWidth="1"/>
    <col min="11778" max="11778" width="8.85546875" style="575" customWidth="1"/>
    <col min="11779" max="11779" width="11.140625" style="575" customWidth="1"/>
    <col min="11780" max="11780" width="15" style="575" bestFit="1" customWidth="1"/>
    <col min="11781" max="11781" width="13.5703125" style="575" customWidth="1"/>
    <col min="11782" max="11782" width="11.42578125" style="575" bestFit="1" customWidth="1"/>
    <col min="11783" max="11783" width="11.28515625" style="575" customWidth="1"/>
    <col min="11784" max="11784" width="15.28515625" style="575" bestFit="1" customWidth="1"/>
    <col min="11785" max="11787" width="11.85546875" style="575" customWidth="1"/>
    <col min="11788" max="11788" width="19.140625" style="575" customWidth="1"/>
    <col min="11789" max="11789" width="15" style="575" customWidth="1"/>
    <col min="11790" max="11790" width="15.28515625" style="575" customWidth="1"/>
    <col min="11791" max="11793" width="18.85546875" style="575" customWidth="1"/>
    <col min="11794" max="11794" width="12.7109375" style="575" customWidth="1"/>
    <col min="11795" max="11795" width="13.7109375" style="575" customWidth="1"/>
    <col min="11796" max="11796" width="16.140625" style="575" customWidth="1"/>
    <col min="11797" max="11797" width="17" style="575" customWidth="1"/>
    <col min="11798" max="11798" width="15" style="575" customWidth="1"/>
    <col min="11799" max="11799" width="14.28515625" style="575" customWidth="1"/>
    <col min="11800" max="11800" width="14.85546875" style="575" customWidth="1"/>
    <col min="11801" max="11801" width="17.140625" style="575" customWidth="1"/>
    <col min="11802" max="11802" width="13.5703125" style="575" customWidth="1"/>
    <col min="11803" max="11804" width="14.85546875" style="575" customWidth="1"/>
    <col min="11805" max="11805" width="18.85546875" style="575" customWidth="1"/>
    <col min="11806" max="11806" width="19.42578125" style="575" customWidth="1"/>
    <col min="11807" max="11807" width="16.140625" style="575" customWidth="1"/>
    <col min="11808" max="11808" width="14.5703125" style="575" customWidth="1"/>
    <col min="11809" max="11809" width="20.28515625" style="575" customWidth="1"/>
    <col min="11810" max="11810" width="13.85546875" style="575" customWidth="1"/>
    <col min="11811" max="11811" width="19.140625" style="575" customWidth="1"/>
    <col min="11812" max="11812" width="19.7109375" style="575" customWidth="1"/>
    <col min="11813" max="11813" width="16.5703125" style="575" customWidth="1"/>
    <col min="11814" max="11814" width="19.140625" style="575" customWidth="1"/>
    <col min="11815" max="11817" width="16.5703125" style="575" customWidth="1"/>
    <col min="11818" max="11818" width="15.7109375" style="575" customWidth="1"/>
    <col min="11819" max="11819" width="19.42578125" style="575" customWidth="1"/>
    <col min="11820" max="11820" width="14.85546875" style="575" bestFit="1" customWidth="1"/>
    <col min="11821" max="11821" width="13.7109375" style="575" bestFit="1" customWidth="1"/>
    <col min="11822" max="11822" width="13" style="575" customWidth="1"/>
    <col min="11823" max="11823" width="18.42578125" style="575" customWidth="1"/>
    <col min="11824" max="11826" width="13.140625" style="575" customWidth="1"/>
    <col min="11827" max="11827" width="16.42578125" style="575" customWidth="1"/>
    <col min="11828" max="11828" width="13.140625" style="575" customWidth="1"/>
    <col min="11829" max="11829" width="15.28515625" style="575" customWidth="1"/>
    <col min="11830" max="11830" width="14" style="575" bestFit="1" customWidth="1"/>
    <col min="11831" max="11831" width="17.140625" style="575" customWidth="1"/>
    <col min="11832" max="11853" width="16.5703125" style="575" customWidth="1"/>
    <col min="11854" max="11854" width="20.140625" style="575" customWidth="1"/>
    <col min="11855" max="11855" width="13.28515625" style="575" customWidth="1"/>
    <col min="11856" max="11856" width="14.85546875" style="575" customWidth="1"/>
    <col min="11857" max="11857" width="13.85546875" style="575" customWidth="1"/>
    <col min="11858" max="11858" width="13.5703125" style="575" customWidth="1"/>
    <col min="11859" max="11859" width="13" style="575" customWidth="1"/>
    <col min="11860" max="11860" width="13.5703125" style="575" customWidth="1"/>
    <col min="11861" max="11861" width="7.7109375" style="575" bestFit="1" customWidth="1"/>
    <col min="11862" max="12031" width="9.140625" style="575"/>
    <col min="12032" max="12032" width="4.28515625" style="575" customWidth="1"/>
    <col min="12033" max="12033" width="10.140625" style="575" customWidth="1"/>
    <col min="12034" max="12034" width="8.85546875" style="575" customWidth="1"/>
    <col min="12035" max="12035" width="11.140625" style="575" customWidth="1"/>
    <col min="12036" max="12036" width="15" style="575" bestFit="1" customWidth="1"/>
    <col min="12037" max="12037" width="13.5703125" style="575" customWidth="1"/>
    <col min="12038" max="12038" width="11.42578125" style="575" bestFit="1" customWidth="1"/>
    <col min="12039" max="12039" width="11.28515625" style="575" customWidth="1"/>
    <col min="12040" max="12040" width="15.28515625" style="575" bestFit="1" customWidth="1"/>
    <col min="12041" max="12043" width="11.85546875" style="575" customWidth="1"/>
    <col min="12044" max="12044" width="19.140625" style="575" customWidth="1"/>
    <col min="12045" max="12045" width="15" style="575" customWidth="1"/>
    <col min="12046" max="12046" width="15.28515625" style="575" customWidth="1"/>
    <col min="12047" max="12049" width="18.85546875" style="575" customWidth="1"/>
    <col min="12050" max="12050" width="12.7109375" style="575" customWidth="1"/>
    <col min="12051" max="12051" width="13.7109375" style="575" customWidth="1"/>
    <col min="12052" max="12052" width="16.140625" style="575" customWidth="1"/>
    <col min="12053" max="12053" width="17" style="575" customWidth="1"/>
    <col min="12054" max="12054" width="15" style="575" customWidth="1"/>
    <col min="12055" max="12055" width="14.28515625" style="575" customWidth="1"/>
    <col min="12056" max="12056" width="14.85546875" style="575" customWidth="1"/>
    <col min="12057" max="12057" width="17.140625" style="575" customWidth="1"/>
    <col min="12058" max="12058" width="13.5703125" style="575" customWidth="1"/>
    <col min="12059" max="12060" width="14.85546875" style="575" customWidth="1"/>
    <col min="12061" max="12061" width="18.85546875" style="575" customWidth="1"/>
    <col min="12062" max="12062" width="19.42578125" style="575" customWidth="1"/>
    <col min="12063" max="12063" width="16.140625" style="575" customWidth="1"/>
    <col min="12064" max="12064" width="14.5703125" style="575" customWidth="1"/>
    <col min="12065" max="12065" width="20.28515625" style="575" customWidth="1"/>
    <col min="12066" max="12066" width="13.85546875" style="575" customWidth="1"/>
    <col min="12067" max="12067" width="19.140625" style="575" customWidth="1"/>
    <col min="12068" max="12068" width="19.7109375" style="575" customWidth="1"/>
    <col min="12069" max="12069" width="16.5703125" style="575" customWidth="1"/>
    <col min="12070" max="12070" width="19.140625" style="575" customWidth="1"/>
    <col min="12071" max="12073" width="16.5703125" style="575" customWidth="1"/>
    <col min="12074" max="12074" width="15.7109375" style="575" customWidth="1"/>
    <col min="12075" max="12075" width="19.42578125" style="575" customWidth="1"/>
    <col min="12076" max="12076" width="14.85546875" style="575" bestFit="1" customWidth="1"/>
    <col min="12077" max="12077" width="13.7109375" style="575" bestFit="1" customWidth="1"/>
    <col min="12078" max="12078" width="13" style="575" customWidth="1"/>
    <col min="12079" max="12079" width="18.42578125" style="575" customWidth="1"/>
    <col min="12080" max="12082" width="13.140625" style="575" customWidth="1"/>
    <col min="12083" max="12083" width="16.42578125" style="575" customWidth="1"/>
    <col min="12084" max="12084" width="13.140625" style="575" customWidth="1"/>
    <col min="12085" max="12085" width="15.28515625" style="575" customWidth="1"/>
    <col min="12086" max="12086" width="14" style="575" bestFit="1" customWidth="1"/>
    <col min="12087" max="12087" width="17.140625" style="575" customWidth="1"/>
    <col min="12088" max="12109" width="16.5703125" style="575" customWidth="1"/>
    <col min="12110" max="12110" width="20.140625" style="575" customWidth="1"/>
    <col min="12111" max="12111" width="13.28515625" style="575" customWidth="1"/>
    <col min="12112" max="12112" width="14.85546875" style="575" customWidth="1"/>
    <col min="12113" max="12113" width="13.85546875" style="575" customWidth="1"/>
    <col min="12114" max="12114" width="13.5703125" style="575" customWidth="1"/>
    <col min="12115" max="12115" width="13" style="575" customWidth="1"/>
    <col min="12116" max="12116" width="13.5703125" style="575" customWidth="1"/>
    <col min="12117" max="12117" width="7.7109375" style="575" bestFit="1" customWidth="1"/>
    <col min="12118" max="12287" width="9.140625" style="575"/>
    <col min="12288" max="12288" width="4.28515625" style="575" customWidth="1"/>
    <col min="12289" max="12289" width="10.140625" style="575" customWidth="1"/>
    <col min="12290" max="12290" width="8.85546875" style="575" customWidth="1"/>
    <col min="12291" max="12291" width="11.140625" style="575" customWidth="1"/>
    <col min="12292" max="12292" width="15" style="575" bestFit="1" customWidth="1"/>
    <col min="12293" max="12293" width="13.5703125" style="575" customWidth="1"/>
    <col min="12294" max="12294" width="11.42578125" style="575" bestFit="1" customWidth="1"/>
    <col min="12295" max="12295" width="11.28515625" style="575" customWidth="1"/>
    <col min="12296" max="12296" width="15.28515625" style="575" bestFit="1" customWidth="1"/>
    <col min="12297" max="12299" width="11.85546875" style="575" customWidth="1"/>
    <col min="12300" max="12300" width="19.140625" style="575" customWidth="1"/>
    <col min="12301" max="12301" width="15" style="575" customWidth="1"/>
    <col min="12302" max="12302" width="15.28515625" style="575" customWidth="1"/>
    <col min="12303" max="12305" width="18.85546875" style="575" customWidth="1"/>
    <col min="12306" max="12306" width="12.7109375" style="575" customWidth="1"/>
    <col min="12307" max="12307" width="13.7109375" style="575" customWidth="1"/>
    <col min="12308" max="12308" width="16.140625" style="575" customWidth="1"/>
    <col min="12309" max="12309" width="17" style="575" customWidth="1"/>
    <col min="12310" max="12310" width="15" style="575" customWidth="1"/>
    <col min="12311" max="12311" width="14.28515625" style="575" customWidth="1"/>
    <col min="12312" max="12312" width="14.85546875" style="575" customWidth="1"/>
    <col min="12313" max="12313" width="17.140625" style="575" customWidth="1"/>
    <col min="12314" max="12314" width="13.5703125" style="575" customWidth="1"/>
    <col min="12315" max="12316" width="14.85546875" style="575" customWidth="1"/>
    <col min="12317" max="12317" width="18.85546875" style="575" customWidth="1"/>
    <col min="12318" max="12318" width="19.42578125" style="575" customWidth="1"/>
    <col min="12319" max="12319" width="16.140625" style="575" customWidth="1"/>
    <col min="12320" max="12320" width="14.5703125" style="575" customWidth="1"/>
    <col min="12321" max="12321" width="20.28515625" style="575" customWidth="1"/>
    <col min="12322" max="12322" width="13.85546875" style="575" customWidth="1"/>
    <col min="12323" max="12323" width="19.140625" style="575" customWidth="1"/>
    <col min="12324" max="12324" width="19.7109375" style="575" customWidth="1"/>
    <col min="12325" max="12325" width="16.5703125" style="575" customWidth="1"/>
    <col min="12326" max="12326" width="19.140625" style="575" customWidth="1"/>
    <col min="12327" max="12329" width="16.5703125" style="575" customWidth="1"/>
    <col min="12330" max="12330" width="15.7109375" style="575" customWidth="1"/>
    <col min="12331" max="12331" width="19.42578125" style="575" customWidth="1"/>
    <col min="12332" max="12332" width="14.85546875" style="575" bestFit="1" customWidth="1"/>
    <col min="12333" max="12333" width="13.7109375" style="575" bestFit="1" customWidth="1"/>
    <col min="12334" max="12334" width="13" style="575" customWidth="1"/>
    <col min="12335" max="12335" width="18.42578125" style="575" customWidth="1"/>
    <col min="12336" max="12338" width="13.140625" style="575" customWidth="1"/>
    <col min="12339" max="12339" width="16.42578125" style="575" customWidth="1"/>
    <col min="12340" max="12340" width="13.140625" style="575" customWidth="1"/>
    <col min="12341" max="12341" width="15.28515625" style="575" customWidth="1"/>
    <col min="12342" max="12342" width="14" style="575" bestFit="1" customWidth="1"/>
    <col min="12343" max="12343" width="17.140625" style="575" customWidth="1"/>
    <col min="12344" max="12365" width="16.5703125" style="575" customWidth="1"/>
    <col min="12366" max="12366" width="20.140625" style="575" customWidth="1"/>
    <col min="12367" max="12367" width="13.28515625" style="575" customWidth="1"/>
    <col min="12368" max="12368" width="14.85546875" style="575" customWidth="1"/>
    <col min="12369" max="12369" width="13.85546875" style="575" customWidth="1"/>
    <col min="12370" max="12370" width="13.5703125" style="575" customWidth="1"/>
    <col min="12371" max="12371" width="13" style="575" customWidth="1"/>
    <col min="12372" max="12372" width="13.5703125" style="575" customWidth="1"/>
    <col min="12373" max="12373" width="7.7109375" style="575" bestFit="1" customWidth="1"/>
    <col min="12374" max="12543" width="9.140625" style="575"/>
    <col min="12544" max="12544" width="4.28515625" style="575" customWidth="1"/>
    <col min="12545" max="12545" width="10.140625" style="575" customWidth="1"/>
    <col min="12546" max="12546" width="8.85546875" style="575" customWidth="1"/>
    <col min="12547" max="12547" width="11.140625" style="575" customWidth="1"/>
    <col min="12548" max="12548" width="15" style="575" bestFit="1" customWidth="1"/>
    <col min="12549" max="12549" width="13.5703125" style="575" customWidth="1"/>
    <col min="12550" max="12550" width="11.42578125" style="575" bestFit="1" customWidth="1"/>
    <col min="12551" max="12551" width="11.28515625" style="575" customWidth="1"/>
    <col min="12552" max="12552" width="15.28515625" style="575" bestFit="1" customWidth="1"/>
    <col min="12553" max="12555" width="11.85546875" style="575" customWidth="1"/>
    <col min="12556" max="12556" width="19.140625" style="575" customWidth="1"/>
    <col min="12557" max="12557" width="15" style="575" customWidth="1"/>
    <col min="12558" max="12558" width="15.28515625" style="575" customWidth="1"/>
    <col min="12559" max="12561" width="18.85546875" style="575" customWidth="1"/>
    <col min="12562" max="12562" width="12.7109375" style="575" customWidth="1"/>
    <col min="12563" max="12563" width="13.7109375" style="575" customWidth="1"/>
    <col min="12564" max="12564" width="16.140625" style="575" customWidth="1"/>
    <col min="12565" max="12565" width="17" style="575" customWidth="1"/>
    <col min="12566" max="12566" width="15" style="575" customWidth="1"/>
    <col min="12567" max="12567" width="14.28515625" style="575" customWidth="1"/>
    <col min="12568" max="12568" width="14.85546875" style="575" customWidth="1"/>
    <col min="12569" max="12569" width="17.140625" style="575" customWidth="1"/>
    <col min="12570" max="12570" width="13.5703125" style="575" customWidth="1"/>
    <col min="12571" max="12572" width="14.85546875" style="575" customWidth="1"/>
    <col min="12573" max="12573" width="18.85546875" style="575" customWidth="1"/>
    <col min="12574" max="12574" width="19.42578125" style="575" customWidth="1"/>
    <col min="12575" max="12575" width="16.140625" style="575" customWidth="1"/>
    <col min="12576" max="12576" width="14.5703125" style="575" customWidth="1"/>
    <col min="12577" max="12577" width="20.28515625" style="575" customWidth="1"/>
    <col min="12578" max="12578" width="13.85546875" style="575" customWidth="1"/>
    <col min="12579" max="12579" width="19.140625" style="575" customWidth="1"/>
    <col min="12580" max="12580" width="19.7109375" style="575" customWidth="1"/>
    <col min="12581" max="12581" width="16.5703125" style="575" customWidth="1"/>
    <col min="12582" max="12582" width="19.140625" style="575" customWidth="1"/>
    <col min="12583" max="12585" width="16.5703125" style="575" customWidth="1"/>
    <col min="12586" max="12586" width="15.7109375" style="575" customWidth="1"/>
    <col min="12587" max="12587" width="19.42578125" style="575" customWidth="1"/>
    <col min="12588" max="12588" width="14.85546875" style="575" bestFit="1" customWidth="1"/>
    <col min="12589" max="12589" width="13.7109375" style="575" bestFit="1" customWidth="1"/>
    <col min="12590" max="12590" width="13" style="575" customWidth="1"/>
    <col min="12591" max="12591" width="18.42578125" style="575" customWidth="1"/>
    <col min="12592" max="12594" width="13.140625" style="575" customWidth="1"/>
    <col min="12595" max="12595" width="16.42578125" style="575" customWidth="1"/>
    <col min="12596" max="12596" width="13.140625" style="575" customWidth="1"/>
    <col min="12597" max="12597" width="15.28515625" style="575" customWidth="1"/>
    <col min="12598" max="12598" width="14" style="575" bestFit="1" customWidth="1"/>
    <col min="12599" max="12599" width="17.140625" style="575" customWidth="1"/>
    <col min="12600" max="12621" width="16.5703125" style="575" customWidth="1"/>
    <col min="12622" max="12622" width="20.140625" style="575" customWidth="1"/>
    <col min="12623" max="12623" width="13.28515625" style="575" customWidth="1"/>
    <col min="12624" max="12624" width="14.85546875" style="575" customWidth="1"/>
    <col min="12625" max="12625" width="13.85546875" style="575" customWidth="1"/>
    <col min="12626" max="12626" width="13.5703125" style="575" customWidth="1"/>
    <col min="12627" max="12627" width="13" style="575" customWidth="1"/>
    <col min="12628" max="12628" width="13.5703125" style="575" customWidth="1"/>
    <col min="12629" max="12629" width="7.7109375" style="575" bestFit="1" customWidth="1"/>
    <col min="12630" max="12799" width="9.140625" style="575"/>
    <col min="12800" max="12800" width="4.28515625" style="575" customWidth="1"/>
    <col min="12801" max="12801" width="10.140625" style="575" customWidth="1"/>
    <col min="12802" max="12802" width="8.85546875" style="575" customWidth="1"/>
    <col min="12803" max="12803" width="11.140625" style="575" customWidth="1"/>
    <col min="12804" max="12804" width="15" style="575" bestFit="1" customWidth="1"/>
    <col min="12805" max="12805" width="13.5703125" style="575" customWidth="1"/>
    <col min="12806" max="12806" width="11.42578125" style="575" bestFit="1" customWidth="1"/>
    <col min="12807" max="12807" width="11.28515625" style="575" customWidth="1"/>
    <col min="12808" max="12808" width="15.28515625" style="575" bestFit="1" customWidth="1"/>
    <col min="12809" max="12811" width="11.85546875" style="575" customWidth="1"/>
    <col min="12812" max="12812" width="19.140625" style="575" customWidth="1"/>
    <col min="12813" max="12813" width="15" style="575" customWidth="1"/>
    <col min="12814" max="12814" width="15.28515625" style="575" customWidth="1"/>
    <col min="12815" max="12817" width="18.85546875" style="575" customWidth="1"/>
    <col min="12818" max="12818" width="12.7109375" style="575" customWidth="1"/>
    <col min="12819" max="12819" width="13.7109375" style="575" customWidth="1"/>
    <col min="12820" max="12820" width="16.140625" style="575" customWidth="1"/>
    <col min="12821" max="12821" width="17" style="575" customWidth="1"/>
    <col min="12822" max="12822" width="15" style="575" customWidth="1"/>
    <col min="12823" max="12823" width="14.28515625" style="575" customWidth="1"/>
    <col min="12824" max="12824" width="14.85546875" style="575" customWidth="1"/>
    <col min="12825" max="12825" width="17.140625" style="575" customWidth="1"/>
    <col min="12826" max="12826" width="13.5703125" style="575" customWidth="1"/>
    <col min="12827" max="12828" width="14.85546875" style="575" customWidth="1"/>
    <col min="12829" max="12829" width="18.85546875" style="575" customWidth="1"/>
    <col min="12830" max="12830" width="19.42578125" style="575" customWidth="1"/>
    <col min="12831" max="12831" width="16.140625" style="575" customWidth="1"/>
    <col min="12832" max="12832" width="14.5703125" style="575" customWidth="1"/>
    <col min="12833" max="12833" width="20.28515625" style="575" customWidth="1"/>
    <col min="12834" max="12834" width="13.85546875" style="575" customWidth="1"/>
    <col min="12835" max="12835" width="19.140625" style="575" customWidth="1"/>
    <col min="12836" max="12836" width="19.7109375" style="575" customWidth="1"/>
    <col min="12837" max="12837" width="16.5703125" style="575" customWidth="1"/>
    <col min="12838" max="12838" width="19.140625" style="575" customWidth="1"/>
    <col min="12839" max="12841" width="16.5703125" style="575" customWidth="1"/>
    <col min="12842" max="12842" width="15.7109375" style="575" customWidth="1"/>
    <col min="12843" max="12843" width="19.42578125" style="575" customWidth="1"/>
    <col min="12844" max="12844" width="14.85546875" style="575" bestFit="1" customWidth="1"/>
    <col min="12845" max="12845" width="13.7109375" style="575" bestFit="1" customWidth="1"/>
    <col min="12846" max="12846" width="13" style="575" customWidth="1"/>
    <col min="12847" max="12847" width="18.42578125" style="575" customWidth="1"/>
    <col min="12848" max="12850" width="13.140625" style="575" customWidth="1"/>
    <col min="12851" max="12851" width="16.42578125" style="575" customWidth="1"/>
    <col min="12852" max="12852" width="13.140625" style="575" customWidth="1"/>
    <col min="12853" max="12853" width="15.28515625" style="575" customWidth="1"/>
    <col min="12854" max="12854" width="14" style="575" bestFit="1" customWidth="1"/>
    <col min="12855" max="12855" width="17.140625" style="575" customWidth="1"/>
    <col min="12856" max="12877" width="16.5703125" style="575" customWidth="1"/>
    <col min="12878" max="12878" width="20.140625" style="575" customWidth="1"/>
    <col min="12879" max="12879" width="13.28515625" style="575" customWidth="1"/>
    <col min="12880" max="12880" width="14.85546875" style="575" customWidth="1"/>
    <col min="12881" max="12881" width="13.85546875" style="575" customWidth="1"/>
    <col min="12882" max="12882" width="13.5703125" style="575" customWidth="1"/>
    <col min="12883" max="12883" width="13" style="575" customWidth="1"/>
    <col min="12884" max="12884" width="13.5703125" style="575" customWidth="1"/>
    <col min="12885" max="12885" width="7.7109375" style="575" bestFit="1" customWidth="1"/>
    <col min="12886" max="13055" width="9.140625" style="575"/>
    <col min="13056" max="13056" width="4.28515625" style="575" customWidth="1"/>
    <col min="13057" max="13057" width="10.140625" style="575" customWidth="1"/>
    <col min="13058" max="13058" width="8.85546875" style="575" customWidth="1"/>
    <col min="13059" max="13059" width="11.140625" style="575" customWidth="1"/>
    <col min="13060" max="13060" width="15" style="575" bestFit="1" customWidth="1"/>
    <col min="13061" max="13061" width="13.5703125" style="575" customWidth="1"/>
    <col min="13062" max="13062" width="11.42578125" style="575" bestFit="1" customWidth="1"/>
    <col min="13063" max="13063" width="11.28515625" style="575" customWidth="1"/>
    <col min="13064" max="13064" width="15.28515625" style="575" bestFit="1" customWidth="1"/>
    <col min="13065" max="13067" width="11.85546875" style="575" customWidth="1"/>
    <col min="13068" max="13068" width="19.140625" style="575" customWidth="1"/>
    <col min="13069" max="13069" width="15" style="575" customWidth="1"/>
    <col min="13070" max="13070" width="15.28515625" style="575" customWidth="1"/>
    <col min="13071" max="13073" width="18.85546875" style="575" customWidth="1"/>
    <col min="13074" max="13074" width="12.7109375" style="575" customWidth="1"/>
    <col min="13075" max="13075" width="13.7109375" style="575" customWidth="1"/>
    <col min="13076" max="13076" width="16.140625" style="575" customWidth="1"/>
    <col min="13077" max="13077" width="17" style="575" customWidth="1"/>
    <col min="13078" max="13078" width="15" style="575" customWidth="1"/>
    <col min="13079" max="13079" width="14.28515625" style="575" customWidth="1"/>
    <col min="13080" max="13080" width="14.85546875" style="575" customWidth="1"/>
    <col min="13081" max="13081" width="17.140625" style="575" customWidth="1"/>
    <col min="13082" max="13082" width="13.5703125" style="575" customWidth="1"/>
    <col min="13083" max="13084" width="14.85546875" style="575" customWidth="1"/>
    <col min="13085" max="13085" width="18.85546875" style="575" customWidth="1"/>
    <col min="13086" max="13086" width="19.42578125" style="575" customWidth="1"/>
    <col min="13087" max="13087" width="16.140625" style="575" customWidth="1"/>
    <col min="13088" max="13088" width="14.5703125" style="575" customWidth="1"/>
    <col min="13089" max="13089" width="20.28515625" style="575" customWidth="1"/>
    <col min="13090" max="13090" width="13.85546875" style="575" customWidth="1"/>
    <col min="13091" max="13091" width="19.140625" style="575" customWidth="1"/>
    <col min="13092" max="13092" width="19.7109375" style="575" customWidth="1"/>
    <col min="13093" max="13093" width="16.5703125" style="575" customWidth="1"/>
    <col min="13094" max="13094" width="19.140625" style="575" customWidth="1"/>
    <col min="13095" max="13097" width="16.5703125" style="575" customWidth="1"/>
    <col min="13098" max="13098" width="15.7109375" style="575" customWidth="1"/>
    <col min="13099" max="13099" width="19.42578125" style="575" customWidth="1"/>
    <col min="13100" max="13100" width="14.85546875" style="575" bestFit="1" customWidth="1"/>
    <col min="13101" max="13101" width="13.7109375" style="575" bestFit="1" customWidth="1"/>
    <col min="13102" max="13102" width="13" style="575" customWidth="1"/>
    <col min="13103" max="13103" width="18.42578125" style="575" customWidth="1"/>
    <col min="13104" max="13106" width="13.140625" style="575" customWidth="1"/>
    <col min="13107" max="13107" width="16.42578125" style="575" customWidth="1"/>
    <col min="13108" max="13108" width="13.140625" style="575" customWidth="1"/>
    <col min="13109" max="13109" width="15.28515625" style="575" customWidth="1"/>
    <col min="13110" max="13110" width="14" style="575" bestFit="1" customWidth="1"/>
    <col min="13111" max="13111" width="17.140625" style="575" customWidth="1"/>
    <col min="13112" max="13133" width="16.5703125" style="575" customWidth="1"/>
    <col min="13134" max="13134" width="20.140625" style="575" customWidth="1"/>
    <col min="13135" max="13135" width="13.28515625" style="575" customWidth="1"/>
    <col min="13136" max="13136" width="14.85546875" style="575" customWidth="1"/>
    <col min="13137" max="13137" width="13.85546875" style="575" customWidth="1"/>
    <col min="13138" max="13138" width="13.5703125" style="575" customWidth="1"/>
    <col min="13139" max="13139" width="13" style="575" customWidth="1"/>
    <col min="13140" max="13140" width="13.5703125" style="575" customWidth="1"/>
    <col min="13141" max="13141" width="7.7109375" style="575" bestFit="1" customWidth="1"/>
    <col min="13142" max="13311" width="9.140625" style="575"/>
    <col min="13312" max="13312" width="4.28515625" style="575" customWidth="1"/>
    <col min="13313" max="13313" width="10.140625" style="575" customWidth="1"/>
    <col min="13314" max="13314" width="8.85546875" style="575" customWidth="1"/>
    <col min="13315" max="13315" width="11.140625" style="575" customWidth="1"/>
    <col min="13316" max="13316" width="15" style="575" bestFit="1" customWidth="1"/>
    <col min="13317" max="13317" width="13.5703125" style="575" customWidth="1"/>
    <col min="13318" max="13318" width="11.42578125" style="575" bestFit="1" customWidth="1"/>
    <col min="13319" max="13319" width="11.28515625" style="575" customWidth="1"/>
    <col min="13320" max="13320" width="15.28515625" style="575" bestFit="1" customWidth="1"/>
    <col min="13321" max="13323" width="11.85546875" style="575" customWidth="1"/>
    <col min="13324" max="13324" width="19.140625" style="575" customWidth="1"/>
    <col min="13325" max="13325" width="15" style="575" customWidth="1"/>
    <col min="13326" max="13326" width="15.28515625" style="575" customWidth="1"/>
    <col min="13327" max="13329" width="18.85546875" style="575" customWidth="1"/>
    <col min="13330" max="13330" width="12.7109375" style="575" customWidth="1"/>
    <col min="13331" max="13331" width="13.7109375" style="575" customWidth="1"/>
    <col min="13332" max="13332" width="16.140625" style="575" customWidth="1"/>
    <col min="13333" max="13333" width="17" style="575" customWidth="1"/>
    <col min="13334" max="13334" width="15" style="575" customWidth="1"/>
    <col min="13335" max="13335" width="14.28515625" style="575" customWidth="1"/>
    <col min="13336" max="13336" width="14.85546875" style="575" customWidth="1"/>
    <col min="13337" max="13337" width="17.140625" style="575" customWidth="1"/>
    <col min="13338" max="13338" width="13.5703125" style="575" customWidth="1"/>
    <col min="13339" max="13340" width="14.85546875" style="575" customWidth="1"/>
    <col min="13341" max="13341" width="18.85546875" style="575" customWidth="1"/>
    <col min="13342" max="13342" width="19.42578125" style="575" customWidth="1"/>
    <col min="13343" max="13343" width="16.140625" style="575" customWidth="1"/>
    <col min="13344" max="13344" width="14.5703125" style="575" customWidth="1"/>
    <col min="13345" max="13345" width="20.28515625" style="575" customWidth="1"/>
    <col min="13346" max="13346" width="13.85546875" style="575" customWidth="1"/>
    <col min="13347" max="13347" width="19.140625" style="575" customWidth="1"/>
    <col min="13348" max="13348" width="19.7109375" style="575" customWidth="1"/>
    <col min="13349" max="13349" width="16.5703125" style="575" customWidth="1"/>
    <col min="13350" max="13350" width="19.140625" style="575" customWidth="1"/>
    <col min="13351" max="13353" width="16.5703125" style="575" customWidth="1"/>
    <col min="13354" max="13354" width="15.7109375" style="575" customWidth="1"/>
    <col min="13355" max="13355" width="19.42578125" style="575" customWidth="1"/>
    <col min="13356" max="13356" width="14.85546875" style="575" bestFit="1" customWidth="1"/>
    <col min="13357" max="13357" width="13.7109375" style="575" bestFit="1" customWidth="1"/>
    <col min="13358" max="13358" width="13" style="575" customWidth="1"/>
    <col min="13359" max="13359" width="18.42578125" style="575" customWidth="1"/>
    <col min="13360" max="13362" width="13.140625" style="575" customWidth="1"/>
    <col min="13363" max="13363" width="16.42578125" style="575" customWidth="1"/>
    <col min="13364" max="13364" width="13.140625" style="575" customWidth="1"/>
    <col min="13365" max="13365" width="15.28515625" style="575" customWidth="1"/>
    <col min="13366" max="13366" width="14" style="575" bestFit="1" customWidth="1"/>
    <col min="13367" max="13367" width="17.140625" style="575" customWidth="1"/>
    <col min="13368" max="13389" width="16.5703125" style="575" customWidth="1"/>
    <col min="13390" max="13390" width="20.140625" style="575" customWidth="1"/>
    <col min="13391" max="13391" width="13.28515625" style="575" customWidth="1"/>
    <col min="13392" max="13392" width="14.85546875" style="575" customWidth="1"/>
    <col min="13393" max="13393" width="13.85546875" style="575" customWidth="1"/>
    <col min="13394" max="13394" width="13.5703125" style="575" customWidth="1"/>
    <col min="13395" max="13395" width="13" style="575" customWidth="1"/>
    <col min="13396" max="13396" width="13.5703125" style="575" customWidth="1"/>
    <col min="13397" max="13397" width="7.7109375" style="575" bestFit="1" customWidth="1"/>
    <col min="13398" max="13567" width="9.140625" style="575"/>
    <col min="13568" max="13568" width="4.28515625" style="575" customWidth="1"/>
    <col min="13569" max="13569" width="10.140625" style="575" customWidth="1"/>
    <col min="13570" max="13570" width="8.85546875" style="575" customWidth="1"/>
    <col min="13571" max="13571" width="11.140625" style="575" customWidth="1"/>
    <col min="13572" max="13572" width="15" style="575" bestFit="1" customWidth="1"/>
    <col min="13573" max="13573" width="13.5703125" style="575" customWidth="1"/>
    <col min="13574" max="13574" width="11.42578125" style="575" bestFit="1" customWidth="1"/>
    <col min="13575" max="13575" width="11.28515625" style="575" customWidth="1"/>
    <col min="13576" max="13576" width="15.28515625" style="575" bestFit="1" customWidth="1"/>
    <col min="13577" max="13579" width="11.85546875" style="575" customWidth="1"/>
    <col min="13580" max="13580" width="19.140625" style="575" customWidth="1"/>
    <col min="13581" max="13581" width="15" style="575" customWidth="1"/>
    <col min="13582" max="13582" width="15.28515625" style="575" customWidth="1"/>
    <col min="13583" max="13585" width="18.85546875" style="575" customWidth="1"/>
    <col min="13586" max="13586" width="12.7109375" style="575" customWidth="1"/>
    <col min="13587" max="13587" width="13.7109375" style="575" customWidth="1"/>
    <col min="13588" max="13588" width="16.140625" style="575" customWidth="1"/>
    <col min="13589" max="13589" width="17" style="575" customWidth="1"/>
    <col min="13590" max="13590" width="15" style="575" customWidth="1"/>
    <col min="13591" max="13591" width="14.28515625" style="575" customWidth="1"/>
    <col min="13592" max="13592" width="14.85546875" style="575" customWidth="1"/>
    <col min="13593" max="13593" width="17.140625" style="575" customWidth="1"/>
    <col min="13594" max="13594" width="13.5703125" style="575" customWidth="1"/>
    <col min="13595" max="13596" width="14.85546875" style="575" customWidth="1"/>
    <col min="13597" max="13597" width="18.85546875" style="575" customWidth="1"/>
    <col min="13598" max="13598" width="19.42578125" style="575" customWidth="1"/>
    <col min="13599" max="13599" width="16.140625" style="575" customWidth="1"/>
    <col min="13600" max="13600" width="14.5703125" style="575" customWidth="1"/>
    <col min="13601" max="13601" width="20.28515625" style="575" customWidth="1"/>
    <col min="13602" max="13602" width="13.85546875" style="575" customWidth="1"/>
    <col min="13603" max="13603" width="19.140625" style="575" customWidth="1"/>
    <col min="13604" max="13604" width="19.7109375" style="575" customWidth="1"/>
    <col min="13605" max="13605" width="16.5703125" style="575" customWidth="1"/>
    <col min="13606" max="13606" width="19.140625" style="575" customWidth="1"/>
    <col min="13607" max="13609" width="16.5703125" style="575" customWidth="1"/>
    <col min="13610" max="13610" width="15.7109375" style="575" customWidth="1"/>
    <col min="13611" max="13611" width="19.42578125" style="575" customWidth="1"/>
    <col min="13612" max="13612" width="14.85546875" style="575" bestFit="1" customWidth="1"/>
    <col min="13613" max="13613" width="13.7109375" style="575" bestFit="1" customWidth="1"/>
    <col min="13614" max="13614" width="13" style="575" customWidth="1"/>
    <col min="13615" max="13615" width="18.42578125" style="575" customWidth="1"/>
    <col min="13616" max="13618" width="13.140625" style="575" customWidth="1"/>
    <col min="13619" max="13619" width="16.42578125" style="575" customWidth="1"/>
    <col min="13620" max="13620" width="13.140625" style="575" customWidth="1"/>
    <col min="13621" max="13621" width="15.28515625" style="575" customWidth="1"/>
    <col min="13622" max="13622" width="14" style="575" bestFit="1" customWidth="1"/>
    <col min="13623" max="13623" width="17.140625" style="575" customWidth="1"/>
    <col min="13624" max="13645" width="16.5703125" style="575" customWidth="1"/>
    <col min="13646" max="13646" width="20.140625" style="575" customWidth="1"/>
    <col min="13647" max="13647" width="13.28515625" style="575" customWidth="1"/>
    <col min="13648" max="13648" width="14.85546875" style="575" customWidth="1"/>
    <col min="13649" max="13649" width="13.85546875" style="575" customWidth="1"/>
    <col min="13650" max="13650" width="13.5703125" style="575" customWidth="1"/>
    <col min="13651" max="13651" width="13" style="575" customWidth="1"/>
    <col min="13652" max="13652" width="13.5703125" style="575" customWidth="1"/>
    <col min="13653" max="13653" width="7.7109375" style="575" bestFit="1" customWidth="1"/>
    <col min="13654" max="13823" width="9.140625" style="575"/>
    <col min="13824" max="13824" width="4.28515625" style="575" customWidth="1"/>
    <col min="13825" max="13825" width="10.140625" style="575" customWidth="1"/>
    <col min="13826" max="13826" width="8.85546875" style="575" customWidth="1"/>
    <col min="13827" max="13827" width="11.140625" style="575" customWidth="1"/>
    <col min="13828" max="13828" width="15" style="575" bestFit="1" customWidth="1"/>
    <col min="13829" max="13829" width="13.5703125" style="575" customWidth="1"/>
    <col min="13830" max="13830" width="11.42578125" style="575" bestFit="1" customWidth="1"/>
    <col min="13831" max="13831" width="11.28515625" style="575" customWidth="1"/>
    <col min="13832" max="13832" width="15.28515625" style="575" bestFit="1" customWidth="1"/>
    <col min="13833" max="13835" width="11.85546875" style="575" customWidth="1"/>
    <col min="13836" max="13836" width="19.140625" style="575" customWidth="1"/>
    <col min="13837" max="13837" width="15" style="575" customWidth="1"/>
    <col min="13838" max="13838" width="15.28515625" style="575" customWidth="1"/>
    <col min="13839" max="13841" width="18.85546875" style="575" customWidth="1"/>
    <col min="13842" max="13842" width="12.7109375" style="575" customWidth="1"/>
    <col min="13843" max="13843" width="13.7109375" style="575" customWidth="1"/>
    <col min="13844" max="13844" width="16.140625" style="575" customWidth="1"/>
    <col min="13845" max="13845" width="17" style="575" customWidth="1"/>
    <col min="13846" max="13846" width="15" style="575" customWidth="1"/>
    <col min="13847" max="13847" width="14.28515625" style="575" customWidth="1"/>
    <col min="13848" max="13848" width="14.85546875" style="575" customWidth="1"/>
    <col min="13849" max="13849" width="17.140625" style="575" customWidth="1"/>
    <col min="13850" max="13850" width="13.5703125" style="575" customWidth="1"/>
    <col min="13851" max="13852" width="14.85546875" style="575" customWidth="1"/>
    <col min="13853" max="13853" width="18.85546875" style="575" customWidth="1"/>
    <col min="13854" max="13854" width="19.42578125" style="575" customWidth="1"/>
    <col min="13855" max="13855" width="16.140625" style="575" customWidth="1"/>
    <col min="13856" max="13856" width="14.5703125" style="575" customWidth="1"/>
    <col min="13857" max="13857" width="20.28515625" style="575" customWidth="1"/>
    <col min="13858" max="13858" width="13.85546875" style="575" customWidth="1"/>
    <col min="13859" max="13859" width="19.140625" style="575" customWidth="1"/>
    <col min="13860" max="13860" width="19.7109375" style="575" customWidth="1"/>
    <col min="13861" max="13861" width="16.5703125" style="575" customWidth="1"/>
    <col min="13862" max="13862" width="19.140625" style="575" customWidth="1"/>
    <col min="13863" max="13865" width="16.5703125" style="575" customWidth="1"/>
    <col min="13866" max="13866" width="15.7109375" style="575" customWidth="1"/>
    <col min="13867" max="13867" width="19.42578125" style="575" customWidth="1"/>
    <col min="13868" max="13868" width="14.85546875" style="575" bestFit="1" customWidth="1"/>
    <col min="13869" max="13869" width="13.7109375" style="575" bestFit="1" customWidth="1"/>
    <col min="13870" max="13870" width="13" style="575" customWidth="1"/>
    <col min="13871" max="13871" width="18.42578125" style="575" customWidth="1"/>
    <col min="13872" max="13874" width="13.140625" style="575" customWidth="1"/>
    <col min="13875" max="13875" width="16.42578125" style="575" customWidth="1"/>
    <col min="13876" max="13876" width="13.140625" style="575" customWidth="1"/>
    <col min="13877" max="13877" width="15.28515625" style="575" customWidth="1"/>
    <col min="13878" max="13878" width="14" style="575" bestFit="1" customWidth="1"/>
    <col min="13879" max="13879" width="17.140625" style="575" customWidth="1"/>
    <col min="13880" max="13901" width="16.5703125" style="575" customWidth="1"/>
    <col min="13902" max="13902" width="20.140625" style="575" customWidth="1"/>
    <col min="13903" max="13903" width="13.28515625" style="575" customWidth="1"/>
    <col min="13904" max="13904" width="14.85546875" style="575" customWidth="1"/>
    <col min="13905" max="13905" width="13.85546875" style="575" customWidth="1"/>
    <col min="13906" max="13906" width="13.5703125" style="575" customWidth="1"/>
    <col min="13907" max="13907" width="13" style="575" customWidth="1"/>
    <col min="13908" max="13908" width="13.5703125" style="575" customWidth="1"/>
    <col min="13909" max="13909" width="7.7109375" style="575" bestFit="1" customWidth="1"/>
    <col min="13910" max="14079" width="9.140625" style="575"/>
    <col min="14080" max="14080" width="4.28515625" style="575" customWidth="1"/>
    <col min="14081" max="14081" width="10.140625" style="575" customWidth="1"/>
    <col min="14082" max="14082" width="8.85546875" style="575" customWidth="1"/>
    <col min="14083" max="14083" width="11.140625" style="575" customWidth="1"/>
    <col min="14084" max="14084" width="15" style="575" bestFit="1" customWidth="1"/>
    <col min="14085" max="14085" width="13.5703125" style="575" customWidth="1"/>
    <col min="14086" max="14086" width="11.42578125" style="575" bestFit="1" customWidth="1"/>
    <col min="14087" max="14087" width="11.28515625" style="575" customWidth="1"/>
    <col min="14088" max="14088" width="15.28515625" style="575" bestFit="1" customWidth="1"/>
    <col min="14089" max="14091" width="11.85546875" style="575" customWidth="1"/>
    <col min="14092" max="14092" width="19.140625" style="575" customWidth="1"/>
    <col min="14093" max="14093" width="15" style="575" customWidth="1"/>
    <col min="14094" max="14094" width="15.28515625" style="575" customWidth="1"/>
    <col min="14095" max="14097" width="18.85546875" style="575" customWidth="1"/>
    <col min="14098" max="14098" width="12.7109375" style="575" customWidth="1"/>
    <col min="14099" max="14099" width="13.7109375" style="575" customWidth="1"/>
    <col min="14100" max="14100" width="16.140625" style="575" customWidth="1"/>
    <col min="14101" max="14101" width="17" style="575" customWidth="1"/>
    <col min="14102" max="14102" width="15" style="575" customWidth="1"/>
    <col min="14103" max="14103" width="14.28515625" style="575" customWidth="1"/>
    <col min="14104" max="14104" width="14.85546875" style="575" customWidth="1"/>
    <col min="14105" max="14105" width="17.140625" style="575" customWidth="1"/>
    <col min="14106" max="14106" width="13.5703125" style="575" customWidth="1"/>
    <col min="14107" max="14108" width="14.85546875" style="575" customWidth="1"/>
    <col min="14109" max="14109" width="18.85546875" style="575" customWidth="1"/>
    <col min="14110" max="14110" width="19.42578125" style="575" customWidth="1"/>
    <col min="14111" max="14111" width="16.140625" style="575" customWidth="1"/>
    <col min="14112" max="14112" width="14.5703125" style="575" customWidth="1"/>
    <col min="14113" max="14113" width="20.28515625" style="575" customWidth="1"/>
    <col min="14114" max="14114" width="13.85546875" style="575" customWidth="1"/>
    <col min="14115" max="14115" width="19.140625" style="575" customWidth="1"/>
    <col min="14116" max="14116" width="19.7109375" style="575" customWidth="1"/>
    <col min="14117" max="14117" width="16.5703125" style="575" customWidth="1"/>
    <col min="14118" max="14118" width="19.140625" style="575" customWidth="1"/>
    <col min="14119" max="14121" width="16.5703125" style="575" customWidth="1"/>
    <col min="14122" max="14122" width="15.7109375" style="575" customWidth="1"/>
    <col min="14123" max="14123" width="19.42578125" style="575" customWidth="1"/>
    <col min="14124" max="14124" width="14.85546875" style="575" bestFit="1" customWidth="1"/>
    <col min="14125" max="14125" width="13.7109375" style="575" bestFit="1" customWidth="1"/>
    <col min="14126" max="14126" width="13" style="575" customWidth="1"/>
    <col min="14127" max="14127" width="18.42578125" style="575" customWidth="1"/>
    <col min="14128" max="14130" width="13.140625" style="575" customWidth="1"/>
    <col min="14131" max="14131" width="16.42578125" style="575" customWidth="1"/>
    <col min="14132" max="14132" width="13.140625" style="575" customWidth="1"/>
    <col min="14133" max="14133" width="15.28515625" style="575" customWidth="1"/>
    <col min="14134" max="14134" width="14" style="575" bestFit="1" customWidth="1"/>
    <col min="14135" max="14135" width="17.140625" style="575" customWidth="1"/>
    <col min="14136" max="14157" width="16.5703125" style="575" customWidth="1"/>
    <col min="14158" max="14158" width="20.140625" style="575" customWidth="1"/>
    <col min="14159" max="14159" width="13.28515625" style="575" customWidth="1"/>
    <col min="14160" max="14160" width="14.85546875" style="575" customWidth="1"/>
    <col min="14161" max="14161" width="13.85546875" style="575" customWidth="1"/>
    <col min="14162" max="14162" width="13.5703125" style="575" customWidth="1"/>
    <col min="14163" max="14163" width="13" style="575" customWidth="1"/>
    <col min="14164" max="14164" width="13.5703125" style="575" customWidth="1"/>
    <col min="14165" max="14165" width="7.7109375" style="575" bestFit="1" customWidth="1"/>
    <col min="14166" max="14335" width="9.140625" style="575"/>
    <col min="14336" max="14336" width="4.28515625" style="575" customWidth="1"/>
    <col min="14337" max="14337" width="10.140625" style="575" customWidth="1"/>
    <col min="14338" max="14338" width="8.85546875" style="575" customWidth="1"/>
    <col min="14339" max="14339" width="11.140625" style="575" customWidth="1"/>
    <col min="14340" max="14340" width="15" style="575" bestFit="1" customWidth="1"/>
    <col min="14341" max="14341" width="13.5703125" style="575" customWidth="1"/>
    <col min="14342" max="14342" width="11.42578125" style="575" bestFit="1" customWidth="1"/>
    <col min="14343" max="14343" width="11.28515625" style="575" customWidth="1"/>
    <col min="14344" max="14344" width="15.28515625" style="575" bestFit="1" customWidth="1"/>
    <col min="14345" max="14347" width="11.85546875" style="575" customWidth="1"/>
    <col min="14348" max="14348" width="19.140625" style="575" customWidth="1"/>
    <col min="14349" max="14349" width="15" style="575" customWidth="1"/>
    <col min="14350" max="14350" width="15.28515625" style="575" customWidth="1"/>
    <col min="14351" max="14353" width="18.85546875" style="575" customWidth="1"/>
    <col min="14354" max="14354" width="12.7109375" style="575" customWidth="1"/>
    <col min="14355" max="14355" width="13.7109375" style="575" customWidth="1"/>
    <col min="14356" max="14356" width="16.140625" style="575" customWidth="1"/>
    <col min="14357" max="14357" width="17" style="575" customWidth="1"/>
    <col min="14358" max="14358" width="15" style="575" customWidth="1"/>
    <col min="14359" max="14359" width="14.28515625" style="575" customWidth="1"/>
    <col min="14360" max="14360" width="14.85546875" style="575" customWidth="1"/>
    <col min="14361" max="14361" width="17.140625" style="575" customWidth="1"/>
    <col min="14362" max="14362" width="13.5703125" style="575" customWidth="1"/>
    <col min="14363" max="14364" width="14.85546875" style="575" customWidth="1"/>
    <col min="14365" max="14365" width="18.85546875" style="575" customWidth="1"/>
    <col min="14366" max="14366" width="19.42578125" style="575" customWidth="1"/>
    <col min="14367" max="14367" width="16.140625" style="575" customWidth="1"/>
    <col min="14368" max="14368" width="14.5703125" style="575" customWidth="1"/>
    <col min="14369" max="14369" width="20.28515625" style="575" customWidth="1"/>
    <col min="14370" max="14370" width="13.85546875" style="575" customWidth="1"/>
    <col min="14371" max="14371" width="19.140625" style="575" customWidth="1"/>
    <col min="14372" max="14372" width="19.7109375" style="575" customWidth="1"/>
    <col min="14373" max="14373" width="16.5703125" style="575" customWidth="1"/>
    <col min="14374" max="14374" width="19.140625" style="575" customWidth="1"/>
    <col min="14375" max="14377" width="16.5703125" style="575" customWidth="1"/>
    <col min="14378" max="14378" width="15.7109375" style="575" customWidth="1"/>
    <col min="14379" max="14379" width="19.42578125" style="575" customWidth="1"/>
    <col min="14380" max="14380" width="14.85546875" style="575" bestFit="1" customWidth="1"/>
    <col min="14381" max="14381" width="13.7109375" style="575" bestFit="1" customWidth="1"/>
    <col min="14382" max="14382" width="13" style="575" customWidth="1"/>
    <col min="14383" max="14383" width="18.42578125" style="575" customWidth="1"/>
    <col min="14384" max="14386" width="13.140625" style="575" customWidth="1"/>
    <col min="14387" max="14387" width="16.42578125" style="575" customWidth="1"/>
    <col min="14388" max="14388" width="13.140625" style="575" customWidth="1"/>
    <col min="14389" max="14389" width="15.28515625" style="575" customWidth="1"/>
    <col min="14390" max="14390" width="14" style="575" bestFit="1" customWidth="1"/>
    <col min="14391" max="14391" width="17.140625" style="575" customWidth="1"/>
    <col min="14392" max="14413" width="16.5703125" style="575" customWidth="1"/>
    <col min="14414" max="14414" width="20.140625" style="575" customWidth="1"/>
    <col min="14415" max="14415" width="13.28515625" style="575" customWidth="1"/>
    <col min="14416" max="14416" width="14.85546875" style="575" customWidth="1"/>
    <col min="14417" max="14417" width="13.85546875" style="575" customWidth="1"/>
    <col min="14418" max="14418" width="13.5703125" style="575" customWidth="1"/>
    <col min="14419" max="14419" width="13" style="575" customWidth="1"/>
    <col min="14420" max="14420" width="13.5703125" style="575" customWidth="1"/>
    <col min="14421" max="14421" width="7.7109375" style="575" bestFit="1" customWidth="1"/>
    <col min="14422" max="14591" width="9.140625" style="575"/>
    <col min="14592" max="14592" width="4.28515625" style="575" customWidth="1"/>
    <col min="14593" max="14593" width="10.140625" style="575" customWidth="1"/>
    <col min="14594" max="14594" width="8.85546875" style="575" customWidth="1"/>
    <col min="14595" max="14595" width="11.140625" style="575" customWidth="1"/>
    <col min="14596" max="14596" width="15" style="575" bestFit="1" customWidth="1"/>
    <col min="14597" max="14597" width="13.5703125" style="575" customWidth="1"/>
    <col min="14598" max="14598" width="11.42578125" style="575" bestFit="1" customWidth="1"/>
    <col min="14599" max="14599" width="11.28515625" style="575" customWidth="1"/>
    <col min="14600" max="14600" width="15.28515625" style="575" bestFit="1" customWidth="1"/>
    <col min="14601" max="14603" width="11.85546875" style="575" customWidth="1"/>
    <col min="14604" max="14604" width="19.140625" style="575" customWidth="1"/>
    <col min="14605" max="14605" width="15" style="575" customWidth="1"/>
    <col min="14606" max="14606" width="15.28515625" style="575" customWidth="1"/>
    <col min="14607" max="14609" width="18.85546875" style="575" customWidth="1"/>
    <col min="14610" max="14610" width="12.7109375" style="575" customWidth="1"/>
    <col min="14611" max="14611" width="13.7109375" style="575" customWidth="1"/>
    <col min="14612" max="14612" width="16.140625" style="575" customWidth="1"/>
    <col min="14613" max="14613" width="17" style="575" customWidth="1"/>
    <col min="14614" max="14614" width="15" style="575" customWidth="1"/>
    <col min="14615" max="14615" width="14.28515625" style="575" customWidth="1"/>
    <col min="14616" max="14616" width="14.85546875" style="575" customWidth="1"/>
    <col min="14617" max="14617" width="17.140625" style="575" customWidth="1"/>
    <col min="14618" max="14618" width="13.5703125" style="575" customWidth="1"/>
    <col min="14619" max="14620" width="14.85546875" style="575" customWidth="1"/>
    <col min="14621" max="14621" width="18.85546875" style="575" customWidth="1"/>
    <col min="14622" max="14622" width="19.42578125" style="575" customWidth="1"/>
    <col min="14623" max="14623" width="16.140625" style="575" customWidth="1"/>
    <col min="14624" max="14624" width="14.5703125" style="575" customWidth="1"/>
    <col min="14625" max="14625" width="20.28515625" style="575" customWidth="1"/>
    <col min="14626" max="14626" width="13.85546875" style="575" customWidth="1"/>
    <col min="14627" max="14627" width="19.140625" style="575" customWidth="1"/>
    <col min="14628" max="14628" width="19.7109375" style="575" customWidth="1"/>
    <col min="14629" max="14629" width="16.5703125" style="575" customWidth="1"/>
    <col min="14630" max="14630" width="19.140625" style="575" customWidth="1"/>
    <col min="14631" max="14633" width="16.5703125" style="575" customWidth="1"/>
    <col min="14634" max="14634" width="15.7109375" style="575" customWidth="1"/>
    <col min="14635" max="14635" width="19.42578125" style="575" customWidth="1"/>
    <col min="14636" max="14636" width="14.85546875" style="575" bestFit="1" customWidth="1"/>
    <col min="14637" max="14637" width="13.7109375" style="575" bestFit="1" customWidth="1"/>
    <col min="14638" max="14638" width="13" style="575" customWidth="1"/>
    <col min="14639" max="14639" width="18.42578125" style="575" customWidth="1"/>
    <col min="14640" max="14642" width="13.140625" style="575" customWidth="1"/>
    <col min="14643" max="14643" width="16.42578125" style="575" customWidth="1"/>
    <col min="14644" max="14644" width="13.140625" style="575" customWidth="1"/>
    <col min="14645" max="14645" width="15.28515625" style="575" customWidth="1"/>
    <col min="14646" max="14646" width="14" style="575" bestFit="1" customWidth="1"/>
    <col min="14647" max="14647" width="17.140625" style="575" customWidth="1"/>
    <col min="14648" max="14669" width="16.5703125" style="575" customWidth="1"/>
    <col min="14670" max="14670" width="20.140625" style="575" customWidth="1"/>
    <col min="14671" max="14671" width="13.28515625" style="575" customWidth="1"/>
    <col min="14672" max="14672" width="14.85546875" style="575" customWidth="1"/>
    <col min="14673" max="14673" width="13.85546875" style="575" customWidth="1"/>
    <col min="14674" max="14674" width="13.5703125" style="575" customWidth="1"/>
    <col min="14675" max="14675" width="13" style="575" customWidth="1"/>
    <col min="14676" max="14676" width="13.5703125" style="575" customWidth="1"/>
    <col min="14677" max="14677" width="7.7109375" style="575" bestFit="1" customWidth="1"/>
    <col min="14678" max="14847" width="9.140625" style="575"/>
    <col min="14848" max="14848" width="4.28515625" style="575" customWidth="1"/>
    <col min="14849" max="14849" width="10.140625" style="575" customWidth="1"/>
    <col min="14850" max="14850" width="8.85546875" style="575" customWidth="1"/>
    <col min="14851" max="14851" width="11.140625" style="575" customWidth="1"/>
    <col min="14852" max="14852" width="15" style="575" bestFit="1" customWidth="1"/>
    <col min="14853" max="14853" width="13.5703125" style="575" customWidth="1"/>
    <col min="14854" max="14854" width="11.42578125" style="575" bestFit="1" customWidth="1"/>
    <col min="14855" max="14855" width="11.28515625" style="575" customWidth="1"/>
    <col min="14856" max="14856" width="15.28515625" style="575" bestFit="1" customWidth="1"/>
    <col min="14857" max="14859" width="11.85546875" style="575" customWidth="1"/>
    <col min="14860" max="14860" width="19.140625" style="575" customWidth="1"/>
    <col min="14861" max="14861" width="15" style="575" customWidth="1"/>
    <col min="14862" max="14862" width="15.28515625" style="575" customWidth="1"/>
    <col min="14863" max="14865" width="18.85546875" style="575" customWidth="1"/>
    <col min="14866" max="14866" width="12.7109375" style="575" customWidth="1"/>
    <col min="14867" max="14867" width="13.7109375" style="575" customWidth="1"/>
    <col min="14868" max="14868" width="16.140625" style="575" customWidth="1"/>
    <col min="14869" max="14869" width="17" style="575" customWidth="1"/>
    <col min="14870" max="14870" width="15" style="575" customWidth="1"/>
    <col min="14871" max="14871" width="14.28515625" style="575" customWidth="1"/>
    <col min="14872" max="14872" width="14.85546875" style="575" customWidth="1"/>
    <col min="14873" max="14873" width="17.140625" style="575" customWidth="1"/>
    <col min="14874" max="14874" width="13.5703125" style="575" customWidth="1"/>
    <col min="14875" max="14876" width="14.85546875" style="575" customWidth="1"/>
    <col min="14877" max="14877" width="18.85546875" style="575" customWidth="1"/>
    <col min="14878" max="14878" width="19.42578125" style="575" customWidth="1"/>
    <col min="14879" max="14879" width="16.140625" style="575" customWidth="1"/>
    <col min="14880" max="14880" width="14.5703125" style="575" customWidth="1"/>
    <col min="14881" max="14881" width="20.28515625" style="575" customWidth="1"/>
    <col min="14882" max="14882" width="13.85546875" style="575" customWidth="1"/>
    <col min="14883" max="14883" width="19.140625" style="575" customWidth="1"/>
    <col min="14884" max="14884" width="19.7109375" style="575" customWidth="1"/>
    <col min="14885" max="14885" width="16.5703125" style="575" customWidth="1"/>
    <col min="14886" max="14886" width="19.140625" style="575" customWidth="1"/>
    <col min="14887" max="14889" width="16.5703125" style="575" customWidth="1"/>
    <col min="14890" max="14890" width="15.7109375" style="575" customWidth="1"/>
    <col min="14891" max="14891" width="19.42578125" style="575" customWidth="1"/>
    <col min="14892" max="14892" width="14.85546875" style="575" bestFit="1" customWidth="1"/>
    <col min="14893" max="14893" width="13.7109375" style="575" bestFit="1" customWidth="1"/>
    <col min="14894" max="14894" width="13" style="575" customWidth="1"/>
    <col min="14895" max="14895" width="18.42578125" style="575" customWidth="1"/>
    <col min="14896" max="14898" width="13.140625" style="575" customWidth="1"/>
    <col min="14899" max="14899" width="16.42578125" style="575" customWidth="1"/>
    <col min="14900" max="14900" width="13.140625" style="575" customWidth="1"/>
    <col min="14901" max="14901" width="15.28515625" style="575" customWidth="1"/>
    <col min="14902" max="14902" width="14" style="575" bestFit="1" customWidth="1"/>
    <col min="14903" max="14903" width="17.140625" style="575" customWidth="1"/>
    <col min="14904" max="14925" width="16.5703125" style="575" customWidth="1"/>
    <col min="14926" max="14926" width="20.140625" style="575" customWidth="1"/>
    <col min="14927" max="14927" width="13.28515625" style="575" customWidth="1"/>
    <col min="14928" max="14928" width="14.85546875" style="575" customWidth="1"/>
    <col min="14929" max="14929" width="13.85546875" style="575" customWidth="1"/>
    <col min="14930" max="14930" width="13.5703125" style="575" customWidth="1"/>
    <col min="14931" max="14931" width="13" style="575" customWidth="1"/>
    <col min="14932" max="14932" width="13.5703125" style="575" customWidth="1"/>
    <col min="14933" max="14933" width="7.7109375" style="575" bestFit="1" customWidth="1"/>
    <col min="14934" max="15103" width="9.140625" style="575"/>
    <col min="15104" max="15104" width="4.28515625" style="575" customWidth="1"/>
    <col min="15105" max="15105" width="10.140625" style="575" customWidth="1"/>
    <col min="15106" max="15106" width="8.85546875" style="575" customWidth="1"/>
    <col min="15107" max="15107" width="11.140625" style="575" customWidth="1"/>
    <col min="15108" max="15108" width="15" style="575" bestFit="1" customWidth="1"/>
    <col min="15109" max="15109" width="13.5703125" style="575" customWidth="1"/>
    <col min="15110" max="15110" width="11.42578125" style="575" bestFit="1" customWidth="1"/>
    <col min="15111" max="15111" width="11.28515625" style="575" customWidth="1"/>
    <col min="15112" max="15112" width="15.28515625" style="575" bestFit="1" customWidth="1"/>
    <col min="15113" max="15115" width="11.85546875" style="575" customWidth="1"/>
    <col min="15116" max="15116" width="19.140625" style="575" customWidth="1"/>
    <col min="15117" max="15117" width="15" style="575" customWidth="1"/>
    <col min="15118" max="15118" width="15.28515625" style="575" customWidth="1"/>
    <col min="15119" max="15121" width="18.85546875" style="575" customWidth="1"/>
    <col min="15122" max="15122" width="12.7109375" style="575" customWidth="1"/>
    <col min="15123" max="15123" width="13.7109375" style="575" customWidth="1"/>
    <col min="15124" max="15124" width="16.140625" style="575" customWidth="1"/>
    <col min="15125" max="15125" width="17" style="575" customWidth="1"/>
    <col min="15126" max="15126" width="15" style="575" customWidth="1"/>
    <col min="15127" max="15127" width="14.28515625" style="575" customWidth="1"/>
    <col min="15128" max="15128" width="14.85546875" style="575" customWidth="1"/>
    <col min="15129" max="15129" width="17.140625" style="575" customWidth="1"/>
    <col min="15130" max="15130" width="13.5703125" style="575" customWidth="1"/>
    <col min="15131" max="15132" width="14.85546875" style="575" customWidth="1"/>
    <col min="15133" max="15133" width="18.85546875" style="575" customWidth="1"/>
    <col min="15134" max="15134" width="19.42578125" style="575" customWidth="1"/>
    <col min="15135" max="15135" width="16.140625" style="575" customWidth="1"/>
    <col min="15136" max="15136" width="14.5703125" style="575" customWidth="1"/>
    <col min="15137" max="15137" width="20.28515625" style="575" customWidth="1"/>
    <col min="15138" max="15138" width="13.85546875" style="575" customWidth="1"/>
    <col min="15139" max="15139" width="19.140625" style="575" customWidth="1"/>
    <col min="15140" max="15140" width="19.7109375" style="575" customWidth="1"/>
    <col min="15141" max="15141" width="16.5703125" style="575" customWidth="1"/>
    <col min="15142" max="15142" width="19.140625" style="575" customWidth="1"/>
    <col min="15143" max="15145" width="16.5703125" style="575" customWidth="1"/>
    <col min="15146" max="15146" width="15.7109375" style="575" customWidth="1"/>
    <col min="15147" max="15147" width="19.42578125" style="575" customWidth="1"/>
    <col min="15148" max="15148" width="14.85546875" style="575" bestFit="1" customWidth="1"/>
    <col min="15149" max="15149" width="13.7109375" style="575" bestFit="1" customWidth="1"/>
    <col min="15150" max="15150" width="13" style="575" customWidth="1"/>
    <col min="15151" max="15151" width="18.42578125" style="575" customWidth="1"/>
    <col min="15152" max="15154" width="13.140625" style="575" customWidth="1"/>
    <col min="15155" max="15155" width="16.42578125" style="575" customWidth="1"/>
    <col min="15156" max="15156" width="13.140625" style="575" customWidth="1"/>
    <col min="15157" max="15157" width="15.28515625" style="575" customWidth="1"/>
    <col min="15158" max="15158" width="14" style="575" bestFit="1" customWidth="1"/>
    <col min="15159" max="15159" width="17.140625" style="575" customWidth="1"/>
    <col min="15160" max="15181" width="16.5703125" style="575" customWidth="1"/>
    <col min="15182" max="15182" width="20.140625" style="575" customWidth="1"/>
    <col min="15183" max="15183" width="13.28515625" style="575" customWidth="1"/>
    <col min="15184" max="15184" width="14.85546875" style="575" customWidth="1"/>
    <col min="15185" max="15185" width="13.85546875" style="575" customWidth="1"/>
    <col min="15186" max="15186" width="13.5703125" style="575" customWidth="1"/>
    <col min="15187" max="15187" width="13" style="575" customWidth="1"/>
    <col min="15188" max="15188" width="13.5703125" style="575" customWidth="1"/>
    <col min="15189" max="15189" width="7.7109375" style="575" bestFit="1" customWidth="1"/>
    <col min="15190" max="15359" width="9.140625" style="575"/>
    <col min="15360" max="15360" width="4.28515625" style="575" customWidth="1"/>
    <col min="15361" max="15361" width="10.140625" style="575" customWidth="1"/>
    <col min="15362" max="15362" width="8.85546875" style="575" customWidth="1"/>
    <col min="15363" max="15363" width="11.140625" style="575" customWidth="1"/>
    <col min="15364" max="15364" width="15" style="575" bestFit="1" customWidth="1"/>
    <col min="15365" max="15365" width="13.5703125" style="575" customWidth="1"/>
    <col min="15366" max="15366" width="11.42578125" style="575" bestFit="1" customWidth="1"/>
    <col min="15367" max="15367" width="11.28515625" style="575" customWidth="1"/>
    <col min="15368" max="15368" width="15.28515625" style="575" bestFit="1" customWidth="1"/>
    <col min="15369" max="15371" width="11.85546875" style="575" customWidth="1"/>
    <col min="15372" max="15372" width="19.140625" style="575" customWidth="1"/>
    <col min="15373" max="15373" width="15" style="575" customWidth="1"/>
    <col min="15374" max="15374" width="15.28515625" style="575" customWidth="1"/>
    <col min="15375" max="15377" width="18.85546875" style="575" customWidth="1"/>
    <col min="15378" max="15378" width="12.7109375" style="575" customWidth="1"/>
    <col min="15379" max="15379" width="13.7109375" style="575" customWidth="1"/>
    <col min="15380" max="15380" width="16.140625" style="575" customWidth="1"/>
    <col min="15381" max="15381" width="17" style="575" customWidth="1"/>
    <col min="15382" max="15382" width="15" style="575" customWidth="1"/>
    <col min="15383" max="15383" width="14.28515625" style="575" customWidth="1"/>
    <col min="15384" max="15384" width="14.85546875" style="575" customWidth="1"/>
    <col min="15385" max="15385" width="17.140625" style="575" customWidth="1"/>
    <col min="15386" max="15386" width="13.5703125" style="575" customWidth="1"/>
    <col min="15387" max="15388" width="14.85546875" style="575" customWidth="1"/>
    <col min="15389" max="15389" width="18.85546875" style="575" customWidth="1"/>
    <col min="15390" max="15390" width="19.42578125" style="575" customWidth="1"/>
    <col min="15391" max="15391" width="16.140625" style="575" customWidth="1"/>
    <col min="15392" max="15392" width="14.5703125" style="575" customWidth="1"/>
    <col min="15393" max="15393" width="20.28515625" style="575" customWidth="1"/>
    <col min="15394" max="15394" width="13.85546875" style="575" customWidth="1"/>
    <col min="15395" max="15395" width="19.140625" style="575" customWidth="1"/>
    <col min="15396" max="15396" width="19.7109375" style="575" customWidth="1"/>
    <col min="15397" max="15397" width="16.5703125" style="575" customWidth="1"/>
    <col min="15398" max="15398" width="19.140625" style="575" customWidth="1"/>
    <col min="15399" max="15401" width="16.5703125" style="575" customWidth="1"/>
    <col min="15402" max="15402" width="15.7109375" style="575" customWidth="1"/>
    <col min="15403" max="15403" width="19.42578125" style="575" customWidth="1"/>
    <col min="15404" max="15404" width="14.85546875" style="575" bestFit="1" customWidth="1"/>
    <col min="15405" max="15405" width="13.7109375" style="575" bestFit="1" customWidth="1"/>
    <col min="15406" max="15406" width="13" style="575" customWidth="1"/>
    <col min="15407" max="15407" width="18.42578125" style="575" customWidth="1"/>
    <col min="15408" max="15410" width="13.140625" style="575" customWidth="1"/>
    <col min="15411" max="15411" width="16.42578125" style="575" customWidth="1"/>
    <col min="15412" max="15412" width="13.140625" style="575" customWidth="1"/>
    <col min="15413" max="15413" width="15.28515625" style="575" customWidth="1"/>
    <col min="15414" max="15414" width="14" style="575" bestFit="1" customWidth="1"/>
    <col min="15415" max="15415" width="17.140625" style="575" customWidth="1"/>
    <col min="15416" max="15437" width="16.5703125" style="575" customWidth="1"/>
    <col min="15438" max="15438" width="20.140625" style="575" customWidth="1"/>
    <col min="15439" max="15439" width="13.28515625" style="575" customWidth="1"/>
    <col min="15440" max="15440" width="14.85546875" style="575" customWidth="1"/>
    <col min="15441" max="15441" width="13.85546875" style="575" customWidth="1"/>
    <col min="15442" max="15442" width="13.5703125" style="575" customWidth="1"/>
    <col min="15443" max="15443" width="13" style="575" customWidth="1"/>
    <col min="15444" max="15444" width="13.5703125" style="575" customWidth="1"/>
    <col min="15445" max="15445" width="7.7109375" style="575" bestFit="1" customWidth="1"/>
    <col min="15446" max="15615" width="9.140625" style="575"/>
    <col min="15616" max="15616" width="4.28515625" style="575" customWidth="1"/>
    <col min="15617" max="15617" width="10.140625" style="575" customWidth="1"/>
    <col min="15618" max="15618" width="8.85546875" style="575" customWidth="1"/>
    <col min="15619" max="15619" width="11.140625" style="575" customWidth="1"/>
    <col min="15620" max="15620" width="15" style="575" bestFit="1" customWidth="1"/>
    <col min="15621" max="15621" width="13.5703125" style="575" customWidth="1"/>
    <col min="15622" max="15622" width="11.42578125" style="575" bestFit="1" customWidth="1"/>
    <col min="15623" max="15623" width="11.28515625" style="575" customWidth="1"/>
    <col min="15624" max="15624" width="15.28515625" style="575" bestFit="1" customWidth="1"/>
    <col min="15625" max="15627" width="11.85546875" style="575" customWidth="1"/>
    <col min="15628" max="15628" width="19.140625" style="575" customWidth="1"/>
    <col min="15629" max="15629" width="15" style="575" customWidth="1"/>
    <col min="15630" max="15630" width="15.28515625" style="575" customWidth="1"/>
    <col min="15631" max="15633" width="18.85546875" style="575" customWidth="1"/>
    <col min="15634" max="15634" width="12.7109375" style="575" customWidth="1"/>
    <col min="15635" max="15635" width="13.7109375" style="575" customWidth="1"/>
    <col min="15636" max="15636" width="16.140625" style="575" customWidth="1"/>
    <col min="15637" max="15637" width="17" style="575" customWidth="1"/>
    <col min="15638" max="15638" width="15" style="575" customWidth="1"/>
    <col min="15639" max="15639" width="14.28515625" style="575" customWidth="1"/>
    <col min="15640" max="15640" width="14.85546875" style="575" customWidth="1"/>
    <col min="15641" max="15641" width="17.140625" style="575" customWidth="1"/>
    <col min="15642" max="15642" width="13.5703125" style="575" customWidth="1"/>
    <col min="15643" max="15644" width="14.85546875" style="575" customWidth="1"/>
    <col min="15645" max="15645" width="18.85546875" style="575" customWidth="1"/>
    <col min="15646" max="15646" width="19.42578125" style="575" customWidth="1"/>
    <col min="15647" max="15647" width="16.140625" style="575" customWidth="1"/>
    <col min="15648" max="15648" width="14.5703125" style="575" customWidth="1"/>
    <col min="15649" max="15649" width="20.28515625" style="575" customWidth="1"/>
    <col min="15650" max="15650" width="13.85546875" style="575" customWidth="1"/>
    <col min="15651" max="15651" width="19.140625" style="575" customWidth="1"/>
    <col min="15652" max="15652" width="19.7109375" style="575" customWidth="1"/>
    <col min="15653" max="15653" width="16.5703125" style="575" customWidth="1"/>
    <col min="15654" max="15654" width="19.140625" style="575" customWidth="1"/>
    <col min="15655" max="15657" width="16.5703125" style="575" customWidth="1"/>
    <col min="15658" max="15658" width="15.7109375" style="575" customWidth="1"/>
    <col min="15659" max="15659" width="19.42578125" style="575" customWidth="1"/>
    <col min="15660" max="15660" width="14.85546875" style="575" bestFit="1" customWidth="1"/>
    <col min="15661" max="15661" width="13.7109375" style="575" bestFit="1" customWidth="1"/>
    <col min="15662" max="15662" width="13" style="575" customWidth="1"/>
    <col min="15663" max="15663" width="18.42578125" style="575" customWidth="1"/>
    <col min="15664" max="15666" width="13.140625" style="575" customWidth="1"/>
    <col min="15667" max="15667" width="16.42578125" style="575" customWidth="1"/>
    <col min="15668" max="15668" width="13.140625" style="575" customWidth="1"/>
    <col min="15669" max="15669" width="15.28515625" style="575" customWidth="1"/>
    <col min="15670" max="15670" width="14" style="575" bestFit="1" customWidth="1"/>
    <col min="15671" max="15671" width="17.140625" style="575" customWidth="1"/>
    <col min="15672" max="15693" width="16.5703125" style="575" customWidth="1"/>
    <col min="15694" max="15694" width="20.140625" style="575" customWidth="1"/>
    <col min="15695" max="15695" width="13.28515625" style="575" customWidth="1"/>
    <col min="15696" max="15696" width="14.85546875" style="575" customWidth="1"/>
    <col min="15697" max="15697" width="13.85546875" style="575" customWidth="1"/>
    <col min="15698" max="15698" width="13.5703125" style="575" customWidth="1"/>
    <col min="15699" max="15699" width="13" style="575" customWidth="1"/>
    <col min="15700" max="15700" width="13.5703125" style="575" customWidth="1"/>
    <col min="15701" max="15701" width="7.7109375" style="575" bestFit="1" customWidth="1"/>
    <col min="15702" max="15871" width="9.140625" style="575"/>
    <col min="15872" max="15872" width="4.28515625" style="575" customWidth="1"/>
    <col min="15873" max="15873" width="10.140625" style="575" customWidth="1"/>
    <col min="15874" max="15874" width="8.85546875" style="575" customWidth="1"/>
    <col min="15875" max="15875" width="11.140625" style="575" customWidth="1"/>
    <col min="15876" max="15876" width="15" style="575" bestFit="1" customWidth="1"/>
    <col min="15877" max="15877" width="13.5703125" style="575" customWidth="1"/>
    <col min="15878" max="15878" width="11.42578125" style="575" bestFit="1" customWidth="1"/>
    <col min="15879" max="15879" width="11.28515625" style="575" customWidth="1"/>
    <col min="15880" max="15880" width="15.28515625" style="575" bestFit="1" customWidth="1"/>
    <col min="15881" max="15883" width="11.85546875" style="575" customWidth="1"/>
    <col min="15884" max="15884" width="19.140625" style="575" customWidth="1"/>
    <col min="15885" max="15885" width="15" style="575" customWidth="1"/>
    <col min="15886" max="15886" width="15.28515625" style="575" customWidth="1"/>
    <col min="15887" max="15889" width="18.85546875" style="575" customWidth="1"/>
    <col min="15890" max="15890" width="12.7109375" style="575" customWidth="1"/>
    <col min="15891" max="15891" width="13.7109375" style="575" customWidth="1"/>
    <col min="15892" max="15892" width="16.140625" style="575" customWidth="1"/>
    <col min="15893" max="15893" width="17" style="575" customWidth="1"/>
    <col min="15894" max="15894" width="15" style="575" customWidth="1"/>
    <col min="15895" max="15895" width="14.28515625" style="575" customWidth="1"/>
    <col min="15896" max="15896" width="14.85546875" style="575" customWidth="1"/>
    <col min="15897" max="15897" width="17.140625" style="575" customWidth="1"/>
    <col min="15898" max="15898" width="13.5703125" style="575" customWidth="1"/>
    <col min="15899" max="15900" width="14.85546875" style="575" customWidth="1"/>
    <col min="15901" max="15901" width="18.85546875" style="575" customWidth="1"/>
    <col min="15902" max="15902" width="19.42578125" style="575" customWidth="1"/>
    <col min="15903" max="15903" width="16.140625" style="575" customWidth="1"/>
    <col min="15904" max="15904" width="14.5703125" style="575" customWidth="1"/>
    <col min="15905" max="15905" width="20.28515625" style="575" customWidth="1"/>
    <col min="15906" max="15906" width="13.85546875" style="575" customWidth="1"/>
    <col min="15907" max="15907" width="19.140625" style="575" customWidth="1"/>
    <col min="15908" max="15908" width="19.7109375" style="575" customWidth="1"/>
    <col min="15909" max="15909" width="16.5703125" style="575" customWidth="1"/>
    <col min="15910" max="15910" width="19.140625" style="575" customWidth="1"/>
    <col min="15911" max="15913" width="16.5703125" style="575" customWidth="1"/>
    <col min="15914" max="15914" width="15.7109375" style="575" customWidth="1"/>
    <col min="15915" max="15915" width="19.42578125" style="575" customWidth="1"/>
    <col min="15916" max="15916" width="14.85546875" style="575" bestFit="1" customWidth="1"/>
    <col min="15917" max="15917" width="13.7109375" style="575" bestFit="1" customWidth="1"/>
    <col min="15918" max="15918" width="13" style="575" customWidth="1"/>
    <col min="15919" max="15919" width="18.42578125" style="575" customWidth="1"/>
    <col min="15920" max="15922" width="13.140625" style="575" customWidth="1"/>
    <col min="15923" max="15923" width="16.42578125" style="575" customWidth="1"/>
    <col min="15924" max="15924" width="13.140625" style="575" customWidth="1"/>
    <col min="15925" max="15925" width="15.28515625" style="575" customWidth="1"/>
    <col min="15926" max="15926" width="14" style="575" bestFit="1" customWidth="1"/>
    <col min="15927" max="15927" width="17.140625" style="575" customWidth="1"/>
    <col min="15928" max="15949" width="16.5703125" style="575" customWidth="1"/>
    <col min="15950" max="15950" width="20.140625" style="575" customWidth="1"/>
    <col min="15951" max="15951" width="13.28515625" style="575" customWidth="1"/>
    <col min="15952" max="15952" width="14.85546875" style="575" customWidth="1"/>
    <col min="15953" max="15953" width="13.85546875" style="575" customWidth="1"/>
    <col min="15954" max="15954" width="13.5703125" style="575" customWidth="1"/>
    <col min="15955" max="15955" width="13" style="575" customWidth="1"/>
    <col min="15956" max="15956" width="13.5703125" style="575" customWidth="1"/>
    <col min="15957" max="15957" width="7.7109375" style="575" bestFit="1" customWidth="1"/>
    <col min="15958" max="16127" width="9.140625" style="575"/>
    <col min="16128" max="16128" width="4.28515625" style="575" customWidth="1"/>
    <col min="16129" max="16129" width="10.140625" style="575" customWidth="1"/>
    <col min="16130" max="16130" width="8.85546875" style="575" customWidth="1"/>
    <col min="16131" max="16131" width="11.140625" style="575" customWidth="1"/>
    <col min="16132" max="16132" width="15" style="575" bestFit="1" customWidth="1"/>
    <col min="16133" max="16133" width="13.5703125" style="575" customWidth="1"/>
    <col min="16134" max="16134" width="11.42578125" style="575" bestFit="1" customWidth="1"/>
    <col min="16135" max="16135" width="11.28515625" style="575" customWidth="1"/>
    <col min="16136" max="16136" width="15.28515625" style="575" bestFit="1" customWidth="1"/>
    <col min="16137" max="16139" width="11.85546875" style="575" customWidth="1"/>
    <col min="16140" max="16140" width="19.140625" style="575" customWidth="1"/>
    <col min="16141" max="16141" width="15" style="575" customWidth="1"/>
    <col min="16142" max="16142" width="15.28515625" style="575" customWidth="1"/>
    <col min="16143" max="16145" width="18.85546875" style="575" customWidth="1"/>
    <col min="16146" max="16146" width="12.7109375" style="575" customWidth="1"/>
    <col min="16147" max="16147" width="13.7109375" style="575" customWidth="1"/>
    <col min="16148" max="16148" width="16.140625" style="575" customWidth="1"/>
    <col min="16149" max="16149" width="17" style="575" customWidth="1"/>
    <col min="16150" max="16150" width="15" style="575" customWidth="1"/>
    <col min="16151" max="16151" width="14.28515625" style="575" customWidth="1"/>
    <col min="16152" max="16152" width="14.85546875" style="575" customWidth="1"/>
    <col min="16153" max="16153" width="17.140625" style="575" customWidth="1"/>
    <col min="16154" max="16154" width="13.5703125" style="575" customWidth="1"/>
    <col min="16155" max="16156" width="14.85546875" style="575" customWidth="1"/>
    <col min="16157" max="16157" width="18.85546875" style="575" customWidth="1"/>
    <col min="16158" max="16158" width="19.42578125" style="575" customWidth="1"/>
    <col min="16159" max="16159" width="16.140625" style="575" customWidth="1"/>
    <col min="16160" max="16160" width="14.5703125" style="575" customWidth="1"/>
    <col min="16161" max="16161" width="20.28515625" style="575" customWidth="1"/>
    <col min="16162" max="16162" width="13.85546875" style="575" customWidth="1"/>
    <col min="16163" max="16163" width="19.140625" style="575" customWidth="1"/>
    <col min="16164" max="16164" width="19.7109375" style="575" customWidth="1"/>
    <col min="16165" max="16165" width="16.5703125" style="575" customWidth="1"/>
    <col min="16166" max="16166" width="19.140625" style="575" customWidth="1"/>
    <col min="16167" max="16169" width="16.5703125" style="575" customWidth="1"/>
    <col min="16170" max="16170" width="15.7109375" style="575" customWidth="1"/>
    <col min="16171" max="16171" width="19.42578125" style="575" customWidth="1"/>
    <col min="16172" max="16172" width="14.85546875" style="575" bestFit="1" customWidth="1"/>
    <col min="16173" max="16173" width="13.7109375" style="575" bestFit="1" customWidth="1"/>
    <col min="16174" max="16174" width="13" style="575" customWidth="1"/>
    <col min="16175" max="16175" width="18.42578125" style="575" customWidth="1"/>
    <col min="16176" max="16178" width="13.140625" style="575" customWidth="1"/>
    <col min="16179" max="16179" width="16.42578125" style="575" customWidth="1"/>
    <col min="16180" max="16180" width="13.140625" style="575" customWidth="1"/>
    <col min="16181" max="16181" width="15.28515625" style="575" customWidth="1"/>
    <col min="16182" max="16182" width="14" style="575" bestFit="1" customWidth="1"/>
    <col min="16183" max="16183" width="17.140625" style="575" customWidth="1"/>
    <col min="16184" max="16205" width="16.5703125" style="575" customWidth="1"/>
    <col min="16206" max="16206" width="20.140625" style="575" customWidth="1"/>
    <col min="16207" max="16207" width="13.28515625" style="575" customWidth="1"/>
    <col min="16208" max="16208" width="14.85546875" style="575" customWidth="1"/>
    <col min="16209" max="16209" width="13.85546875" style="575" customWidth="1"/>
    <col min="16210" max="16210" width="13.5703125" style="575" customWidth="1"/>
    <col min="16211" max="16211" width="13" style="575" customWidth="1"/>
    <col min="16212" max="16212" width="13.5703125" style="575" customWidth="1"/>
    <col min="16213" max="16213" width="7.7109375" style="575" bestFit="1" customWidth="1"/>
    <col min="16214" max="16384" width="9.140625" style="575"/>
  </cols>
  <sheetData>
    <row r="1" spans="2:83" s="556" customFormat="1" ht="29.25" customHeight="1">
      <c r="B1" s="686" t="s">
        <v>378</v>
      </c>
      <c r="P1" s="557"/>
      <c r="AQ1" s="558"/>
      <c r="AR1" s="558"/>
      <c r="AS1" s="559"/>
      <c r="AT1" s="558"/>
      <c r="AU1" s="558"/>
      <c r="AV1" s="558"/>
      <c r="AW1" s="558"/>
      <c r="AX1" s="558"/>
      <c r="AY1" s="558"/>
      <c r="AZ1" s="558"/>
      <c r="BA1" s="558"/>
      <c r="BB1" s="558"/>
      <c r="BC1" s="560"/>
      <c r="BJ1" s="561"/>
      <c r="BK1" s="562"/>
    </row>
    <row r="2" spans="2:83" s="556" customFormat="1" ht="15.75" customHeight="1">
      <c r="B2" s="563"/>
      <c r="C2" s="564"/>
      <c r="D2" s="563"/>
      <c r="E2" s="563"/>
      <c r="F2" s="563"/>
      <c r="G2" s="563"/>
      <c r="H2" s="563"/>
      <c r="I2" s="563"/>
      <c r="J2" s="563"/>
      <c r="K2" s="565"/>
      <c r="L2" s="566"/>
      <c r="M2" s="567"/>
      <c r="AQ2" s="558"/>
      <c r="AR2" s="558"/>
      <c r="AS2" s="559"/>
      <c r="AT2" s="558"/>
      <c r="AU2" s="558"/>
      <c r="AV2" s="558"/>
      <c r="AW2" s="558"/>
      <c r="AX2" s="558"/>
      <c r="AY2" s="558"/>
      <c r="AZ2" s="558"/>
      <c r="BA2" s="558"/>
      <c r="BB2" s="558"/>
      <c r="BC2" s="568"/>
      <c r="BJ2" s="569"/>
      <c r="BK2" s="570"/>
    </row>
    <row r="3" spans="2:83" ht="15.75" customHeight="1">
      <c r="B3" s="571"/>
      <c r="C3" s="571"/>
      <c r="D3" s="571"/>
      <c r="E3" s="571"/>
      <c r="F3" s="571"/>
      <c r="G3" s="571"/>
      <c r="H3" s="571"/>
      <c r="I3" s="571"/>
      <c r="J3" s="571"/>
      <c r="K3" s="572"/>
      <c r="L3" s="573"/>
      <c r="M3" s="574"/>
      <c r="BC3" s="578"/>
      <c r="BJ3" s="579"/>
      <c r="BK3" s="580"/>
    </row>
    <row r="4" spans="2:83" s="693" customFormat="1" ht="18" customHeight="1">
      <c r="B4" s="1574" t="s">
        <v>84</v>
      </c>
      <c r="C4" s="1574"/>
      <c r="D4" s="1574"/>
      <c r="E4" s="1574"/>
      <c r="F4" s="1574"/>
      <c r="G4" s="1574"/>
      <c r="H4" s="1574" t="s">
        <v>85</v>
      </c>
      <c r="I4" s="1574"/>
      <c r="J4" s="1574"/>
      <c r="K4" s="1574"/>
      <c r="L4" s="1574"/>
      <c r="M4" s="1574"/>
      <c r="N4" s="1574"/>
      <c r="O4" s="1574"/>
      <c r="P4" s="1574"/>
      <c r="Q4" s="1574"/>
      <c r="R4" s="1574"/>
      <c r="S4" s="1574"/>
      <c r="T4" s="1574"/>
      <c r="U4" s="1574"/>
      <c r="V4" s="1574"/>
      <c r="W4" s="1574"/>
      <c r="X4" s="1574"/>
      <c r="Y4" s="1574"/>
      <c r="Z4" s="1574"/>
      <c r="AA4" s="1574"/>
      <c r="AB4" s="1574"/>
      <c r="AC4" s="1574"/>
      <c r="AD4" s="1574"/>
      <c r="AE4" s="1574"/>
      <c r="AF4" s="1574"/>
      <c r="AG4" s="1574"/>
      <c r="AH4" s="1574"/>
      <c r="AI4" s="1574"/>
      <c r="AJ4" s="1574"/>
      <c r="AK4" s="1574"/>
      <c r="AL4" s="687"/>
      <c r="AM4" s="687"/>
      <c r="AN4" s="687"/>
      <c r="AO4" s="687"/>
      <c r="AP4" s="687"/>
      <c r="AQ4" s="688"/>
      <c r="AR4" s="688"/>
      <c r="AS4" s="688"/>
      <c r="AT4" s="688"/>
      <c r="AU4" s="688"/>
      <c r="AV4" s="688"/>
      <c r="AW4" s="688"/>
      <c r="AX4" s="688"/>
      <c r="AY4" s="688"/>
      <c r="AZ4" s="688"/>
      <c r="BA4" s="688"/>
      <c r="BB4" s="688"/>
      <c r="BC4" s="689"/>
      <c r="BD4" s="687"/>
      <c r="BE4" s="687"/>
      <c r="BF4" s="687"/>
      <c r="BG4" s="687"/>
      <c r="BH4" s="687"/>
      <c r="BI4" s="687"/>
      <c r="BJ4" s="690"/>
      <c r="BK4" s="691"/>
      <c r="BL4" s="687"/>
      <c r="BM4" s="687"/>
      <c r="BN4" s="687"/>
      <c r="BO4" s="687"/>
      <c r="BP4" s="687"/>
      <c r="BQ4" s="687"/>
      <c r="BR4" s="687"/>
      <c r="BS4" s="687"/>
      <c r="BT4" s="687"/>
      <c r="BU4" s="687"/>
      <c r="BV4" s="687"/>
      <c r="BW4" s="687"/>
      <c r="BX4" s="687"/>
      <c r="BY4" s="687"/>
      <c r="BZ4" s="692"/>
      <c r="CA4" s="692"/>
      <c r="CB4" s="692"/>
      <c r="CC4" s="692"/>
      <c r="CD4" s="692"/>
      <c r="CE4" s="692"/>
    </row>
    <row r="5" spans="2:83" ht="15.75" customHeight="1">
      <c r="B5" s="1438" t="s">
        <v>86</v>
      </c>
      <c r="C5" s="1438"/>
      <c r="D5" s="1438"/>
      <c r="E5" s="1438"/>
      <c r="F5" s="1438"/>
      <c r="G5" s="1438"/>
      <c r="H5" s="1575" t="s">
        <v>88</v>
      </c>
      <c r="I5" s="1575"/>
      <c r="J5" s="1575"/>
      <c r="K5" s="1575" t="s">
        <v>89</v>
      </c>
      <c r="L5" s="1575"/>
      <c r="M5" s="1575"/>
      <c r="N5" s="1575" t="s">
        <v>90</v>
      </c>
      <c r="O5" s="1575"/>
      <c r="P5" s="1575"/>
      <c r="Q5" s="1575" t="s">
        <v>91</v>
      </c>
      <c r="R5" s="1575"/>
      <c r="S5" s="1575"/>
      <c r="T5" s="1575"/>
      <c r="U5" s="1575"/>
      <c r="V5" s="1575" t="s">
        <v>92</v>
      </c>
      <c r="W5" s="1575"/>
      <c r="X5" s="1575"/>
      <c r="Y5" s="1575"/>
      <c r="Z5" s="1575"/>
      <c r="AA5" s="1575"/>
      <c r="AB5" s="1575" t="s">
        <v>93</v>
      </c>
      <c r="AC5" s="1575"/>
      <c r="AD5" s="1575"/>
      <c r="AE5" s="1575"/>
      <c r="AF5" s="1575"/>
      <c r="AG5" s="1575"/>
      <c r="AH5" s="1575"/>
      <c r="AI5" s="1575"/>
      <c r="AJ5" s="1575"/>
      <c r="AK5" s="1575"/>
      <c r="AL5" s="595"/>
      <c r="AM5" s="595"/>
      <c r="AN5" s="595"/>
      <c r="AO5" s="595"/>
      <c r="AP5" s="595"/>
      <c r="AQ5" s="577"/>
      <c r="AR5" s="577"/>
      <c r="AT5" s="577"/>
      <c r="AU5" s="577"/>
      <c r="AV5" s="577"/>
      <c r="AW5" s="577"/>
      <c r="AX5" s="577"/>
      <c r="AY5" s="577"/>
      <c r="AZ5" s="577"/>
      <c r="BA5" s="577"/>
      <c r="BB5" s="577"/>
      <c r="BC5" s="685"/>
      <c r="BD5" s="595"/>
      <c r="BE5" s="595"/>
      <c r="BF5" s="595"/>
      <c r="BG5" s="595"/>
      <c r="BH5" s="595"/>
      <c r="BI5" s="595"/>
      <c r="BJ5" s="694"/>
      <c r="BK5" s="695"/>
      <c r="BL5" s="595"/>
      <c r="BM5" s="595"/>
      <c r="BN5" s="595"/>
      <c r="BO5" s="595"/>
      <c r="BP5" s="595"/>
      <c r="BQ5" s="595"/>
      <c r="BR5" s="595"/>
      <c r="BS5" s="595"/>
      <c r="BT5" s="595"/>
      <c r="BU5" s="595"/>
      <c r="BV5" s="595"/>
      <c r="BW5" s="595"/>
      <c r="BX5" s="595"/>
      <c r="BY5" s="595"/>
      <c r="BZ5" s="696"/>
      <c r="CA5" s="696"/>
      <c r="CB5" s="696"/>
      <c r="CC5" s="696"/>
      <c r="CD5" s="696"/>
      <c r="CE5" s="696"/>
    </row>
    <row r="6" spans="2:83" ht="15.75" customHeight="1">
      <c r="B6" s="1296" t="s">
        <v>94</v>
      </c>
      <c r="C6" s="1296"/>
      <c r="D6" s="1296"/>
      <c r="E6" s="1296"/>
      <c r="F6" s="1296"/>
      <c r="G6" s="1296"/>
      <c r="H6" s="1440" t="s">
        <v>95</v>
      </c>
      <c r="I6" s="1440"/>
      <c r="J6" s="1576">
        <f>'①Tidak termasuk VAT TAX'!J6</f>
        <v>11326497.897637034</v>
      </c>
      <c r="K6" s="1438" t="s">
        <v>96</v>
      </c>
      <c r="L6" s="1438"/>
      <c r="M6" s="1577">
        <f>'①Tidak termasuk VAT TAX'!M6</f>
        <v>309200000</v>
      </c>
      <c r="N6" s="1440" t="s">
        <v>97</v>
      </c>
      <c r="O6" s="1440"/>
      <c r="P6" s="1578">
        <f>'①Tidak termasuk VAT TAX'!P6</f>
        <v>0</v>
      </c>
      <c r="Q6" s="1444" t="s">
        <v>98</v>
      </c>
      <c r="R6" s="1444"/>
      <c r="S6" s="1444"/>
      <c r="T6" s="1579" t="s">
        <v>99</v>
      </c>
      <c r="U6" s="1579" t="s">
        <v>100</v>
      </c>
      <c r="V6" s="1444" t="s">
        <v>98</v>
      </c>
      <c r="W6" s="1444"/>
      <c r="X6" s="1444"/>
      <c r="Y6" s="1579" t="s">
        <v>99</v>
      </c>
      <c r="Z6" s="1444" t="s">
        <v>100</v>
      </c>
      <c r="AA6" s="1444"/>
      <c r="AB6" s="1444" t="s">
        <v>101</v>
      </c>
      <c r="AC6" s="1444"/>
      <c r="AD6" s="1444"/>
      <c r="AE6" s="1579" t="s">
        <v>102</v>
      </c>
      <c r="AF6" s="1579" t="s">
        <v>103</v>
      </c>
      <c r="AG6" s="1444" t="s">
        <v>104</v>
      </c>
      <c r="AH6" s="1444"/>
      <c r="AI6" s="1444"/>
      <c r="AJ6" s="1444"/>
      <c r="AK6" s="1579" t="s">
        <v>103</v>
      </c>
      <c r="AL6" s="595"/>
      <c r="AM6" s="595"/>
      <c r="AN6" s="595"/>
      <c r="AO6" s="595"/>
      <c r="AP6" s="595"/>
      <c r="AQ6" s="577"/>
      <c r="AR6" s="577"/>
      <c r="AT6" s="577"/>
      <c r="AU6" s="577"/>
      <c r="AV6" s="577"/>
      <c r="AW6" s="577"/>
      <c r="AX6" s="577"/>
      <c r="AY6" s="577"/>
      <c r="AZ6" s="577"/>
      <c r="BA6" s="577"/>
      <c r="BB6" s="577"/>
      <c r="BC6" s="685"/>
      <c r="BD6" s="595"/>
      <c r="BE6" s="595"/>
      <c r="BF6" s="595"/>
      <c r="BG6" s="595"/>
      <c r="BH6" s="595"/>
      <c r="BI6" s="595"/>
      <c r="BJ6" s="694"/>
      <c r="BK6" s="695"/>
      <c r="BL6" s="595"/>
      <c r="BM6" s="595"/>
      <c r="BN6" s="595"/>
      <c r="BO6" s="595"/>
      <c r="BP6" s="595"/>
      <c r="BQ6" s="595"/>
      <c r="BR6" s="595"/>
      <c r="BS6" s="595"/>
      <c r="BT6" s="595"/>
      <c r="BU6" s="595"/>
      <c r="BV6" s="595"/>
      <c r="BW6" s="595"/>
      <c r="BX6" s="595"/>
      <c r="BY6" s="595"/>
    </row>
    <row r="7" spans="2:83" ht="15.75" customHeight="1">
      <c r="B7" s="1580" t="s">
        <v>105</v>
      </c>
      <c r="C7" s="1581"/>
      <c r="D7" s="1582"/>
      <c r="E7" s="1510">
        <v>1</v>
      </c>
      <c r="F7" s="1583">
        <v>1</v>
      </c>
      <c r="G7" s="1584">
        <v>2018</v>
      </c>
      <c r="H7" s="1440" t="s">
        <v>106</v>
      </c>
      <c r="I7" s="1440"/>
      <c r="J7" s="1576">
        <f>'①Tidak termasuk VAT TAX'!J7</f>
        <v>24</v>
      </c>
      <c r="K7" s="1438" t="s">
        <v>107</v>
      </c>
      <c r="L7" s="1438"/>
      <c r="M7" s="1577">
        <f>'①Tidak termasuk VAT TAX'!M7</f>
        <v>0</v>
      </c>
      <c r="N7" s="1440" t="s">
        <v>108</v>
      </c>
      <c r="O7" s="1440"/>
      <c r="P7" s="1578">
        <f>'①Tidak termasuk VAT TAX'!P7</f>
        <v>0</v>
      </c>
      <c r="Q7" s="1440" t="s">
        <v>109</v>
      </c>
      <c r="R7" s="1440"/>
      <c r="S7" s="1440"/>
      <c r="T7" s="1585">
        <f>'①Tidak termasuk VAT TAX'!T7</f>
        <v>2500</v>
      </c>
      <c r="U7" s="1585">
        <f>'①Tidak termasuk VAT TAX'!U7</f>
        <v>60000</v>
      </c>
      <c r="V7" s="1444" t="s">
        <v>110</v>
      </c>
      <c r="W7" s="1444"/>
      <c r="X7" s="1444"/>
      <c r="Y7" s="1585"/>
      <c r="Z7" s="1585">
        <f>'①Tidak termasuk VAT TAX'!AF7</f>
        <v>0</v>
      </c>
      <c r="AA7" s="1585"/>
      <c r="AB7" s="1440" t="s">
        <v>111</v>
      </c>
      <c r="AC7" s="1440"/>
      <c r="AD7" s="1440"/>
      <c r="AE7" s="1586">
        <v>0</v>
      </c>
      <c r="AF7" s="1585">
        <f>AE7*M8</f>
        <v>0</v>
      </c>
      <c r="AG7" s="1440" t="s">
        <v>112</v>
      </c>
      <c r="AH7" s="1440"/>
      <c r="AI7" s="1440"/>
      <c r="AJ7" s="1440"/>
      <c r="AK7" s="1585"/>
      <c r="AL7" s="697"/>
      <c r="AM7" s="697"/>
      <c r="AN7" s="697"/>
      <c r="AO7" s="697"/>
      <c r="AP7" s="697"/>
      <c r="BC7" s="698"/>
      <c r="BD7" s="697"/>
      <c r="BE7" s="697"/>
      <c r="BF7" s="697"/>
      <c r="BG7" s="697"/>
      <c r="BH7" s="697"/>
      <c r="BI7" s="697"/>
      <c r="BJ7" s="699"/>
      <c r="BK7" s="700"/>
      <c r="BL7" s="697"/>
      <c r="BM7" s="697"/>
      <c r="BN7" s="697"/>
      <c r="BO7" s="697"/>
      <c r="BP7" s="697"/>
      <c r="BQ7" s="697"/>
      <c r="BR7" s="697"/>
      <c r="BS7" s="697"/>
      <c r="BT7" s="697"/>
      <c r="BU7" s="697"/>
      <c r="BV7" s="697"/>
      <c r="BW7" s="697"/>
      <c r="BX7" s="697"/>
      <c r="BY7" s="697"/>
    </row>
    <row r="8" spans="2:83" ht="15.75" customHeight="1">
      <c r="B8" s="1580" t="s">
        <v>113</v>
      </c>
      <c r="C8" s="1581"/>
      <c r="D8" s="1582"/>
      <c r="E8" s="1510">
        <v>1</v>
      </c>
      <c r="F8" s="1583">
        <v>1</v>
      </c>
      <c r="G8" s="1587">
        <f>G7</f>
        <v>2018</v>
      </c>
      <c r="H8" s="1438" t="s">
        <v>115</v>
      </c>
      <c r="I8" s="1438"/>
      <c r="J8" s="1576" t="str">
        <f>'①Tidak termasuk VAT TAX'!J8</f>
        <v>City</v>
      </c>
      <c r="K8" s="1438" t="s">
        <v>117</v>
      </c>
      <c r="L8" s="1438"/>
      <c r="M8" s="1577">
        <f>'①Tidak termasuk VAT TAX'!M8</f>
        <v>309200000</v>
      </c>
      <c r="N8" s="1440" t="s">
        <v>118</v>
      </c>
      <c r="O8" s="1440"/>
      <c r="P8" s="1578">
        <f>'①Tidak termasuk VAT TAX'!P8</f>
        <v>0</v>
      </c>
      <c r="Q8" s="1440" t="s">
        <v>119</v>
      </c>
      <c r="R8" s="1440"/>
      <c r="S8" s="1440"/>
      <c r="T8" s="1585">
        <f>'①Tidak termasuk VAT TAX'!T8</f>
        <v>0</v>
      </c>
      <c r="U8" s="1585">
        <f>'①Tidak termasuk VAT TAX'!U8</f>
        <v>0</v>
      </c>
      <c r="V8" s="1444" t="s">
        <v>120</v>
      </c>
      <c r="W8" s="1444"/>
      <c r="X8" s="1444"/>
      <c r="Y8" s="1585"/>
      <c r="Z8" s="1585"/>
      <c r="AA8" s="1585"/>
      <c r="AB8" s="1440" t="s">
        <v>121</v>
      </c>
      <c r="AC8" s="1440"/>
      <c r="AD8" s="1440"/>
      <c r="AE8" s="1586">
        <v>0</v>
      </c>
      <c r="AF8" s="1585">
        <f>AE8*P6</f>
        <v>0</v>
      </c>
      <c r="AG8" s="1440" t="s">
        <v>122</v>
      </c>
      <c r="AH8" s="1440"/>
      <c r="AI8" s="1440"/>
      <c r="AJ8" s="1440"/>
      <c r="AK8" s="1585"/>
      <c r="AL8" s="697"/>
      <c r="AM8" s="697"/>
      <c r="AN8" s="697"/>
      <c r="AO8" s="697"/>
      <c r="AP8" s="697"/>
      <c r="BC8" s="698"/>
      <c r="BD8" s="697"/>
      <c r="BE8" s="697"/>
      <c r="BF8" s="697"/>
      <c r="BG8" s="697"/>
      <c r="BH8" s="697"/>
      <c r="BI8" s="697"/>
      <c r="BJ8" s="699"/>
      <c r="BK8" s="700"/>
      <c r="BL8" s="697"/>
      <c r="BM8" s="697"/>
      <c r="BN8" s="697"/>
      <c r="BO8" s="697"/>
      <c r="BP8" s="697"/>
      <c r="BQ8" s="697"/>
      <c r="BR8" s="697"/>
      <c r="BS8" s="697"/>
      <c r="BT8" s="697"/>
      <c r="BU8" s="697"/>
      <c r="BV8" s="697"/>
      <c r="BW8" s="697"/>
      <c r="BX8" s="697"/>
      <c r="BY8" s="697"/>
    </row>
    <row r="9" spans="2:83" ht="15.75" customHeight="1">
      <c r="B9" s="1588"/>
      <c r="C9" s="1589"/>
      <c r="D9" s="1590"/>
      <c r="E9" s="1588"/>
      <c r="F9" s="1589"/>
      <c r="G9" s="1590"/>
      <c r="H9" s="1438" t="s">
        <v>123</v>
      </c>
      <c r="I9" s="1438"/>
      <c r="J9" s="1576" t="str">
        <f>'①Tidak termasuk VAT TAX'!J9</f>
        <v>Jabotabek</v>
      </c>
      <c r="K9" s="1438" t="s">
        <v>125</v>
      </c>
      <c r="L9" s="1438"/>
      <c r="M9" s="1577">
        <f>'①Tidak termasuk VAT TAX'!M9</f>
        <v>28109090.909090906</v>
      </c>
      <c r="N9" s="1440"/>
      <c r="O9" s="1440"/>
      <c r="P9" s="1578">
        <f>'①Tidak termasuk VAT TAX'!P9</f>
        <v>0</v>
      </c>
      <c r="Q9" s="1458" t="s">
        <v>126</v>
      </c>
      <c r="R9" s="1458"/>
      <c r="S9" s="1458"/>
      <c r="T9" s="1585">
        <f>'①Tidak termasuk VAT TAX'!T9</f>
        <v>0</v>
      </c>
      <c r="U9" s="1585">
        <f>'①Tidak termasuk VAT TAX'!U9</f>
        <v>0</v>
      </c>
      <c r="V9" s="1444" t="s">
        <v>127</v>
      </c>
      <c r="W9" s="1444"/>
      <c r="X9" s="1444"/>
      <c r="Y9" s="1585"/>
      <c r="Z9" s="1585"/>
      <c r="AA9" s="1585"/>
      <c r="AB9" s="1440" t="s">
        <v>128</v>
      </c>
      <c r="AC9" s="1440"/>
      <c r="AD9" s="1440"/>
      <c r="AE9" s="1586">
        <v>0</v>
      </c>
      <c r="AF9" s="1585">
        <f>AE9*P7</f>
        <v>0</v>
      </c>
      <c r="AG9" s="1440" t="s">
        <v>129</v>
      </c>
      <c r="AH9" s="1440"/>
      <c r="AI9" s="1440"/>
      <c r="AJ9" s="1440"/>
      <c r="AK9" s="1585"/>
      <c r="AL9" s="697"/>
      <c r="AM9" s="697"/>
      <c r="AN9" s="697"/>
      <c r="AO9" s="697"/>
      <c r="AP9" s="697"/>
      <c r="BC9" s="698"/>
      <c r="BD9" s="697"/>
      <c r="BE9" s="697"/>
      <c r="BF9" s="697"/>
      <c r="BG9" s="697"/>
      <c r="BH9" s="697"/>
      <c r="BI9" s="697"/>
      <c r="BJ9" s="699"/>
      <c r="BK9" s="700"/>
      <c r="BL9" s="697"/>
      <c r="BM9" s="697"/>
      <c r="BN9" s="697"/>
      <c r="BO9" s="697"/>
      <c r="BP9" s="697"/>
      <c r="BQ9" s="697"/>
      <c r="BR9" s="697"/>
      <c r="BS9" s="697"/>
      <c r="BT9" s="697"/>
      <c r="BU9" s="697"/>
      <c r="BV9" s="697"/>
      <c r="BW9" s="697"/>
      <c r="BX9" s="697"/>
      <c r="BY9" s="697"/>
    </row>
    <row r="10" spans="2:83" ht="15.75" customHeight="1">
      <c r="B10" s="1440" t="s">
        <v>130</v>
      </c>
      <c r="C10" s="1440"/>
      <c r="D10" s="1440"/>
      <c r="E10" s="1440"/>
      <c r="F10" s="1440"/>
      <c r="G10" s="1591">
        <f>G14+5%</f>
        <v>0.14300000000000002</v>
      </c>
      <c r="H10" s="1438" t="s">
        <v>131</v>
      </c>
      <c r="I10" s="1438"/>
      <c r="J10" s="1576">
        <f>'①Tidak termasuk VAT TAX'!J10</f>
        <v>30</v>
      </c>
      <c r="K10" s="1438" t="s">
        <v>132</v>
      </c>
      <c r="L10" s="1438"/>
      <c r="M10" s="1577">
        <f>'①Tidak termasuk VAT TAX'!M10</f>
        <v>0</v>
      </c>
      <c r="N10" s="1440" t="s">
        <v>133</v>
      </c>
      <c r="O10" s="1440"/>
      <c r="P10" s="1578">
        <f>'①Tidak termasuk VAT TAX'!P10</f>
        <v>0</v>
      </c>
      <c r="Q10" s="1458" t="s">
        <v>134</v>
      </c>
      <c r="R10" s="1458"/>
      <c r="S10" s="1458"/>
      <c r="T10" s="1585">
        <f>'①Tidak termasuk VAT TAX'!T10</f>
        <v>0</v>
      </c>
      <c r="U10" s="1585">
        <f>'①Tidak termasuk VAT TAX'!U10</f>
        <v>0</v>
      </c>
      <c r="V10" s="1444" t="s">
        <v>135</v>
      </c>
      <c r="W10" s="1444"/>
      <c r="X10" s="1592">
        <v>4.8611111111111112E-2</v>
      </c>
      <c r="Y10" s="1585"/>
      <c r="Z10" s="1585"/>
      <c r="AA10" s="1585"/>
      <c r="AB10" s="1440" t="s">
        <v>136</v>
      </c>
      <c r="AC10" s="1440"/>
      <c r="AD10" s="1440"/>
      <c r="AE10" s="1585"/>
      <c r="AF10" s="1585">
        <v>3</v>
      </c>
      <c r="AG10" s="1440" t="s">
        <v>137</v>
      </c>
      <c r="AH10" s="1440"/>
      <c r="AI10" s="1440"/>
      <c r="AJ10" s="1440"/>
      <c r="AK10" s="1585">
        <v>1</v>
      </c>
      <c r="AL10" s="697"/>
      <c r="AM10" s="697"/>
      <c r="AN10" s="697"/>
      <c r="AO10" s="697"/>
      <c r="AP10" s="697"/>
      <c r="BC10" s="698"/>
      <c r="BD10" s="697"/>
      <c r="BE10" s="697"/>
      <c r="BF10" s="697"/>
      <c r="BG10" s="697"/>
      <c r="BH10" s="697"/>
      <c r="BI10" s="697"/>
      <c r="BJ10" s="699"/>
      <c r="BK10" s="700"/>
      <c r="BL10" s="697"/>
      <c r="BM10" s="697"/>
      <c r="BN10" s="697"/>
      <c r="BO10" s="697"/>
      <c r="BP10" s="697"/>
      <c r="BQ10" s="697"/>
      <c r="BR10" s="697"/>
      <c r="BS10" s="697"/>
      <c r="BT10" s="697"/>
      <c r="BU10" s="697"/>
      <c r="BV10" s="697"/>
      <c r="BW10" s="697"/>
      <c r="BX10" s="697"/>
      <c r="BY10" s="697"/>
    </row>
    <row r="11" spans="2:83" ht="15.75" customHeight="1">
      <c r="B11" s="1440" t="s">
        <v>138</v>
      </c>
      <c r="C11" s="1440"/>
      <c r="D11" s="1440"/>
      <c r="E11" s="1440"/>
      <c r="F11" s="1440"/>
      <c r="G11" s="1593"/>
      <c r="H11" s="1438"/>
      <c r="I11" s="1438"/>
      <c r="J11" s="1594"/>
      <c r="K11" s="1466" t="s">
        <v>139</v>
      </c>
      <c r="L11" s="1466"/>
      <c r="M11" s="1577">
        <f>'①Tidak termasuk VAT TAX'!M11</f>
        <v>20000000</v>
      </c>
      <c r="N11" s="1440" t="s">
        <v>140</v>
      </c>
      <c r="O11" s="1440"/>
      <c r="P11" s="1578">
        <f>'①Tidak termasuk VAT TAX'!P11</f>
        <v>0</v>
      </c>
      <c r="Q11" s="1458" t="s">
        <v>141</v>
      </c>
      <c r="R11" s="1458"/>
      <c r="S11" s="1458"/>
      <c r="T11" s="1585">
        <f>'①Tidak termasuk VAT TAX'!T11</f>
        <v>500000</v>
      </c>
      <c r="U11" s="1585">
        <f>'①Tidak termasuk VAT TAX'!U11</f>
        <v>12000000</v>
      </c>
      <c r="V11" s="1444" t="s">
        <v>142</v>
      </c>
      <c r="W11" s="1444"/>
      <c r="X11" s="1444"/>
      <c r="Y11" s="1585"/>
      <c r="Z11" s="1595"/>
      <c r="AA11" s="1595"/>
      <c r="AB11" s="1440" t="s">
        <v>143</v>
      </c>
      <c r="AC11" s="1440"/>
      <c r="AD11" s="1440"/>
      <c r="AE11" s="1585"/>
      <c r="AF11" s="1585">
        <v>3</v>
      </c>
      <c r="AG11" s="1440" t="s">
        <v>144</v>
      </c>
      <c r="AH11" s="1440"/>
      <c r="AI11" s="1440"/>
      <c r="AJ11" s="1440"/>
      <c r="AK11" s="1585">
        <v>1</v>
      </c>
      <c r="AL11" s="697"/>
      <c r="AM11" s="697"/>
      <c r="AN11" s="697"/>
      <c r="AO11" s="697"/>
      <c r="AP11" s="697"/>
      <c r="BC11" s="698"/>
      <c r="BD11" s="697"/>
      <c r="BE11" s="697"/>
      <c r="BF11" s="697"/>
      <c r="BG11" s="697"/>
      <c r="BH11" s="697"/>
      <c r="BI11" s="697"/>
      <c r="BJ11" s="699"/>
      <c r="BK11" s="700"/>
      <c r="BL11" s="697"/>
      <c r="BM11" s="697"/>
      <c r="BN11" s="697"/>
      <c r="BO11" s="697"/>
      <c r="BP11" s="697"/>
      <c r="BQ11" s="697"/>
      <c r="BR11" s="697"/>
      <c r="BS11" s="697"/>
      <c r="BT11" s="697"/>
      <c r="BU11" s="697"/>
      <c r="BV11" s="697"/>
      <c r="BW11" s="697"/>
      <c r="BX11" s="697"/>
      <c r="BY11" s="697"/>
    </row>
    <row r="12" spans="2:83" ht="15.75" customHeight="1">
      <c r="B12" s="1440" t="s">
        <v>145</v>
      </c>
      <c r="C12" s="1440"/>
      <c r="D12" s="1440"/>
      <c r="E12" s="1440"/>
      <c r="F12" s="1440"/>
      <c r="G12" s="1593"/>
      <c r="H12" s="1468" t="s">
        <v>146</v>
      </c>
      <c r="I12" s="1468"/>
      <c r="J12" s="1596"/>
      <c r="K12" s="1438" t="s">
        <v>147</v>
      </c>
      <c r="L12" s="1438"/>
      <c r="M12" s="1577">
        <f>'①Tidak termasuk VAT TAX'!M12</f>
        <v>2000000</v>
      </c>
      <c r="N12" s="1440" t="s">
        <v>148</v>
      </c>
      <c r="O12" s="1440"/>
      <c r="P12" s="1578">
        <f>'①Tidak termasuk VAT TAX'!P12</f>
        <v>0</v>
      </c>
      <c r="Q12" s="1470"/>
      <c r="R12" s="1470"/>
      <c r="S12" s="1470"/>
      <c r="T12" s="1556"/>
      <c r="U12" s="1556"/>
      <c r="V12" s="1444"/>
      <c r="W12" s="1444"/>
      <c r="X12" s="1444"/>
      <c r="Y12" s="1585"/>
      <c r="Z12" s="1595"/>
      <c r="AA12" s="1595"/>
      <c r="AB12" s="1440" t="s">
        <v>149</v>
      </c>
      <c r="AC12" s="1440"/>
      <c r="AD12" s="1440"/>
      <c r="AE12" s="1585"/>
      <c r="AF12" s="1585">
        <v>3</v>
      </c>
      <c r="AG12" s="1440" t="s">
        <v>150</v>
      </c>
      <c r="AH12" s="1440"/>
      <c r="AI12" s="1440"/>
      <c r="AJ12" s="1440"/>
      <c r="AK12" s="1585">
        <v>1</v>
      </c>
      <c r="AL12" s="697"/>
      <c r="AM12" s="697"/>
      <c r="AN12" s="697"/>
      <c r="AO12" s="697"/>
      <c r="AP12" s="697"/>
      <c r="BC12" s="698"/>
      <c r="BD12" s="697"/>
      <c r="BE12" s="697"/>
      <c r="BF12" s="697"/>
      <c r="BG12" s="697"/>
      <c r="BH12" s="697"/>
      <c r="BI12" s="697"/>
      <c r="BJ12" s="699"/>
      <c r="BK12" s="700"/>
      <c r="BL12" s="697"/>
      <c r="BM12" s="697"/>
      <c r="BN12" s="697"/>
      <c r="BO12" s="697"/>
      <c r="BP12" s="697"/>
      <c r="BQ12" s="697"/>
      <c r="BR12" s="697"/>
      <c r="BS12" s="697"/>
      <c r="BT12" s="697"/>
      <c r="BU12" s="697"/>
      <c r="BV12" s="697"/>
      <c r="BW12" s="697"/>
      <c r="BX12" s="697"/>
      <c r="BY12" s="697"/>
    </row>
    <row r="13" spans="2:83" ht="15.75" customHeight="1">
      <c r="B13" s="1440" t="s">
        <v>151</v>
      </c>
      <c r="C13" s="1440"/>
      <c r="D13" s="1440"/>
      <c r="E13" s="1440"/>
      <c r="F13" s="1440"/>
      <c r="G13" s="1597">
        <f>'①Tidak termasuk VAT TAX'!G13</f>
        <v>0.17499999999999999</v>
      </c>
      <c r="H13" s="1438"/>
      <c r="I13" s="1438"/>
      <c r="J13" s="1598"/>
      <c r="K13" s="1474" t="s">
        <v>152</v>
      </c>
      <c r="L13" s="1474"/>
      <c r="M13" s="1577">
        <f>'①Tidak termasuk VAT TAX'!M13</f>
        <v>3000000</v>
      </c>
      <c r="N13" s="1440" t="s">
        <v>153</v>
      </c>
      <c r="O13" s="1440"/>
      <c r="P13" s="1578">
        <f>'①Tidak termasuk VAT TAX'!P13</f>
        <v>0</v>
      </c>
      <c r="Q13" s="1475" t="s">
        <v>154</v>
      </c>
      <c r="R13" s="1475"/>
      <c r="S13" s="1475"/>
      <c r="T13" s="1599"/>
      <c r="U13" s="1600"/>
      <c r="V13" s="1444"/>
      <c r="W13" s="1444"/>
      <c r="X13" s="1444"/>
      <c r="Y13" s="1585"/>
      <c r="Z13" s="1595"/>
      <c r="AA13" s="1595"/>
      <c r="AB13" s="1440"/>
      <c r="AC13" s="1440"/>
      <c r="AD13" s="1440"/>
      <c r="AE13" s="1585"/>
      <c r="AF13" s="1585"/>
      <c r="AG13" s="1440"/>
      <c r="AH13" s="1440"/>
      <c r="AI13" s="1440"/>
      <c r="AJ13" s="1440"/>
      <c r="AK13" s="1585"/>
      <c r="AL13" s="697"/>
      <c r="AM13" s="697"/>
      <c r="AN13" s="697"/>
      <c r="AO13" s="697"/>
      <c r="AP13" s="697"/>
      <c r="BC13" s="698"/>
      <c r="BD13" s="697"/>
      <c r="BE13" s="697"/>
      <c r="BF13" s="697"/>
      <c r="BG13" s="697"/>
      <c r="BH13" s="697"/>
      <c r="BI13" s="697"/>
      <c r="BJ13" s="699"/>
      <c r="BK13" s="700"/>
      <c r="BL13" s="697"/>
      <c r="BM13" s="697"/>
      <c r="BN13" s="697"/>
      <c r="BO13" s="697"/>
      <c r="BP13" s="697"/>
      <c r="BQ13" s="697"/>
      <c r="BR13" s="697"/>
      <c r="BS13" s="697"/>
      <c r="BT13" s="697"/>
      <c r="BU13" s="697"/>
      <c r="BV13" s="697"/>
      <c r="BW13" s="697"/>
      <c r="BX13" s="697"/>
      <c r="BY13" s="697"/>
    </row>
    <row r="14" spans="2:83" ht="15.75" customHeight="1">
      <c r="B14" s="1440" t="s">
        <v>155</v>
      </c>
      <c r="C14" s="1440"/>
      <c r="D14" s="1440"/>
      <c r="E14" s="1440"/>
      <c r="F14" s="1440"/>
      <c r="G14" s="1597">
        <f>'①Tidak termasuk VAT TAX'!G14</f>
        <v>9.2999999999999999E-2</v>
      </c>
      <c r="H14" s="1438"/>
      <c r="I14" s="1438"/>
      <c r="J14" s="1601"/>
      <c r="K14" s="1466" t="s">
        <v>156</v>
      </c>
      <c r="L14" s="1466"/>
      <c r="M14" s="1577">
        <f>'①Tidak termasuk VAT TAX'!M14</f>
        <v>148416000</v>
      </c>
      <c r="N14" s="1440" t="s">
        <v>157</v>
      </c>
      <c r="O14" s="1440"/>
      <c r="P14" s="1578">
        <f>'①Tidak termasuk VAT TAX'!P14</f>
        <v>0</v>
      </c>
      <c r="Q14" s="1475"/>
      <c r="R14" s="1475"/>
      <c r="S14" s="1475"/>
      <c r="T14" s="1538"/>
      <c r="U14" s="1600">
        <v>1</v>
      </c>
      <c r="V14" s="1444"/>
      <c r="W14" s="1444"/>
      <c r="X14" s="1444"/>
      <c r="Y14" s="1585"/>
      <c r="Z14" s="1595"/>
      <c r="AA14" s="1595"/>
      <c r="AB14" s="1440"/>
      <c r="AC14" s="1440"/>
      <c r="AD14" s="1440"/>
      <c r="AE14" s="1585"/>
      <c r="AF14" s="1585"/>
      <c r="AG14" s="1440"/>
      <c r="AH14" s="1440"/>
      <c r="AI14" s="1440"/>
      <c r="AJ14" s="1440"/>
      <c r="AK14" s="1585"/>
      <c r="AL14" s="697"/>
      <c r="AM14" s="697"/>
      <c r="AN14" s="697"/>
      <c r="AO14" s="697"/>
      <c r="AP14" s="697"/>
      <c r="BC14" s="698"/>
      <c r="BD14" s="697"/>
      <c r="BE14" s="697"/>
      <c r="BF14" s="697"/>
      <c r="BG14" s="697"/>
      <c r="BH14" s="697"/>
      <c r="BI14" s="697"/>
      <c r="BJ14" s="699"/>
      <c r="BK14" s="700"/>
      <c r="BL14" s="697"/>
      <c r="BM14" s="697"/>
      <c r="BN14" s="697"/>
      <c r="BO14" s="697"/>
      <c r="BP14" s="697"/>
      <c r="BQ14" s="697"/>
      <c r="BR14" s="697"/>
      <c r="BS14" s="697"/>
      <c r="BT14" s="697"/>
      <c r="BU14" s="697"/>
      <c r="BV14" s="697"/>
      <c r="BW14" s="697"/>
      <c r="BX14" s="697"/>
      <c r="BY14" s="697"/>
    </row>
    <row r="15" spans="2:83" ht="15.75" customHeight="1">
      <c r="B15" s="1440" t="s">
        <v>158</v>
      </c>
      <c r="C15" s="1440"/>
      <c r="D15" s="1440"/>
      <c r="E15" s="1440"/>
      <c r="F15" s="1440"/>
      <c r="G15" s="1591">
        <f>G13-G14</f>
        <v>8.199999999999999E-2</v>
      </c>
      <c r="H15" s="1438"/>
      <c r="I15" s="1438"/>
      <c r="J15" s="1601"/>
      <c r="K15" s="1438" t="s">
        <v>159</v>
      </c>
      <c r="L15" s="1438"/>
      <c r="M15" s="1577">
        <f>'①Tidak termasuk VAT TAX'!M15</f>
        <v>13492363.636363655</v>
      </c>
      <c r="N15" s="1440"/>
      <c r="O15" s="1440"/>
      <c r="P15" s="1602"/>
      <c r="Q15" s="1444"/>
      <c r="R15" s="1444"/>
      <c r="S15" s="1444"/>
      <c r="T15" s="1444"/>
      <c r="U15" s="1444"/>
      <c r="V15" s="1444"/>
      <c r="W15" s="1444"/>
      <c r="X15" s="1444"/>
      <c r="Y15" s="1585"/>
      <c r="Z15" s="1595"/>
      <c r="AA15" s="1595"/>
      <c r="AB15" s="1440"/>
      <c r="AC15" s="1440"/>
      <c r="AD15" s="1440"/>
      <c r="AE15" s="1585"/>
      <c r="AF15" s="1585"/>
      <c r="AG15" s="1440"/>
      <c r="AH15" s="1440"/>
      <c r="AI15" s="1440"/>
      <c r="AJ15" s="1440"/>
      <c r="AK15" s="1585"/>
      <c r="AL15" s="697"/>
      <c r="AM15" s="697"/>
      <c r="AN15" s="697"/>
      <c r="AO15" s="697"/>
      <c r="AP15" s="697"/>
      <c r="BC15" s="698"/>
      <c r="BD15" s="697"/>
      <c r="BE15" s="697"/>
      <c r="BF15" s="697"/>
      <c r="BG15" s="697"/>
      <c r="BH15" s="697"/>
      <c r="BI15" s="697"/>
      <c r="BJ15" s="699"/>
      <c r="BK15" s="700"/>
      <c r="BL15" s="697"/>
      <c r="BM15" s="697"/>
      <c r="BN15" s="697"/>
      <c r="BO15" s="697"/>
      <c r="BP15" s="697"/>
      <c r="BQ15" s="697"/>
      <c r="BR15" s="697"/>
      <c r="BS15" s="697"/>
      <c r="BT15" s="697"/>
      <c r="BU15" s="697"/>
      <c r="BV15" s="697"/>
      <c r="BW15" s="697"/>
      <c r="BX15" s="697"/>
      <c r="BY15" s="697"/>
    </row>
    <row r="16" spans="2:83" ht="15.75" customHeight="1" thickBot="1">
      <c r="B16" s="571"/>
      <c r="C16" s="571"/>
      <c r="D16" s="571"/>
      <c r="E16" s="571"/>
      <c r="F16" s="571"/>
      <c r="G16" s="571"/>
      <c r="H16" s="571"/>
      <c r="I16" s="571"/>
      <c r="J16" s="571"/>
      <c r="M16" s="581"/>
      <c r="U16" s="781">
        <f>-Calculation!F27</f>
        <v>-11436195.791783758</v>
      </c>
      <c r="AH16" s="576">
        <f>-AM26</f>
        <v>0</v>
      </c>
    </row>
    <row r="17" spans="1:91" s="585" customFormat="1" ht="21.95" customHeight="1" thickTop="1">
      <c r="B17" s="1603" t="s">
        <v>160</v>
      </c>
      <c r="C17" s="1604" t="s">
        <v>161</v>
      </c>
      <c r="D17" s="1605" t="s">
        <v>162</v>
      </c>
      <c r="E17" s="1293" t="s">
        <v>163</v>
      </c>
      <c r="F17" s="1294"/>
      <c r="G17" s="1294"/>
      <c r="H17" s="1294"/>
      <c r="I17" s="1294"/>
      <c r="J17" s="1294"/>
      <c r="K17" s="1294"/>
      <c r="L17" s="1294"/>
      <c r="M17" s="1294"/>
      <c r="N17" s="1294"/>
      <c r="O17" s="1294"/>
      <c r="P17" s="1294"/>
      <c r="Q17" s="1294"/>
      <c r="R17" s="1294"/>
      <c r="S17" s="1294"/>
      <c r="T17" s="1316"/>
      <c r="U17" s="1328" t="s">
        <v>379</v>
      </c>
      <c r="V17" s="1331" t="s">
        <v>165</v>
      </c>
      <c r="W17" s="1332"/>
      <c r="X17" s="1332"/>
      <c r="Y17" s="1332"/>
      <c r="Z17" s="1332"/>
      <c r="AA17" s="1323" t="s">
        <v>339</v>
      </c>
      <c r="AB17" s="1317" t="s">
        <v>380</v>
      </c>
      <c r="AC17" s="1249" t="s">
        <v>381</v>
      </c>
      <c r="AD17" s="1325" t="s">
        <v>373</v>
      </c>
      <c r="AE17" s="736"/>
      <c r="AF17" s="736"/>
      <c r="AG17" s="1307" t="s">
        <v>374</v>
      </c>
      <c r="AH17" s="1290" t="s">
        <v>374</v>
      </c>
      <c r="AI17" s="1293" t="s">
        <v>169</v>
      </c>
      <c r="AJ17" s="1294"/>
      <c r="AK17" s="1294"/>
      <c r="AL17" s="1294"/>
      <c r="AM17" s="1295"/>
      <c r="AN17" s="1293" t="s">
        <v>170</v>
      </c>
      <c r="AO17" s="1294"/>
      <c r="AP17" s="1294"/>
      <c r="AQ17" s="1295"/>
      <c r="AR17" s="1310" t="s">
        <v>171</v>
      </c>
      <c r="AS17" s="1310" t="s">
        <v>172</v>
      </c>
      <c r="AT17" s="1310" t="s">
        <v>173</v>
      </c>
      <c r="AU17" s="1223" t="s">
        <v>174</v>
      </c>
    </row>
    <row r="18" spans="1:91" s="585" customFormat="1" ht="18" customHeight="1">
      <c r="B18" s="586"/>
      <c r="C18" s="587"/>
      <c r="D18" s="588"/>
      <c r="E18" s="1485" t="s">
        <v>347</v>
      </c>
      <c r="F18" s="1486"/>
      <c r="G18" s="1486" t="s">
        <v>177</v>
      </c>
      <c r="H18" s="1486"/>
      <c r="I18" s="1486" t="s">
        <v>349</v>
      </c>
      <c r="J18" s="1486"/>
      <c r="K18" s="1486" t="s">
        <v>350</v>
      </c>
      <c r="L18" s="1486"/>
      <c r="M18" s="1606" t="s">
        <v>180</v>
      </c>
      <c r="N18" s="1606" t="s">
        <v>181</v>
      </c>
      <c r="O18" s="1606" t="s">
        <v>182</v>
      </c>
      <c r="P18" s="1486" t="s">
        <v>183</v>
      </c>
      <c r="Q18" s="1607"/>
      <c r="R18" s="1608" t="s">
        <v>184</v>
      </c>
      <c r="S18" s="1608" t="s">
        <v>185</v>
      </c>
      <c r="T18" s="1609" t="s">
        <v>186</v>
      </c>
      <c r="U18" s="1329"/>
      <c r="V18" s="1493" t="s">
        <v>187</v>
      </c>
      <c r="W18" s="1494"/>
      <c r="X18" s="1494" t="s">
        <v>188</v>
      </c>
      <c r="Y18" s="1494"/>
      <c r="Z18" s="1494"/>
      <c r="AA18" s="1255"/>
      <c r="AB18" s="1610"/>
      <c r="AC18" s="1250"/>
      <c r="AD18" s="1326"/>
      <c r="AE18" s="737"/>
      <c r="AF18" s="737"/>
      <c r="AG18" s="1308"/>
      <c r="AH18" s="1291"/>
      <c r="AI18" s="1611" t="s">
        <v>375</v>
      </c>
      <c r="AJ18" s="1612" t="s">
        <v>190</v>
      </c>
      <c r="AK18" s="1612" t="s">
        <v>191</v>
      </c>
      <c r="AL18" s="1613" t="s">
        <v>192</v>
      </c>
      <c r="AM18" s="1614" t="s">
        <v>193</v>
      </c>
      <c r="AN18" s="1615" t="s">
        <v>194</v>
      </c>
      <c r="AO18" s="1616" t="s">
        <v>195</v>
      </c>
      <c r="AP18" s="1612" t="s">
        <v>196</v>
      </c>
      <c r="AQ18" s="1617" t="s">
        <v>197</v>
      </c>
      <c r="AR18" s="1311"/>
      <c r="AS18" s="1311"/>
      <c r="AT18" s="1311"/>
      <c r="AU18" s="1224"/>
      <c r="BP18" s="589"/>
      <c r="BQ18" s="589"/>
      <c r="BR18" s="589"/>
      <c r="BS18" s="589"/>
      <c r="BT18" s="589"/>
      <c r="BU18" s="589"/>
      <c r="BV18" s="589"/>
      <c r="BW18" s="589"/>
      <c r="BX18" s="589"/>
      <c r="BY18" s="589"/>
      <c r="BZ18" s="589"/>
      <c r="CA18" s="589"/>
      <c r="CB18" s="589"/>
      <c r="CC18" s="589"/>
      <c r="CD18" s="589"/>
      <c r="CE18" s="589"/>
      <c r="CF18" s="589"/>
      <c r="CG18" s="589"/>
      <c r="CH18" s="589"/>
      <c r="CI18" s="589"/>
      <c r="CJ18" s="589"/>
      <c r="CK18" s="589"/>
      <c r="CL18" s="589"/>
      <c r="CM18" s="589"/>
    </row>
    <row r="19" spans="1:91" s="585" customFormat="1" ht="18" customHeight="1">
      <c r="B19" s="586"/>
      <c r="C19" s="587"/>
      <c r="E19" s="1618" t="s">
        <v>358</v>
      </c>
      <c r="F19" s="1483" t="s">
        <v>205</v>
      </c>
      <c r="G19" s="1619" t="s">
        <v>204</v>
      </c>
      <c r="H19" s="1483" t="s">
        <v>205</v>
      </c>
      <c r="I19" s="1619" t="s">
        <v>358</v>
      </c>
      <c r="J19" s="1483" t="s">
        <v>205</v>
      </c>
      <c r="K19" s="1619" t="s">
        <v>206</v>
      </c>
      <c r="L19" s="1483" t="s">
        <v>205</v>
      </c>
      <c r="M19" s="1305"/>
      <c r="N19" s="1305"/>
      <c r="O19" s="1305"/>
      <c r="P19" s="1619" t="s">
        <v>206</v>
      </c>
      <c r="Q19" s="1483" t="s">
        <v>205</v>
      </c>
      <c r="R19" s="1319"/>
      <c r="S19" s="1319"/>
      <c r="T19" s="1321"/>
      <c r="U19" s="1329"/>
      <c r="V19" s="1493" t="s">
        <v>207</v>
      </c>
      <c r="W19" s="1494" t="s">
        <v>192</v>
      </c>
      <c r="X19" s="1494" t="s">
        <v>208</v>
      </c>
      <c r="Y19" s="1486" t="s">
        <v>192</v>
      </c>
      <c r="Z19" s="1494" t="s">
        <v>376</v>
      </c>
      <c r="AA19" s="1255"/>
      <c r="AB19" s="1610"/>
      <c r="AC19" s="1250"/>
      <c r="AD19" s="1326"/>
      <c r="AE19" s="737" t="s">
        <v>377</v>
      </c>
      <c r="AF19" s="737" t="s">
        <v>377</v>
      </c>
      <c r="AG19" s="1308"/>
      <c r="AH19" s="1291"/>
      <c r="AI19" s="1297"/>
      <c r="AJ19" s="1299"/>
      <c r="AK19" s="1299"/>
      <c r="AL19" s="1301"/>
      <c r="AM19" s="1303"/>
      <c r="AN19" s="1313"/>
      <c r="AO19" s="1616"/>
      <c r="AP19" s="1299"/>
      <c r="AQ19" s="590"/>
      <c r="AR19" s="1311"/>
      <c r="AS19" s="1311"/>
      <c r="AT19" s="1311"/>
      <c r="AU19" s="1224"/>
      <c r="BP19" s="589"/>
      <c r="BQ19" s="589"/>
      <c r="BR19" s="589"/>
      <c r="BS19" s="589"/>
      <c r="BT19" s="589"/>
      <c r="BU19" s="589"/>
      <c r="BV19" s="589"/>
      <c r="BW19" s="589"/>
      <c r="BX19" s="589"/>
      <c r="BY19" s="589"/>
      <c r="BZ19" s="589"/>
      <c r="CA19" s="589"/>
      <c r="CB19" s="589"/>
      <c r="CC19" s="589"/>
      <c r="CD19" s="589"/>
      <c r="CE19" s="589"/>
      <c r="CF19" s="589"/>
      <c r="CG19" s="589"/>
      <c r="CH19" s="589"/>
      <c r="CI19" s="589"/>
      <c r="CJ19" s="589"/>
      <c r="CK19" s="589"/>
      <c r="CL19" s="589"/>
      <c r="CM19" s="589"/>
    </row>
    <row r="20" spans="1:91" s="585" customFormat="1" ht="30.75" customHeight="1" thickBot="1">
      <c r="B20" s="591"/>
      <c r="C20" s="592"/>
      <c r="D20" s="593"/>
      <c r="E20" s="1620"/>
      <c r="F20" s="1621"/>
      <c r="G20" s="1622"/>
      <c r="H20" s="1621"/>
      <c r="I20" s="1622"/>
      <c r="J20" s="1621"/>
      <c r="K20" s="1622"/>
      <c r="L20" s="1621"/>
      <c r="M20" s="1306"/>
      <c r="N20" s="1306"/>
      <c r="O20" s="1306"/>
      <c r="P20" s="1622"/>
      <c r="Q20" s="1621"/>
      <c r="R20" s="1320"/>
      <c r="S20" s="1320"/>
      <c r="T20" s="1322"/>
      <c r="U20" s="1330"/>
      <c r="V20" s="1285"/>
      <c r="W20" s="1228"/>
      <c r="X20" s="1228"/>
      <c r="Y20" s="1229"/>
      <c r="Z20" s="1229"/>
      <c r="AA20" s="1324"/>
      <c r="AB20" s="1318"/>
      <c r="AC20" s="1251"/>
      <c r="AD20" s="1327"/>
      <c r="AE20" s="738"/>
      <c r="AF20" s="738"/>
      <c r="AG20" s="1309"/>
      <c r="AH20" s="1292"/>
      <c r="AI20" s="1298"/>
      <c r="AJ20" s="1300"/>
      <c r="AK20" s="1300"/>
      <c r="AL20" s="1302"/>
      <c r="AM20" s="1304"/>
      <c r="AN20" s="1314"/>
      <c r="AO20" s="1315"/>
      <c r="AP20" s="1300"/>
      <c r="AQ20" s="594"/>
      <c r="AR20" s="1312"/>
      <c r="AS20" s="1312"/>
      <c r="AT20" s="1312"/>
      <c r="AU20" s="1225"/>
      <c r="BP20" s="589"/>
      <c r="BQ20" s="589"/>
      <c r="BR20" s="589"/>
      <c r="BS20" s="589"/>
      <c r="BT20" s="589"/>
      <c r="BU20" s="589"/>
      <c r="BV20" s="589"/>
      <c r="BW20" s="589"/>
      <c r="BX20" s="589"/>
      <c r="BY20" s="589"/>
      <c r="BZ20" s="589"/>
      <c r="CA20" s="589"/>
      <c r="CB20" s="589"/>
      <c r="CC20" s="589"/>
      <c r="CD20" s="589"/>
      <c r="CE20" s="589"/>
      <c r="CF20" s="589"/>
      <c r="CG20" s="589"/>
      <c r="CH20" s="589"/>
      <c r="CI20" s="589"/>
      <c r="CJ20" s="589"/>
      <c r="CK20" s="589"/>
      <c r="CL20" s="589"/>
      <c r="CM20" s="589"/>
    </row>
    <row r="21" spans="1:91" s="595" customFormat="1" ht="15.75" customHeight="1" thickTop="1" thickBot="1">
      <c r="B21" s="1623"/>
      <c r="C21" s="1510"/>
      <c r="D21" s="1510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7"/>
      <c r="W21" s="596"/>
      <c r="X21" s="596"/>
      <c r="Y21" s="596"/>
      <c r="Z21" s="596"/>
      <c r="AA21" s="596"/>
      <c r="AB21" s="596"/>
      <c r="AC21" s="598"/>
      <c r="AD21" s="596"/>
      <c r="AE21" s="596"/>
      <c r="AF21" s="596"/>
      <c r="AG21" s="596"/>
      <c r="AH21" s="596"/>
      <c r="AI21" s="596"/>
      <c r="AJ21" s="596"/>
      <c r="AK21" s="596"/>
      <c r="AL21" s="596"/>
      <c r="AM21" s="596"/>
      <c r="AS21" s="596"/>
      <c r="AT21" s="596"/>
      <c r="AU21" s="596"/>
    </row>
    <row r="22" spans="1:91" s="595" customFormat="1" ht="15.75" customHeight="1" thickTop="1">
      <c r="A22" s="599">
        <v>-3</v>
      </c>
      <c r="B22" s="600" t="str">
        <f>IF(E22+G22+I22&lt;0,0,"  ")</f>
        <v xml:space="preserve">  </v>
      </c>
      <c r="C22" s="601">
        <f>IF($C23=1,12,$C23-1)</f>
        <v>10</v>
      </c>
      <c r="D22" s="602">
        <f>IF($C25=1,$D$25-1,"             ")</f>
        <v>2017</v>
      </c>
      <c r="E22" s="603"/>
      <c r="F22" s="604"/>
      <c r="G22" s="605"/>
      <c r="H22" s="604"/>
      <c r="I22" s="605"/>
      <c r="J22" s="604"/>
      <c r="K22" s="605"/>
      <c r="L22" s="604"/>
      <c r="M22" s="605"/>
      <c r="N22" s="605"/>
      <c r="O22" s="605"/>
      <c r="P22" s="605"/>
      <c r="Q22" s="604"/>
      <c r="R22" s="605"/>
      <c r="S22" s="605"/>
      <c r="T22" s="605"/>
      <c r="U22" s="606"/>
      <c r="V22" s="607"/>
      <c r="W22" s="608"/>
      <c r="X22" s="609"/>
      <c r="Y22" s="608"/>
      <c r="Z22" s="610">
        <f>'①Tidak termasuk VAT TAX'!AJ22*10%</f>
        <v>0</v>
      </c>
      <c r="AA22" s="609"/>
      <c r="AB22" s="611"/>
      <c r="AC22" s="612">
        <f t="shared" ref="AC22:AC85" si="0">U22+AB22</f>
        <v>0</v>
      </c>
      <c r="AD22" s="613">
        <f>E22+G22+I22+K22+M22+N22+O22+P22+R22+S22+T22+V22+X22+AA22</f>
        <v>0</v>
      </c>
      <c r="AE22" s="613"/>
      <c r="AF22" s="613"/>
      <c r="AG22" s="613"/>
      <c r="AH22" s="614"/>
      <c r="AI22" s="615"/>
      <c r="AJ22" s="616"/>
      <c r="AK22" s="616"/>
      <c r="AL22" s="608"/>
      <c r="AM22" s="617"/>
      <c r="AN22" s="618"/>
      <c r="AO22" s="619"/>
      <c r="AP22" s="619"/>
      <c r="AQ22" s="619"/>
      <c r="AR22" s="619"/>
      <c r="AS22" s="605"/>
      <c r="AT22" s="620"/>
      <c r="AU22" s="621">
        <v>-3</v>
      </c>
    </row>
    <row r="23" spans="1:91" s="595" customFormat="1" ht="15.75" customHeight="1">
      <c r="A23" s="599">
        <v>-2</v>
      </c>
      <c r="B23" s="622" t="str">
        <f>IF(B22=0,1,IF(E23+G23+I23&lt;0,0,"  "))</f>
        <v xml:space="preserve">  </v>
      </c>
      <c r="C23" s="623">
        <f>IF($C24=1,12,$C24-1)</f>
        <v>11</v>
      </c>
      <c r="D23" s="624"/>
      <c r="E23" s="625"/>
      <c r="F23" s="626"/>
      <c r="G23" s="627"/>
      <c r="H23" s="626"/>
      <c r="I23" s="627"/>
      <c r="J23" s="626"/>
      <c r="K23" s="627"/>
      <c r="L23" s="626"/>
      <c r="M23" s="627"/>
      <c r="N23" s="627"/>
      <c r="O23" s="627"/>
      <c r="P23" s="627"/>
      <c r="Q23" s="626"/>
      <c r="R23" s="627"/>
      <c r="S23" s="627"/>
      <c r="T23" s="627"/>
      <c r="U23" s="628"/>
      <c r="V23" s="629"/>
      <c r="W23" s="622"/>
      <c r="X23" s="630"/>
      <c r="Y23" s="622"/>
      <c r="Z23" s="631">
        <f>'①Tidak termasuk VAT TAX'!AJ23*10%</f>
        <v>0</v>
      </c>
      <c r="AA23" s="630"/>
      <c r="AB23" s="632"/>
      <c r="AC23" s="633">
        <f t="shared" si="0"/>
        <v>0</v>
      </c>
      <c r="AD23" s="634">
        <f>E23+G23+I23+K23+M23+N23+O23+P23+R23+S23+T23+V23+X23+AA23</f>
        <v>0</v>
      </c>
      <c r="AE23" s="634"/>
      <c r="AF23" s="634"/>
      <c r="AG23" s="634">
        <f>IF(AC23&lt;0,PV($G$14/12,$B23,0,$AC23*-1,0),0)</f>
        <v>0</v>
      </c>
      <c r="AH23" s="635"/>
      <c r="AI23" s="636"/>
      <c r="AJ23" s="637"/>
      <c r="AK23" s="637"/>
      <c r="AL23" s="622"/>
      <c r="AM23" s="638"/>
      <c r="AN23" s="639"/>
      <c r="AO23" s="640"/>
      <c r="AP23" s="640"/>
      <c r="AQ23" s="640"/>
      <c r="AR23" s="640"/>
      <c r="AS23" s="627"/>
      <c r="AT23" s="641"/>
      <c r="AU23" s="642">
        <v>-2</v>
      </c>
    </row>
    <row r="24" spans="1:91" s="595" customFormat="1" ht="15.75" customHeight="1">
      <c r="A24" s="599">
        <v>-1</v>
      </c>
      <c r="B24" s="622" t="str">
        <f>IF(B22=0,2,IF(B23=0,1,IF(E24+G24+I24&lt;0,0,"  ")))</f>
        <v xml:space="preserve">  </v>
      </c>
      <c r="C24" s="623">
        <f>IF($C25=1,12,$C25-1)</f>
        <v>12</v>
      </c>
      <c r="D24" s="624"/>
      <c r="E24" s="625"/>
      <c r="F24" s="626"/>
      <c r="G24" s="627"/>
      <c r="H24" s="626"/>
      <c r="I24" s="627"/>
      <c r="J24" s="626"/>
      <c r="K24" s="627"/>
      <c r="L24" s="626"/>
      <c r="M24" s="627"/>
      <c r="N24" s="627"/>
      <c r="O24" s="627"/>
      <c r="P24" s="627"/>
      <c r="Q24" s="626"/>
      <c r="R24" s="627"/>
      <c r="S24" s="627"/>
      <c r="T24" s="627"/>
      <c r="U24" s="628"/>
      <c r="V24" s="629"/>
      <c r="W24" s="622"/>
      <c r="X24" s="630"/>
      <c r="Y24" s="622"/>
      <c r="Z24" s="631">
        <f>'①Tidak termasuk VAT TAX'!AJ24*10%</f>
        <v>0</v>
      </c>
      <c r="AA24" s="630"/>
      <c r="AB24" s="632"/>
      <c r="AC24" s="633">
        <f>U24+AB24</f>
        <v>0</v>
      </c>
      <c r="AD24" s="634">
        <f>E24+G24+I24+K24+M24+N24+O24+P24+R24+S24+T24+V24+X24+AA24</f>
        <v>0</v>
      </c>
      <c r="AE24" s="634"/>
      <c r="AF24" s="634"/>
      <c r="AG24" s="634">
        <f>IF(AC24&lt;0,PV($G$14/12,$B24,0,$AC24*-1,0),0)</f>
        <v>0</v>
      </c>
      <c r="AH24" s="635"/>
      <c r="AI24" s="636"/>
      <c r="AJ24" s="637"/>
      <c r="AK24" s="637"/>
      <c r="AL24" s="622"/>
      <c r="AM24" s="638"/>
      <c r="AN24" s="639"/>
      <c r="AO24" s="643"/>
      <c r="AP24" s="644"/>
      <c r="AQ24" s="643"/>
      <c r="AR24" s="640"/>
      <c r="AS24" s="627"/>
      <c r="AT24" s="641"/>
      <c r="AU24" s="642">
        <v>-1</v>
      </c>
    </row>
    <row r="25" spans="1:91" ht="15.75" customHeight="1">
      <c r="B25" s="622">
        <v>0</v>
      </c>
      <c r="C25" s="601">
        <f>$F$7</f>
        <v>1</v>
      </c>
      <c r="D25" s="645">
        <f>$G$7</f>
        <v>2018</v>
      </c>
      <c r="E25" s="646"/>
      <c r="F25" s="647"/>
      <c r="G25" s="648"/>
      <c r="H25" s="647"/>
      <c r="I25" s="648"/>
      <c r="J25" s="647"/>
      <c r="K25" s="648"/>
      <c r="L25" s="647"/>
      <c r="M25" s="648"/>
      <c r="N25" s="648"/>
      <c r="O25" s="648"/>
      <c r="P25" s="648"/>
      <c r="Q25" s="647"/>
      <c r="R25" s="648"/>
      <c r="S25" s="648"/>
      <c r="T25" s="648"/>
      <c r="U25" s="649"/>
      <c r="V25" s="646"/>
      <c r="W25" s="647"/>
      <c r="X25" s="648"/>
      <c r="Y25" s="647"/>
      <c r="Z25" s="631"/>
      <c r="AA25" s="648"/>
      <c r="AB25" s="649"/>
      <c r="AC25" s="633">
        <f>U25+AB25</f>
        <v>0</v>
      </c>
      <c r="AD25" s="634">
        <f>AC24+AC25</f>
        <v>0</v>
      </c>
      <c r="AE25" s="634"/>
      <c r="AF25" s="634"/>
      <c r="AG25" s="634">
        <f>PV($G$14/12,$B25,0,$AC25*-1,1)</f>
        <v>0</v>
      </c>
      <c r="AH25" s="635">
        <f>AG25</f>
        <v>0</v>
      </c>
      <c r="AI25" s="650">
        <v>0</v>
      </c>
      <c r="AJ25" s="651"/>
      <c r="AK25" s="651"/>
      <c r="AL25" s="652">
        <v>0</v>
      </c>
      <c r="AM25" s="653"/>
      <c r="AN25" s="654"/>
      <c r="AO25" s="643"/>
      <c r="AP25" s="643"/>
      <c r="AQ25" s="643"/>
      <c r="AR25" s="643"/>
      <c r="AS25" s="627"/>
      <c r="AT25" s="641"/>
      <c r="AU25" s="655">
        <v>0</v>
      </c>
      <c r="AV25" s="575"/>
      <c r="AW25" s="575"/>
      <c r="AX25" s="575"/>
      <c r="AY25" s="575"/>
      <c r="AZ25" s="575"/>
      <c r="BA25" s="575"/>
      <c r="BB25" s="575"/>
      <c r="BC25" s="575"/>
      <c r="BJ25" s="575"/>
      <c r="BK25" s="575"/>
    </row>
    <row r="26" spans="1:91" ht="15.75" customHeight="1">
      <c r="B26" s="622">
        <f>B25+1</f>
        <v>1</v>
      </c>
      <c r="C26" s="623">
        <f t="shared" ref="C26:C89" si="1">IF($C25=12,1,$C25+1)</f>
        <v>2</v>
      </c>
      <c r="D26" s="624" t="str">
        <f t="shared" ref="D26:D37" si="2">IF($C25=12,$D$25+1,"             ")</f>
        <v xml:space="preserve">             </v>
      </c>
      <c r="E26" s="646"/>
      <c r="F26" s="647"/>
      <c r="G26" s="648"/>
      <c r="H26" s="647"/>
      <c r="I26" s="648"/>
      <c r="J26" s="647"/>
      <c r="K26" s="648"/>
      <c r="L26" s="647"/>
      <c r="M26" s="648"/>
      <c r="N26" s="648"/>
      <c r="O26" s="648"/>
      <c r="P26" s="648"/>
      <c r="Q26" s="647"/>
      <c r="R26" s="648"/>
      <c r="S26" s="648"/>
      <c r="T26" s="648"/>
      <c r="U26" s="649"/>
      <c r="V26" s="646"/>
      <c r="W26" s="647"/>
      <c r="X26" s="648"/>
      <c r="Y26" s="647"/>
      <c r="Z26" s="631"/>
      <c r="AA26" s="656"/>
      <c r="AB26" s="649">
        <f>IF(B26&lt;=$J$7,-$U$16*0.02,)</f>
        <v>228723.91583567514</v>
      </c>
      <c r="AC26" s="633">
        <f>U26+AB26</f>
        <v>228723.91583567514</v>
      </c>
      <c r="AD26" s="634">
        <f>AC25+AC26</f>
        <v>228723.91583567514</v>
      </c>
      <c r="AE26" s="634">
        <f>IF(AD26&gt;=0,AC26,-AD25)</f>
        <v>228723.91583567514</v>
      </c>
      <c r="AF26" s="634">
        <f>AE26</f>
        <v>228723.91583567514</v>
      </c>
      <c r="AG26" s="634">
        <f>PV($G$14/12,$B26,0,$AE26*-1,0)</f>
        <v>226964.93756951144</v>
      </c>
      <c r="AH26" s="635">
        <f>AG26</f>
        <v>226964.93756951144</v>
      </c>
      <c r="AI26" s="633">
        <f>-PMT($G$14/12,$J$7,$AH$91,,0)</f>
        <v>1763.4872583877566</v>
      </c>
      <c r="AJ26" s="657"/>
      <c r="AK26" s="658"/>
      <c r="AL26" s="647">
        <f>-AI26</f>
        <v>-1763.4872583877566</v>
      </c>
      <c r="AM26" s="653"/>
      <c r="AN26" s="654"/>
      <c r="AO26" s="643"/>
      <c r="AP26" s="643"/>
      <c r="AQ26" s="643"/>
      <c r="AR26" s="659"/>
      <c r="AS26" s="627"/>
      <c r="AT26" s="641"/>
      <c r="AU26" s="642">
        <v>1</v>
      </c>
      <c r="AV26" s="575"/>
      <c r="AW26" s="575"/>
      <c r="AX26" s="575"/>
      <c r="AY26" s="575"/>
      <c r="AZ26" s="575"/>
      <c r="BA26" s="575"/>
      <c r="BB26" s="575"/>
      <c r="BC26" s="575"/>
      <c r="BJ26" s="575"/>
      <c r="BK26" s="575"/>
    </row>
    <row r="27" spans="1:91" ht="15.75" customHeight="1">
      <c r="B27" s="622">
        <f t="shared" ref="B27:B90" si="3">B26+1</f>
        <v>2</v>
      </c>
      <c r="C27" s="623">
        <f t="shared" si="1"/>
        <v>3</v>
      </c>
      <c r="D27" s="624" t="str">
        <f t="shared" si="2"/>
        <v xml:space="preserve">             </v>
      </c>
      <c r="E27" s="646"/>
      <c r="F27" s="647"/>
      <c r="G27" s="648"/>
      <c r="H27" s="647"/>
      <c r="I27" s="648"/>
      <c r="J27" s="647"/>
      <c r="K27" s="648"/>
      <c r="L27" s="647"/>
      <c r="M27" s="648"/>
      <c r="N27" s="648"/>
      <c r="O27" s="648"/>
      <c r="P27" s="648"/>
      <c r="Q27" s="647"/>
      <c r="R27" s="648"/>
      <c r="S27" s="648"/>
      <c r="T27" s="648"/>
      <c r="U27" s="649"/>
      <c r="V27" s="646"/>
      <c r="W27" s="647"/>
      <c r="X27" s="648"/>
      <c r="Y27" s="647"/>
      <c r="Z27" s="631"/>
      <c r="AA27" s="648"/>
      <c r="AB27" s="649">
        <f t="shared" ref="AB27:AB90" si="4">IF(B27&lt;=$J$7,-$U$16*0.02,)</f>
        <v>228723.91583567514</v>
      </c>
      <c r="AC27" s="633">
        <f>U27+AB27</f>
        <v>228723.91583567514</v>
      </c>
      <c r="AD27" s="634">
        <f>AD26+AC27</f>
        <v>457447.83167135029</v>
      </c>
      <c r="AE27" s="634">
        <f t="shared" ref="AE27:AE90" si="5">IF(AD27&gt;=0,AC27,-AD26)</f>
        <v>228723.91583567514</v>
      </c>
      <c r="AF27" s="634">
        <f t="shared" ref="AF27:AF90" si="6">AE27</f>
        <v>228723.91583567514</v>
      </c>
      <c r="AG27" s="634">
        <f t="shared" ref="AG27:AG29" si="7">PV($G$14/12,$B27,0,$AE27*-1,0)</f>
        <v>225219.48654875858</v>
      </c>
      <c r="AH27" s="635">
        <f>AG27</f>
        <v>225219.48654875858</v>
      </c>
      <c r="AI27" s="633">
        <f>IF(AU27&lt;=$J$7,AI26,0)</f>
        <v>1763.4872583877566</v>
      </c>
      <c r="AJ27" s="657"/>
      <c r="AK27" s="658"/>
      <c r="AL27" s="647">
        <f>-AI27</f>
        <v>-1763.4872583877566</v>
      </c>
      <c r="AM27" s="653"/>
      <c r="AN27" s="654"/>
      <c r="AO27" s="643"/>
      <c r="AP27" s="643"/>
      <c r="AQ27" s="643"/>
      <c r="AR27" s="643"/>
      <c r="AS27" s="627"/>
      <c r="AT27" s="641"/>
      <c r="AU27" s="642">
        <v>2</v>
      </c>
      <c r="AV27" s="575"/>
      <c r="AW27" s="575"/>
      <c r="AX27" s="575"/>
      <c r="AY27" s="575"/>
      <c r="AZ27" s="575"/>
      <c r="BA27" s="575"/>
      <c r="BB27" s="575"/>
      <c r="BC27" s="575"/>
      <c r="BJ27" s="575"/>
      <c r="BK27" s="575"/>
    </row>
    <row r="28" spans="1:91" ht="15.75" customHeight="1">
      <c r="B28" s="622">
        <f t="shared" si="3"/>
        <v>3</v>
      </c>
      <c r="C28" s="623">
        <f t="shared" si="1"/>
        <v>4</v>
      </c>
      <c r="D28" s="624" t="str">
        <f t="shared" si="2"/>
        <v xml:space="preserve">             </v>
      </c>
      <c r="E28" s="646"/>
      <c r="F28" s="647"/>
      <c r="G28" s="648"/>
      <c r="H28" s="647"/>
      <c r="I28" s="648"/>
      <c r="J28" s="647"/>
      <c r="K28" s="648"/>
      <c r="L28" s="647"/>
      <c r="M28" s="648"/>
      <c r="N28" s="648"/>
      <c r="O28" s="648"/>
      <c r="P28" s="648"/>
      <c r="Q28" s="647"/>
      <c r="R28" s="648"/>
      <c r="S28" s="648"/>
      <c r="T28" s="648"/>
      <c r="U28" s="649">
        <f>IF(B28&lt;=$J$7,$U$16*0.02*3,)</f>
        <v>-686171.74750702549</v>
      </c>
      <c r="V28" s="646"/>
      <c r="W28" s="647"/>
      <c r="X28" s="648"/>
      <c r="Y28" s="647"/>
      <c r="Z28" s="631"/>
      <c r="AA28" s="648"/>
      <c r="AB28" s="649">
        <f t="shared" si="4"/>
        <v>228723.91583567514</v>
      </c>
      <c r="AC28" s="633">
        <f>U28+AB28</f>
        <v>-457447.83167135034</v>
      </c>
      <c r="AD28" s="634">
        <f>AD27+AC28</f>
        <v>0</v>
      </c>
      <c r="AE28" s="634">
        <f t="shared" si="5"/>
        <v>-457447.83167135034</v>
      </c>
      <c r="AF28" s="634">
        <f>AE28</f>
        <v>-457447.83167135034</v>
      </c>
      <c r="AG28" s="634">
        <f t="shared" si="7"/>
        <v>-446974.91748699301</v>
      </c>
      <c r="AH28" s="635">
        <f t="shared" ref="AH28:AH90" si="8">AG28</f>
        <v>-446974.91748699301</v>
      </c>
      <c r="AI28" s="633">
        <f>IF(AU28&lt;=$J$7,AI27,0)</f>
        <v>1763.4872583877566</v>
      </c>
      <c r="AJ28" s="657"/>
      <c r="AK28" s="658"/>
      <c r="AL28" s="647">
        <f t="shared" ref="AL28:AL90" si="9">-AI28</f>
        <v>-1763.4872583877566</v>
      </c>
      <c r="AM28" s="653"/>
      <c r="AN28" s="654"/>
      <c r="AO28" s="643"/>
      <c r="AP28" s="643"/>
      <c r="AQ28" s="643"/>
      <c r="AR28" s="643"/>
      <c r="AS28" s="627"/>
      <c r="AT28" s="641"/>
      <c r="AU28" s="642">
        <f>AU27+1</f>
        <v>3</v>
      </c>
      <c r="AV28" s="575"/>
      <c r="AW28" s="575"/>
      <c r="AX28" s="575"/>
      <c r="AY28" s="575"/>
      <c r="AZ28" s="575"/>
      <c r="BA28" s="575"/>
      <c r="BB28" s="575"/>
      <c r="BC28" s="575"/>
      <c r="BJ28" s="575"/>
      <c r="BK28" s="575"/>
    </row>
    <row r="29" spans="1:91" ht="15.75" customHeight="1">
      <c r="B29" s="622">
        <f t="shared" si="3"/>
        <v>4</v>
      </c>
      <c r="C29" s="623">
        <f t="shared" si="1"/>
        <v>5</v>
      </c>
      <c r="D29" s="624" t="str">
        <f t="shared" si="2"/>
        <v xml:space="preserve">             </v>
      </c>
      <c r="E29" s="646"/>
      <c r="F29" s="647"/>
      <c r="G29" s="648"/>
      <c r="H29" s="647"/>
      <c r="I29" s="648"/>
      <c r="J29" s="647"/>
      <c r="K29" s="648"/>
      <c r="L29" s="647"/>
      <c r="M29" s="648"/>
      <c r="N29" s="648"/>
      <c r="O29" s="648"/>
      <c r="P29" s="648"/>
      <c r="Q29" s="647"/>
      <c r="R29" s="648"/>
      <c r="S29" s="648"/>
      <c r="T29" s="648"/>
      <c r="U29" s="649"/>
      <c r="V29" s="646"/>
      <c r="W29" s="647"/>
      <c r="X29" s="648"/>
      <c r="Y29" s="647"/>
      <c r="Z29" s="631"/>
      <c r="AA29" s="648"/>
      <c r="AB29" s="649">
        <f t="shared" si="4"/>
        <v>228723.91583567514</v>
      </c>
      <c r="AC29" s="633">
        <f t="shared" si="0"/>
        <v>228723.91583567514</v>
      </c>
      <c r="AD29" s="634">
        <f>AD28+AC29</f>
        <v>228723.91583567514</v>
      </c>
      <c r="AE29" s="634">
        <f t="shared" si="5"/>
        <v>228723.91583567514</v>
      </c>
      <c r="AF29" s="634">
        <f t="shared" si="6"/>
        <v>228723.91583567514</v>
      </c>
      <c r="AG29" s="634">
        <f t="shared" si="7"/>
        <v>221768.75092383678</v>
      </c>
      <c r="AH29" s="635">
        <f t="shared" si="8"/>
        <v>221768.75092383678</v>
      </c>
      <c r="AI29" s="633">
        <f>IF(AU29&lt;=$J$7,AI28,0)</f>
        <v>1763.4872583877566</v>
      </c>
      <c r="AJ29" s="657"/>
      <c r="AK29" s="658"/>
      <c r="AL29" s="647">
        <f t="shared" si="9"/>
        <v>-1763.4872583877566</v>
      </c>
      <c r="AM29" s="653"/>
      <c r="AN29" s="654"/>
      <c r="AO29" s="643"/>
      <c r="AP29" s="643"/>
      <c r="AQ29" s="643"/>
      <c r="AR29" s="643"/>
      <c r="AS29" s="627"/>
      <c r="AT29" s="641"/>
      <c r="AU29" s="642">
        <f t="shared" ref="AU29:AU90" si="10">AU28+1</f>
        <v>4</v>
      </c>
      <c r="AV29" s="575"/>
      <c r="AW29" s="575"/>
      <c r="AX29" s="575"/>
      <c r="AY29" s="575"/>
      <c r="AZ29" s="575"/>
      <c r="BA29" s="575"/>
      <c r="BB29" s="575"/>
      <c r="BC29" s="575"/>
      <c r="BJ29" s="575"/>
      <c r="BK29" s="575"/>
    </row>
    <row r="30" spans="1:91" ht="15.75" customHeight="1">
      <c r="B30" s="622">
        <f t="shared" si="3"/>
        <v>5</v>
      </c>
      <c r="C30" s="623">
        <f t="shared" si="1"/>
        <v>6</v>
      </c>
      <c r="D30" s="624" t="str">
        <f t="shared" si="2"/>
        <v xml:space="preserve">             </v>
      </c>
      <c r="E30" s="646"/>
      <c r="F30" s="647"/>
      <c r="G30" s="648"/>
      <c r="H30" s="647"/>
      <c r="I30" s="648"/>
      <c r="J30" s="647"/>
      <c r="K30" s="648"/>
      <c r="L30" s="647"/>
      <c r="M30" s="648"/>
      <c r="N30" s="648"/>
      <c r="O30" s="648"/>
      <c r="P30" s="648"/>
      <c r="Q30" s="647"/>
      <c r="R30" s="648"/>
      <c r="S30" s="648"/>
      <c r="T30" s="648"/>
      <c r="U30" s="649"/>
      <c r="V30" s="646"/>
      <c r="W30" s="647"/>
      <c r="X30" s="648"/>
      <c r="Y30" s="647"/>
      <c r="Z30" s="631"/>
      <c r="AA30" s="648"/>
      <c r="AB30" s="649">
        <f t="shared" si="4"/>
        <v>228723.91583567514</v>
      </c>
      <c r="AC30" s="633">
        <f t="shared" si="0"/>
        <v>228723.91583567514</v>
      </c>
      <c r="AD30" s="634">
        <f>AD29+AC30</f>
        <v>457447.83167135029</v>
      </c>
      <c r="AE30" s="634">
        <f t="shared" si="5"/>
        <v>228723.91583567514</v>
      </c>
      <c r="AF30" s="634">
        <f t="shared" si="6"/>
        <v>228723.91583567514</v>
      </c>
      <c r="AG30" s="634">
        <f t="shared" ref="AG30:AG90" si="11">PV($G$14/12,$B30,0,$AE30*-1,0)</f>
        <v>220063.26065377009</v>
      </c>
      <c r="AH30" s="635">
        <f t="shared" si="8"/>
        <v>220063.26065377009</v>
      </c>
      <c r="AI30" s="633">
        <f t="shared" ref="AI30:AI90" si="12">IF(AU30&lt;=$J$7,AI29,0)</f>
        <v>1763.4872583877566</v>
      </c>
      <c r="AJ30" s="657"/>
      <c r="AK30" s="658"/>
      <c r="AL30" s="647">
        <f t="shared" si="9"/>
        <v>-1763.4872583877566</v>
      </c>
      <c r="AM30" s="653"/>
      <c r="AN30" s="654"/>
      <c r="AO30" s="643"/>
      <c r="AP30" s="643"/>
      <c r="AQ30" s="643"/>
      <c r="AR30" s="643"/>
      <c r="AS30" s="627"/>
      <c r="AT30" s="641"/>
      <c r="AU30" s="642">
        <f t="shared" si="10"/>
        <v>5</v>
      </c>
      <c r="AV30" s="575"/>
      <c r="AW30" s="575"/>
      <c r="AX30" s="575"/>
      <c r="AY30" s="575"/>
      <c r="AZ30" s="575"/>
      <c r="BA30" s="575"/>
      <c r="BB30" s="575"/>
      <c r="BC30" s="575"/>
      <c r="BJ30" s="575"/>
      <c r="BK30" s="575"/>
    </row>
    <row r="31" spans="1:91" ht="15.75" customHeight="1">
      <c r="B31" s="622">
        <f t="shared" si="3"/>
        <v>6</v>
      </c>
      <c r="C31" s="623">
        <f t="shared" si="1"/>
        <v>7</v>
      </c>
      <c r="D31" s="624" t="str">
        <f t="shared" si="2"/>
        <v xml:space="preserve">             </v>
      </c>
      <c r="E31" s="646"/>
      <c r="F31" s="647"/>
      <c r="G31" s="648"/>
      <c r="H31" s="647"/>
      <c r="I31" s="648"/>
      <c r="J31" s="647"/>
      <c r="K31" s="648"/>
      <c r="L31" s="647"/>
      <c r="M31" s="648"/>
      <c r="N31" s="648"/>
      <c r="O31" s="648"/>
      <c r="P31" s="648"/>
      <c r="Q31" s="647"/>
      <c r="R31" s="648"/>
      <c r="S31" s="648"/>
      <c r="T31" s="648"/>
      <c r="U31" s="649">
        <f>IF(B31&lt;=$J$7,$U$16*0.02*3,)</f>
        <v>-686171.74750702549</v>
      </c>
      <c r="V31" s="646"/>
      <c r="W31" s="647"/>
      <c r="X31" s="648"/>
      <c r="Y31" s="647"/>
      <c r="Z31" s="631"/>
      <c r="AA31" s="648"/>
      <c r="AB31" s="649">
        <f t="shared" si="4"/>
        <v>228723.91583567514</v>
      </c>
      <c r="AC31" s="633">
        <f t="shared" si="0"/>
        <v>-457447.83167135034</v>
      </c>
      <c r="AD31" s="634">
        <f t="shared" ref="AD31:AD84" si="13">AD30+AC31</f>
        <v>0</v>
      </c>
      <c r="AE31" s="634">
        <f t="shared" si="5"/>
        <v>-457447.83167135034</v>
      </c>
      <c r="AF31" s="634">
        <f t="shared" si="6"/>
        <v>-457447.83167135034</v>
      </c>
      <c r="AG31" s="634">
        <f t="shared" si="11"/>
        <v>-436741.77257012174</v>
      </c>
      <c r="AH31" s="635">
        <f t="shared" si="8"/>
        <v>-436741.77257012174</v>
      </c>
      <c r="AI31" s="633">
        <f t="shared" si="12"/>
        <v>1763.4872583877566</v>
      </c>
      <c r="AJ31" s="657"/>
      <c r="AK31" s="658"/>
      <c r="AL31" s="647">
        <f t="shared" si="9"/>
        <v>-1763.4872583877566</v>
      </c>
      <c r="AM31" s="653"/>
      <c r="AN31" s="654"/>
      <c r="AO31" s="643"/>
      <c r="AP31" s="643"/>
      <c r="AQ31" s="643"/>
      <c r="AR31" s="643"/>
      <c r="AS31" s="627"/>
      <c r="AT31" s="641"/>
      <c r="AU31" s="642">
        <f t="shared" si="10"/>
        <v>6</v>
      </c>
      <c r="AV31" s="575"/>
      <c r="AW31" s="575"/>
      <c r="AX31" s="575"/>
      <c r="AY31" s="575"/>
      <c r="AZ31" s="575"/>
      <c r="BA31" s="575"/>
      <c r="BB31" s="575"/>
      <c r="BC31" s="575"/>
      <c r="BJ31" s="575"/>
      <c r="BK31" s="575"/>
    </row>
    <row r="32" spans="1:91" ht="15.75" customHeight="1">
      <c r="B32" s="622">
        <f t="shared" si="3"/>
        <v>7</v>
      </c>
      <c r="C32" s="623">
        <f t="shared" si="1"/>
        <v>8</v>
      </c>
      <c r="D32" s="624" t="str">
        <f t="shared" si="2"/>
        <v xml:space="preserve">             </v>
      </c>
      <c r="E32" s="646"/>
      <c r="F32" s="647"/>
      <c r="G32" s="648"/>
      <c r="H32" s="647"/>
      <c r="I32" s="648"/>
      <c r="J32" s="647"/>
      <c r="K32" s="648"/>
      <c r="L32" s="647"/>
      <c r="M32" s="648"/>
      <c r="N32" s="648"/>
      <c r="O32" s="648"/>
      <c r="P32" s="648"/>
      <c r="Q32" s="647"/>
      <c r="R32" s="648"/>
      <c r="S32" s="648"/>
      <c r="T32" s="648"/>
      <c r="U32" s="649"/>
      <c r="V32" s="646"/>
      <c r="W32" s="647"/>
      <c r="X32" s="648"/>
      <c r="Y32" s="647"/>
      <c r="Z32" s="631"/>
      <c r="AA32" s="648"/>
      <c r="AB32" s="649">
        <f t="shared" si="4"/>
        <v>228723.91583567514</v>
      </c>
      <c r="AC32" s="633">
        <f t="shared" si="0"/>
        <v>228723.91583567514</v>
      </c>
      <c r="AD32" s="634">
        <f>AD31+AC32</f>
        <v>228723.91583567514</v>
      </c>
      <c r="AE32" s="634">
        <f t="shared" si="5"/>
        <v>228723.91583567514</v>
      </c>
      <c r="AF32" s="634">
        <f t="shared" si="6"/>
        <v>228723.91583567514</v>
      </c>
      <c r="AG32" s="634">
        <f t="shared" si="11"/>
        <v>216691.52695118915</v>
      </c>
      <c r="AH32" s="635">
        <f t="shared" si="8"/>
        <v>216691.52695118915</v>
      </c>
      <c r="AI32" s="633">
        <f t="shared" si="12"/>
        <v>1763.4872583877566</v>
      </c>
      <c r="AJ32" s="657"/>
      <c r="AK32" s="658"/>
      <c r="AL32" s="647">
        <f t="shared" si="9"/>
        <v>-1763.4872583877566</v>
      </c>
      <c r="AM32" s="653"/>
      <c r="AN32" s="654"/>
      <c r="AO32" s="643"/>
      <c r="AP32" s="643"/>
      <c r="AQ32" s="643"/>
      <c r="AR32" s="643"/>
      <c r="AS32" s="627"/>
      <c r="AT32" s="641"/>
      <c r="AU32" s="642">
        <f t="shared" si="10"/>
        <v>7</v>
      </c>
      <c r="AV32" s="575"/>
      <c r="AW32" s="575"/>
      <c r="AX32" s="575"/>
      <c r="AY32" s="575"/>
      <c r="AZ32" s="575"/>
      <c r="BA32" s="575"/>
      <c r="BB32" s="575"/>
      <c r="BC32" s="575"/>
      <c r="BJ32" s="575"/>
      <c r="BK32" s="575"/>
    </row>
    <row r="33" spans="2:47" s="575" customFormat="1" ht="15.75" customHeight="1">
      <c r="B33" s="622">
        <f t="shared" si="3"/>
        <v>8</v>
      </c>
      <c r="C33" s="623">
        <f t="shared" si="1"/>
        <v>9</v>
      </c>
      <c r="D33" s="624" t="str">
        <f t="shared" si="2"/>
        <v xml:space="preserve">             </v>
      </c>
      <c r="E33" s="646"/>
      <c r="F33" s="647"/>
      <c r="G33" s="648"/>
      <c r="H33" s="647"/>
      <c r="I33" s="648"/>
      <c r="J33" s="647"/>
      <c r="K33" s="648"/>
      <c r="L33" s="647"/>
      <c r="M33" s="648"/>
      <c r="N33" s="648"/>
      <c r="O33" s="648"/>
      <c r="P33" s="648"/>
      <c r="Q33" s="647"/>
      <c r="R33" s="648"/>
      <c r="S33" s="648"/>
      <c r="T33" s="648"/>
      <c r="U33" s="649"/>
      <c r="V33" s="646"/>
      <c r="W33" s="647"/>
      <c r="X33" s="648"/>
      <c r="Y33" s="647"/>
      <c r="Z33" s="631"/>
      <c r="AA33" s="648"/>
      <c r="AB33" s="649">
        <f t="shared" si="4"/>
        <v>228723.91583567514</v>
      </c>
      <c r="AC33" s="633">
        <f t="shared" si="0"/>
        <v>228723.91583567514</v>
      </c>
      <c r="AD33" s="634">
        <f t="shared" si="13"/>
        <v>457447.83167135029</v>
      </c>
      <c r="AE33" s="634">
        <f t="shared" si="5"/>
        <v>228723.91583567514</v>
      </c>
      <c r="AF33" s="634">
        <f t="shared" si="6"/>
        <v>228723.91583567514</v>
      </c>
      <c r="AG33" s="634">
        <f t="shared" si="11"/>
        <v>215025.08256133882</v>
      </c>
      <c r="AH33" s="635">
        <f t="shared" si="8"/>
        <v>215025.08256133882</v>
      </c>
      <c r="AI33" s="633">
        <f t="shared" si="12"/>
        <v>1763.4872583877566</v>
      </c>
      <c r="AJ33" s="657"/>
      <c r="AK33" s="658"/>
      <c r="AL33" s="647">
        <f t="shared" si="9"/>
        <v>-1763.4872583877566</v>
      </c>
      <c r="AM33" s="653"/>
      <c r="AN33" s="654"/>
      <c r="AO33" s="643"/>
      <c r="AP33" s="643"/>
      <c r="AQ33" s="643"/>
      <c r="AR33" s="643"/>
      <c r="AS33" s="627"/>
      <c r="AT33" s="641"/>
      <c r="AU33" s="642">
        <f t="shared" si="10"/>
        <v>8</v>
      </c>
    </row>
    <row r="34" spans="2:47" s="575" customFormat="1" ht="15.75" customHeight="1">
      <c r="B34" s="622">
        <f t="shared" si="3"/>
        <v>9</v>
      </c>
      <c r="C34" s="623">
        <f t="shared" si="1"/>
        <v>10</v>
      </c>
      <c r="D34" s="624" t="str">
        <f t="shared" si="2"/>
        <v xml:space="preserve">             </v>
      </c>
      <c r="E34" s="646"/>
      <c r="F34" s="647"/>
      <c r="G34" s="648"/>
      <c r="H34" s="647"/>
      <c r="I34" s="648"/>
      <c r="J34" s="647"/>
      <c r="K34" s="648"/>
      <c r="L34" s="647"/>
      <c r="M34" s="648"/>
      <c r="N34" s="648"/>
      <c r="O34" s="648"/>
      <c r="P34" s="648"/>
      <c r="Q34" s="647"/>
      <c r="R34" s="648"/>
      <c r="S34" s="648"/>
      <c r="T34" s="648"/>
      <c r="U34" s="649">
        <f>IF(B34&lt;=$J$7,$U$16*0.02*3,)</f>
        <v>-686171.74750702549</v>
      </c>
      <c r="V34" s="646"/>
      <c r="W34" s="647"/>
      <c r="X34" s="648"/>
      <c r="Y34" s="647"/>
      <c r="Z34" s="631"/>
      <c r="AA34" s="648"/>
      <c r="AB34" s="649">
        <f t="shared" si="4"/>
        <v>228723.91583567514</v>
      </c>
      <c r="AC34" s="633">
        <f t="shared" si="0"/>
        <v>-457447.83167135034</v>
      </c>
      <c r="AD34" s="634">
        <f t="shared" si="13"/>
        <v>0</v>
      </c>
      <c r="AE34" s="634">
        <f t="shared" si="5"/>
        <v>-457447.83167135034</v>
      </c>
      <c r="AF34" s="634">
        <f t="shared" si="6"/>
        <v>-457447.83167135034</v>
      </c>
      <c r="AG34" s="634">
        <f t="shared" si="11"/>
        <v>-426742.90758886404</v>
      </c>
      <c r="AH34" s="635">
        <f t="shared" si="8"/>
        <v>-426742.90758886404</v>
      </c>
      <c r="AI34" s="633">
        <f t="shared" si="12"/>
        <v>1763.4872583877566</v>
      </c>
      <c r="AJ34" s="657"/>
      <c r="AK34" s="658"/>
      <c r="AL34" s="647">
        <f t="shared" si="9"/>
        <v>-1763.4872583877566</v>
      </c>
      <c r="AM34" s="653"/>
      <c r="AN34" s="654"/>
      <c r="AO34" s="643"/>
      <c r="AP34" s="643"/>
      <c r="AQ34" s="643"/>
      <c r="AR34" s="643"/>
      <c r="AS34" s="627"/>
      <c r="AT34" s="641"/>
      <c r="AU34" s="642">
        <f t="shared" si="10"/>
        <v>9</v>
      </c>
    </row>
    <row r="35" spans="2:47" s="575" customFormat="1" ht="15.75" customHeight="1">
      <c r="B35" s="622">
        <f t="shared" si="3"/>
        <v>10</v>
      </c>
      <c r="C35" s="623">
        <f t="shared" si="1"/>
        <v>11</v>
      </c>
      <c r="D35" s="624" t="str">
        <f t="shared" si="2"/>
        <v xml:space="preserve">             </v>
      </c>
      <c r="E35" s="646"/>
      <c r="F35" s="647"/>
      <c r="G35" s="648"/>
      <c r="H35" s="647"/>
      <c r="I35" s="648"/>
      <c r="J35" s="647"/>
      <c r="K35" s="648"/>
      <c r="L35" s="647"/>
      <c r="M35" s="648"/>
      <c r="N35" s="648"/>
      <c r="O35" s="648"/>
      <c r="P35" s="648"/>
      <c r="Q35" s="647"/>
      <c r="R35" s="648"/>
      <c r="S35" s="648"/>
      <c r="T35" s="648"/>
      <c r="U35" s="649"/>
      <c r="V35" s="646"/>
      <c r="W35" s="647"/>
      <c r="X35" s="648"/>
      <c r="Y35" s="647"/>
      <c r="Z35" s="631"/>
      <c r="AA35" s="648"/>
      <c r="AB35" s="649">
        <f t="shared" si="4"/>
        <v>228723.91583567514</v>
      </c>
      <c r="AC35" s="633">
        <f t="shared" si="0"/>
        <v>228723.91583567514</v>
      </c>
      <c r="AD35" s="634">
        <f t="shared" si="13"/>
        <v>228723.91583567514</v>
      </c>
      <c r="AE35" s="634">
        <f t="shared" si="5"/>
        <v>228723.91583567514</v>
      </c>
      <c r="AF35" s="634">
        <f t="shared" si="6"/>
        <v>228723.91583567514</v>
      </c>
      <c r="AG35" s="634">
        <f t="shared" si="11"/>
        <v>211730.5420932096</v>
      </c>
      <c r="AH35" s="635">
        <f t="shared" si="8"/>
        <v>211730.5420932096</v>
      </c>
      <c r="AI35" s="633">
        <f t="shared" si="12"/>
        <v>1763.4872583877566</v>
      </c>
      <c r="AJ35" s="657"/>
      <c r="AK35" s="658"/>
      <c r="AL35" s="647">
        <f t="shared" si="9"/>
        <v>-1763.4872583877566</v>
      </c>
      <c r="AM35" s="653"/>
      <c r="AN35" s="654"/>
      <c r="AO35" s="643"/>
      <c r="AP35" s="643"/>
      <c r="AQ35" s="643"/>
      <c r="AR35" s="643"/>
      <c r="AS35" s="627"/>
      <c r="AT35" s="641"/>
      <c r="AU35" s="642">
        <f t="shared" si="10"/>
        <v>10</v>
      </c>
    </row>
    <row r="36" spans="2:47" s="575" customFormat="1" ht="15.75" customHeight="1">
      <c r="B36" s="622">
        <f t="shared" si="3"/>
        <v>11</v>
      </c>
      <c r="C36" s="623">
        <f t="shared" si="1"/>
        <v>12</v>
      </c>
      <c r="D36" s="624" t="str">
        <f t="shared" si="2"/>
        <v xml:space="preserve">             </v>
      </c>
      <c r="E36" s="646"/>
      <c r="F36" s="647"/>
      <c r="G36" s="648"/>
      <c r="H36" s="647"/>
      <c r="I36" s="648"/>
      <c r="J36" s="647"/>
      <c r="K36" s="648"/>
      <c r="L36" s="647"/>
      <c r="M36" s="648"/>
      <c r="N36" s="648"/>
      <c r="O36" s="648"/>
      <c r="P36" s="648"/>
      <c r="Q36" s="647"/>
      <c r="R36" s="648"/>
      <c r="S36" s="648"/>
      <c r="T36" s="648"/>
      <c r="U36" s="649"/>
      <c r="V36" s="646"/>
      <c r="W36" s="647"/>
      <c r="X36" s="648"/>
      <c r="Y36" s="647"/>
      <c r="Z36" s="631"/>
      <c r="AA36" s="648"/>
      <c r="AB36" s="649">
        <f t="shared" si="4"/>
        <v>228723.91583567514</v>
      </c>
      <c r="AC36" s="633">
        <f>U36+AB36</f>
        <v>228723.91583567514</v>
      </c>
      <c r="AD36" s="634">
        <f t="shared" si="13"/>
        <v>457447.83167135029</v>
      </c>
      <c r="AE36" s="634">
        <f t="shared" si="5"/>
        <v>228723.91583567514</v>
      </c>
      <c r="AF36" s="634">
        <f t="shared" si="6"/>
        <v>228723.91583567514</v>
      </c>
      <c r="AG36" s="634">
        <f t="shared" si="11"/>
        <v>210102.24965835735</v>
      </c>
      <c r="AH36" s="635">
        <f t="shared" si="8"/>
        <v>210102.24965835735</v>
      </c>
      <c r="AI36" s="633">
        <f t="shared" si="12"/>
        <v>1763.4872583877566</v>
      </c>
      <c r="AJ36" s="657"/>
      <c r="AK36" s="658"/>
      <c r="AL36" s="647">
        <f t="shared" si="9"/>
        <v>-1763.4872583877566</v>
      </c>
      <c r="AM36" s="653"/>
      <c r="AN36" s="654"/>
      <c r="AO36" s="643"/>
      <c r="AP36" s="643"/>
      <c r="AQ36" s="643"/>
      <c r="AR36" s="643"/>
      <c r="AS36" s="627"/>
      <c r="AT36" s="641"/>
      <c r="AU36" s="642">
        <f t="shared" si="10"/>
        <v>11</v>
      </c>
    </row>
    <row r="37" spans="2:47" s="575" customFormat="1" ht="15.75" customHeight="1">
      <c r="B37" s="622">
        <f t="shared" si="3"/>
        <v>12</v>
      </c>
      <c r="C37" s="623">
        <f t="shared" si="1"/>
        <v>1</v>
      </c>
      <c r="D37" s="624">
        <f t="shared" si="2"/>
        <v>2019</v>
      </c>
      <c r="E37" s="646"/>
      <c r="F37" s="647"/>
      <c r="G37" s="648"/>
      <c r="H37" s="647"/>
      <c r="I37" s="648"/>
      <c r="J37" s="647"/>
      <c r="K37" s="648"/>
      <c r="L37" s="647"/>
      <c r="M37" s="656"/>
      <c r="N37" s="648"/>
      <c r="O37" s="648"/>
      <c r="P37" s="648"/>
      <c r="Q37" s="647"/>
      <c r="R37" s="648"/>
      <c r="S37" s="648"/>
      <c r="T37" s="648"/>
      <c r="U37" s="649">
        <f>IF(B37&lt;=$J$7,$U$16*0.02*3,)</f>
        <v>-686171.74750702549</v>
      </c>
      <c r="V37" s="646"/>
      <c r="W37" s="647"/>
      <c r="X37" s="648"/>
      <c r="Y37" s="647"/>
      <c r="Z37" s="631"/>
      <c r="AA37" s="648"/>
      <c r="AB37" s="649">
        <f t="shared" si="4"/>
        <v>228723.91583567514</v>
      </c>
      <c r="AC37" s="633">
        <f t="shared" si="0"/>
        <v>-457447.83167135034</v>
      </c>
      <c r="AD37" s="634">
        <f t="shared" si="13"/>
        <v>0</v>
      </c>
      <c r="AE37" s="634">
        <f t="shared" si="5"/>
        <v>-457447.83167135034</v>
      </c>
      <c r="AF37" s="634">
        <f t="shared" si="6"/>
        <v>-457447.83167135034</v>
      </c>
      <c r="AG37" s="634">
        <f t="shared" si="11"/>
        <v>-416972.95888535335</v>
      </c>
      <c r="AH37" s="635">
        <f t="shared" si="8"/>
        <v>-416972.95888535335</v>
      </c>
      <c r="AI37" s="633">
        <f t="shared" si="12"/>
        <v>1763.4872583877566</v>
      </c>
      <c r="AJ37" s="657"/>
      <c r="AK37" s="658"/>
      <c r="AL37" s="647">
        <f t="shared" si="9"/>
        <v>-1763.4872583877566</v>
      </c>
      <c r="AM37" s="653"/>
      <c r="AN37" s="654"/>
      <c r="AO37" s="643"/>
      <c r="AP37" s="643"/>
      <c r="AQ37" s="643"/>
      <c r="AR37" s="643"/>
      <c r="AS37" s="627"/>
      <c r="AT37" s="641"/>
      <c r="AU37" s="642">
        <f t="shared" si="10"/>
        <v>12</v>
      </c>
    </row>
    <row r="38" spans="2:47" s="575" customFormat="1" ht="16.5" customHeight="1">
      <c r="B38" s="622">
        <f t="shared" si="3"/>
        <v>13</v>
      </c>
      <c r="C38" s="623">
        <f t="shared" si="1"/>
        <v>2</v>
      </c>
      <c r="D38" s="624" t="str">
        <f>IF($C37=12,$D$37+1,"             ")</f>
        <v xml:space="preserve">             </v>
      </c>
      <c r="E38" s="646"/>
      <c r="F38" s="647"/>
      <c r="G38" s="648"/>
      <c r="H38" s="647"/>
      <c r="I38" s="648"/>
      <c r="J38" s="647"/>
      <c r="K38" s="648"/>
      <c r="L38" s="647"/>
      <c r="M38" s="648"/>
      <c r="N38" s="648"/>
      <c r="O38" s="648"/>
      <c r="P38" s="648"/>
      <c r="Q38" s="647"/>
      <c r="R38" s="648"/>
      <c r="S38" s="648"/>
      <c r="T38" s="648"/>
      <c r="U38" s="649"/>
      <c r="V38" s="646"/>
      <c r="W38" s="647"/>
      <c r="X38" s="648"/>
      <c r="Y38" s="647"/>
      <c r="Z38" s="631"/>
      <c r="AA38" s="648"/>
      <c r="AB38" s="649">
        <f t="shared" si="4"/>
        <v>228723.91583567514</v>
      </c>
      <c r="AC38" s="633">
        <f t="shared" si="0"/>
        <v>228723.91583567514</v>
      </c>
      <c r="AD38" s="634">
        <f t="shared" si="13"/>
        <v>228723.91583567514</v>
      </c>
      <c r="AE38" s="634">
        <f t="shared" si="5"/>
        <v>228723.91583567514</v>
      </c>
      <c r="AF38" s="634">
        <f t="shared" si="6"/>
        <v>228723.91583567514</v>
      </c>
      <c r="AG38" s="634">
        <f t="shared" si="11"/>
        <v>206883.13514530053</v>
      </c>
      <c r="AH38" s="635">
        <f t="shared" si="8"/>
        <v>206883.13514530053</v>
      </c>
      <c r="AI38" s="633">
        <f t="shared" si="12"/>
        <v>1763.4872583877566</v>
      </c>
      <c r="AJ38" s="657"/>
      <c r="AK38" s="658"/>
      <c r="AL38" s="647">
        <f t="shared" si="9"/>
        <v>-1763.4872583877566</v>
      </c>
      <c r="AM38" s="653"/>
      <c r="AN38" s="654"/>
      <c r="AO38" s="643"/>
      <c r="AP38" s="643"/>
      <c r="AQ38" s="643"/>
      <c r="AR38" s="643"/>
      <c r="AS38" s="627"/>
      <c r="AT38" s="641"/>
      <c r="AU38" s="642">
        <f t="shared" si="10"/>
        <v>13</v>
      </c>
    </row>
    <row r="39" spans="2:47" s="575" customFormat="1" ht="15.75" customHeight="1">
      <c r="B39" s="622">
        <f t="shared" si="3"/>
        <v>14</v>
      </c>
      <c r="C39" s="623">
        <f t="shared" si="1"/>
        <v>3</v>
      </c>
      <c r="D39" s="624" t="str">
        <f t="shared" ref="D39:D49" si="14">IF($C38=12,$D$37+1,"             ")</f>
        <v xml:space="preserve">             </v>
      </c>
      <c r="E39" s="646"/>
      <c r="F39" s="647"/>
      <c r="G39" s="648"/>
      <c r="H39" s="647"/>
      <c r="I39" s="648"/>
      <c r="J39" s="647"/>
      <c r="K39" s="648"/>
      <c r="L39" s="647"/>
      <c r="M39" s="648"/>
      <c r="N39" s="648"/>
      <c r="O39" s="648"/>
      <c r="P39" s="648"/>
      <c r="Q39" s="647"/>
      <c r="R39" s="648"/>
      <c r="S39" s="648"/>
      <c r="T39" s="648"/>
      <c r="U39" s="649"/>
      <c r="V39" s="646"/>
      <c r="W39" s="647"/>
      <c r="X39" s="648"/>
      <c r="Y39" s="647"/>
      <c r="Z39" s="631"/>
      <c r="AA39" s="648"/>
      <c r="AB39" s="649">
        <f t="shared" si="4"/>
        <v>228723.91583567514</v>
      </c>
      <c r="AC39" s="633">
        <f t="shared" si="0"/>
        <v>228723.91583567514</v>
      </c>
      <c r="AD39" s="634">
        <f t="shared" si="13"/>
        <v>457447.83167135029</v>
      </c>
      <c r="AE39" s="634">
        <f t="shared" si="5"/>
        <v>228723.91583567514</v>
      </c>
      <c r="AF39" s="634">
        <f t="shared" si="6"/>
        <v>228723.91583567514</v>
      </c>
      <c r="AG39" s="634">
        <f t="shared" si="11"/>
        <v>205292.12120595443</v>
      </c>
      <c r="AH39" s="635">
        <f t="shared" si="8"/>
        <v>205292.12120595443</v>
      </c>
      <c r="AI39" s="633">
        <f t="shared" si="12"/>
        <v>1763.4872583877566</v>
      </c>
      <c r="AJ39" s="657"/>
      <c r="AK39" s="658"/>
      <c r="AL39" s="647">
        <f t="shared" si="9"/>
        <v>-1763.4872583877566</v>
      </c>
      <c r="AM39" s="653"/>
      <c r="AN39" s="654"/>
      <c r="AO39" s="643"/>
      <c r="AP39" s="643"/>
      <c r="AQ39" s="643"/>
      <c r="AR39" s="643"/>
      <c r="AS39" s="627"/>
      <c r="AT39" s="641"/>
      <c r="AU39" s="642">
        <f t="shared" si="10"/>
        <v>14</v>
      </c>
    </row>
    <row r="40" spans="2:47" s="575" customFormat="1" ht="15.75" customHeight="1">
      <c r="B40" s="622">
        <f t="shared" si="3"/>
        <v>15</v>
      </c>
      <c r="C40" s="623">
        <f t="shared" si="1"/>
        <v>4</v>
      </c>
      <c r="D40" s="624" t="str">
        <f t="shared" si="14"/>
        <v xml:space="preserve">             </v>
      </c>
      <c r="E40" s="646"/>
      <c r="F40" s="647"/>
      <c r="G40" s="648"/>
      <c r="H40" s="647"/>
      <c r="I40" s="648"/>
      <c r="J40" s="647"/>
      <c r="K40" s="648"/>
      <c r="L40" s="647"/>
      <c r="M40" s="648"/>
      <c r="N40" s="648"/>
      <c r="O40" s="648"/>
      <c r="P40" s="648"/>
      <c r="Q40" s="647"/>
      <c r="R40" s="648"/>
      <c r="S40" s="648"/>
      <c r="T40" s="648"/>
      <c r="U40" s="649">
        <f>IF(B40&lt;=$J$7,$U$16*0.02*3,)</f>
        <v>-686171.74750702549</v>
      </c>
      <c r="V40" s="646"/>
      <c r="W40" s="647"/>
      <c r="X40" s="648"/>
      <c r="Y40" s="647"/>
      <c r="Z40" s="631"/>
      <c r="AA40" s="648"/>
      <c r="AB40" s="649">
        <f t="shared" si="4"/>
        <v>228723.91583567514</v>
      </c>
      <c r="AC40" s="633">
        <f t="shared" si="0"/>
        <v>-457447.83167135034</v>
      </c>
      <c r="AD40" s="634">
        <f t="shared" si="13"/>
        <v>0</v>
      </c>
      <c r="AE40" s="634">
        <f t="shared" si="5"/>
        <v>-457447.83167135034</v>
      </c>
      <c r="AF40" s="634">
        <f t="shared" si="6"/>
        <v>-457447.83167135034</v>
      </c>
      <c r="AG40" s="634">
        <f t="shared" si="11"/>
        <v>-407426.68559852039</v>
      </c>
      <c r="AH40" s="635">
        <f t="shared" si="8"/>
        <v>-407426.68559852039</v>
      </c>
      <c r="AI40" s="633">
        <f t="shared" si="12"/>
        <v>1763.4872583877566</v>
      </c>
      <c r="AJ40" s="657"/>
      <c r="AK40" s="658"/>
      <c r="AL40" s="647">
        <f t="shared" si="9"/>
        <v>-1763.4872583877566</v>
      </c>
      <c r="AM40" s="653"/>
      <c r="AN40" s="654"/>
      <c r="AO40" s="643"/>
      <c r="AP40" s="643"/>
      <c r="AQ40" s="643"/>
      <c r="AR40" s="643"/>
      <c r="AS40" s="627"/>
      <c r="AT40" s="641"/>
      <c r="AU40" s="642">
        <f t="shared" si="10"/>
        <v>15</v>
      </c>
    </row>
    <row r="41" spans="2:47" s="575" customFormat="1" ht="15.75" customHeight="1">
      <c r="B41" s="622">
        <f t="shared" si="3"/>
        <v>16</v>
      </c>
      <c r="C41" s="623">
        <f t="shared" si="1"/>
        <v>5</v>
      </c>
      <c r="D41" s="624" t="str">
        <f t="shared" si="14"/>
        <v xml:space="preserve">             </v>
      </c>
      <c r="E41" s="646"/>
      <c r="F41" s="647"/>
      <c r="G41" s="648"/>
      <c r="H41" s="647"/>
      <c r="I41" s="648"/>
      <c r="J41" s="647"/>
      <c r="K41" s="648"/>
      <c r="L41" s="647"/>
      <c r="M41" s="648"/>
      <c r="N41" s="648"/>
      <c r="O41" s="648"/>
      <c r="P41" s="648"/>
      <c r="Q41" s="647"/>
      <c r="R41" s="648"/>
      <c r="S41" s="648"/>
      <c r="T41" s="648"/>
      <c r="U41" s="649"/>
      <c r="V41" s="646"/>
      <c r="W41" s="647"/>
      <c r="X41" s="648"/>
      <c r="Y41" s="647"/>
      <c r="Z41" s="631"/>
      <c r="AA41" s="648"/>
      <c r="AB41" s="649">
        <f t="shared" si="4"/>
        <v>228723.91583567514</v>
      </c>
      <c r="AC41" s="633">
        <f t="shared" si="0"/>
        <v>228723.91583567514</v>
      </c>
      <c r="AD41" s="634">
        <f t="shared" si="13"/>
        <v>228723.91583567514</v>
      </c>
      <c r="AE41" s="634">
        <f t="shared" si="5"/>
        <v>228723.91583567514</v>
      </c>
      <c r="AF41" s="634">
        <f t="shared" si="6"/>
        <v>228723.91583567514</v>
      </c>
      <c r="AG41" s="634">
        <f t="shared" si="11"/>
        <v>202146.70582908476</v>
      </c>
      <c r="AH41" s="635">
        <f t="shared" si="8"/>
        <v>202146.70582908476</v>
      </c>
      <c r="AI41" s="633">
        <f t="shared" si="12"/>
        <v>1763.4872583877566</v>
      </c>
      <c r="AJ41" s="657"/>
      <c r="AK41" s="658"/>
      <c r="AL41" s="647">
        <f t="shared" si="9"/>
        <v>-1763.4872583877566</v>
      </c>
      <c r="AM41" s="653"/>
      <c r="AN41" s="654"/>
      <c r="AO41" s="643"/>
      <c r="AP41" s="643"/>
      <c r="AQ41" s="643"/>
      <c r="AR41" s="643"/>
      <c r="AS41" s="627"/>
      <c r="AT41" s="641"/>
      <c r="AU41" s="642">
        <f t="shared" si="10"/>
        <v>16</v>
      </c>
    </row>
    <row r="42" spans="2:47" s="575" customFormat="1" ht="15.75" customHeight="1">
      <c r="B42" s="622">
        <f t="shared" si="3"/>
        <v>17</v>
      </c>
      <c r="C42" s="623">
        <f t="shared" si="1"/>
        <v>6</v>
      </c>
      <c r="D42" s="624" t="str">
        <f t="shared" si="14"/>
        <v xml:space="preserve">             </v>
      </c>
      <c r="E42" s="646"/>
      <c r="F42" s="647"/>
      <c r="G42" s="648"/>
      <c r="H42" s="647"/>
      <c r="I42" s="648"/>
      <c r="J42" s="647"/>
      <c r="K42" s="648"/>
      <c r="L42" s="647"/>
      <c r="M42" s="648"/>
      <c r="N42" s="648"/>
      <c r="O42" s="648"/>
      <c r="P42" s="648"/>
      <c r="Q42" s="647"/>
      <c r="R42" s="648"/>
      <c r="S42" s="648"/>
      <c r="T42" s="648"/>
      <c r="U42" s="649"/>
      <c r="V42" s="646"/>
      <c r="W42" s="647"/>
      <c r="X42" s="648"/>
      <c r="Y42" s="647"/>
      <c r="Z42" s="631"/>
      <c r="AA42" s="648"/>
      <c r="AB42" s="649">
        <f t="shared" si="4"/>
        <v>228723.91583567514</v>
      </c>
      <c r="AC42" s="633">
        <f t="shared" si="0"/>
        <v>228723.91583567514</v>
      </c>
      <c r="AD42" s="634">
        <f t="shared" si="13"/>
        <v>457447.83167135029</v>
      </c>
      <c r="AE42" s="634">
        <f t="shared" si="5"/>
        <v>228723.91583567514</v>
      </c>
      <c r="AF42" s="634">
        <f t="shared" si="6"/>
        <v>228723.91583567514</v>
      </c>
      <c r="AG42" s="634">
        <f t="shared" si="11"/>
        <v>200592.11692293207</v>
      </c>
      <c r="AH42" s="635">
        <f t="shared" si="8"/>
        <v>200592.11692293207</v>
      </c>
      <c r="AI42" s="633">
        <f t="shared" si="12"/>
        <v>1763.4872583877566</v>
      </c>
      <c r="AJ42" s="657"/>
      <c r="AK42" s="658"/>
      <c r="AL42" s="647">
        <f t="shared" si="9"/>
        <v>-1763.4872583877566</v>
      </c>
      <c r="AM42" s="653"/>
      <c r="AN42" s="654"/>
      <c r="AO42" s="643"/>
      <c r="AP42" s="643"/>
      <c r="AQ42" s="643"/>
      <c r="AR42" s="643"/>
      <c r="AS42" s="627"/>
      <c r="AT42" s="641"/>
      <c r="AU42" s="642">
        <f t="shared" si="10"/>
        <v>17</v>
      </c>
    </row>
    <row r="43" spans="2:47" s="575" customFormat="1" ht="15.75" customHeight="1">
      <c r="B43" s="622">
        <f t="shared" si="3"/>
        <v>18</v>
      </c>
      <c r="C43" s="623">
        <f t="shared" si="1"/>
        <v>7</v>
      </c>
      <c r="D43" s="624" t="str">
        <f t="shared" si="14"/>
        <v xml:space="preserve">             </v>
      </c>
      <c r="E43" s="646"/>
      <c r="F43" s="647"/>
      <c r="G43" s="648"/>
      <c r="H43" s="647"/>
      <c r="I43" s="648"/>
      <c r="J43" s="647"/>
      <c r="K43" s="648"/>
      <c r="L43" s="647"/>
      <c r="M43" s="648"/>
      <c r="N43" s="648"/>
      <c r="O43" s="648"/>
      <c r="P43" s="648"/>
      <c r="Q43" s="647"/>
      <c r="R43" s="648"/>
      <c r="S43" s="648"/>
      <c r="T43" s="648"/>
      <c r="U43" s="649">
        <f>IF(B43&lt;=$J$7,$U$16*0.02*3,)</f>
        <v>-686171.74750702549</v>
      </c>
      <c r="V43" s="646"/>
      <c r="W43" s="647"/>
      <c r="X43" s="648"/>
      <c r="Y43" s="647"/>
      <c r="Z43" s="631"/>
      <c r="AA43" s="648"/>
      <c r="AB43" s="649">
        <f t="shared" si="4"/>
        <v>228723.91583567514</v>
      </c>
      <c r="AC43" s="633">
        <f t="shared" si="0"/>
        <v>-457447.83167135034</v>
      </c>
      <c r="AD43" s="634">
        <f t="shared" si="13"/>
        <v>0</v>
      </c>
      <c r="AE43" s="634">
        <f t="shared" si="5"/>
        <v>-457447.83167135034</v>
      </c>
      <c r="AF43" s="634">
        <f t="shared" si="6"/>
        <v>-457447.83167135034</v>
      </c>
      <c r="AG43" s="634">
        <f t="shared" si="11"/>
        <v>-398098.96685275529</v>
      </c>
      <c r="AH43" s="635">
        <f t="shared" si="8"/>
        <v>-398098.96685275529</v>
      </c>
      <c r="AI43" s="633">
        <f t="shared" si="12"/>
        <v>1763.4872583877566</v>
      </c>
      <c r="AJ43" s="657"/>
      <c r="AK43" s="658"/>
      <c r="AL43" s="647">
        <f t="shared" si="9"/>
        <v>-1763.4872583877566</v>
      </c>
      <c r="AM43" s="653"/>
      <c r="AN43" s="654"/>
      <c r="AO43" s="643"/>
      <c r="AP43" s="643"/>
      <c r="AQ43" s="643"/>
      <c r="AR43" s="643"/>
      <c r="AS43" s="627"/>
      <c r="AT43" s="641"/>
      <c r="AU43" s="642">
        <f t="shared" si="10"/>
        <v>18</v>
      </c>
    </row>
    <row r="44" spans="2:47" s="575" customFormat="1" ht="15.75" customHeight="1">
      <c r="B44" s="622">
        <f t="shared" si="3"/>
        <v>19</v>
      </c>
      <c r="C44" s="623">
        <f t="shared" si="1"/>
        <v>8</v>
      </c>
      <c r="D44" s="624" t="str">
        <f t="shared" si="14"/>
        <v xml:space="preserve">             </v>
      </c>
      <c r="E44" s="646"/>
      <c r="F44" s="647"/>
      <c r="G44" s="648"/>
      <c r="H44" s="647"/>
      <c r="I44" s="648"/>
      <c r="J44" s="647"/>
      <c r="K44" s="648"/>
      <c r="L44" s="647"/>
      <c r="M44" s="648"/>
      <c r="N44" s="648"/>
      <c r="O44" s="648"/>
      <c r="P44" s="648"/>
      <c r="Q44" s="647"/>
      <c r="R44" s="648"/>
      <c r="S44" s="648"/>
      <c r="T44" s="648"/>
      <c r="U44" s="649"/>
      <c r="V44" s="646"/>
      <c r="W44" s="647"/>
      <c r="X44" s="648"/>
      <c r="Y44" s="647"/>
      <c r="Z44" s="631"/>
      <c r="AA44" s="648"/>
      <c r="AB44" s="649">
        <f t="shared" si="4"/>
        <v>228723.91583567514</v>
      </c>
      <c r="AC44" s="633">
        <f t="shared" si="0"/>
        <v>228723.91583567514</v>
      </c>
      <c r="AD44" s="634">
        <f t="shared" si="13"/>
        <v>228723.91583567514</v>
      </c>
      <c r="AE44" s="634">
        <f t="shared" si="5"/>
        <v>228723.91583567514</v>
      </c>
      <c r="AF44" s="634">
        <f t="shared" si="6"/>
        <v>228723.91583567514</v>
      </c>
      <c r="AG44" s="634">
        <f t="shared" si="11"/>
        <v>197518.71339754664</v>
      </c>
      <c r="AH44" s="635">
        <f t="shared" si="8"/>
        <v>197518.71339754664</v>
      </c>
      <c r="AI44" s="633">
        <f t="shared" si="12"/>
        <v>1763.4872583877566</v>
      </c>
      <c r="AJ44" s="657"/>
      <c r="AK44" s="658"/>
      <c r="AL44" s="647">
        <f t="shared" si="9"/>
        <v>-1763.4872583877566</v>
      </c>
      <c r="AM44" s="653"/>
      <c r="AN44" s="654"/>
      <c r="AO44" s="643"/>
      <c r="AP44" s="643"/>
      <c r="AQ44" s="643"/>
      <c r="AR44" s="643"/>
      <c r="AS44" s="627"/>
      <c r="AT44" s="641"/>
      <c r="AU44" s="642">
        <f t="shared" si="10"/>
        <v>19</v>
      </c>
    </row>
    <row r="45" spans="2:47" s="575" customFormat="1" ht="15.75" customHeight="1">
      <c r="B45" s="622">
        <f t="shared" si="3"/>
        <v>20</v>
      </c>
      <c r="C45" s="623">
        <f t="shared" si="1"/>
        <v>9</v>
      </c>
      <c r="D45" s="624" t="str">
        <f>IF($C44=12,$D$33+1,"             ")</f>
        <v xml:space="preserve">             </v>
      </c>
      <c r="E45" s="646"/>
      <c r="F45" s="647"/>
      <c r="G45" s="648"/>
      <c r="H45" s="647"/>
      <c r="I45" s="648"/>
      <c r="J45" s="647"/>
      <c r="K45" s="648"/>
      <c r="L45" s="647"/>
      <c r="M45" s="648"/>
      <c r="N45" s="648"/>
      <c r="O45" s="648"/>
      <c r="P45" s="648"/>
      <c r="Q45" s="647"/>
      <c r="R45" s="648"/>
      <c r="S45" s="648"/>
      <c r="T45" s="648"/>
      <c r="U45" s="649"/>
      <c r="V45" s="646"/>
      <c r="W45" s="647"/>
      <c r="X45" s="648"/>
      <c r="Y45" s="647"/>
      <c r="Z45" s="631"/>
      <c r="AA45" s="648"/>
      <c r="AB45" s="649">
        <f t="shared" si="4"/>
        <v>228723.91583567514</v>
      </c>
      <c r="AC45" s="633">
        <f t="shared" si="0"/>
        <v>228723.91583567514</v>
      </c>
      <c r="AD45" s="634">
        <f t="shared" si="13"/>
        <v>457447.83167135029</v>
      </c>
      <c r="AE45" s="634">
        <f t="shared" si="5"/>
        <v>228723.91583567514</v>
      </c>
      <c r="AF45" s="634">
        <f t="shared" si="6"/>
        <v>228723.91583567514</v>
      </c>
      <c r="AG45" s="634">
        <f t="shared" si="11"/>
        <v>195999.71560163403</v>
      </c>
      <c r="AH45" s="635">
        <f t="shared" si="8"/>
        <v>195999.71560163403</v>
      </c>
      <c r="AI45" s="633">
        <f t="shared" si="12"/>
        <v>1763.4872583877566</v>
      </c>
      <c r="AJ45" s="657"/>
      <c r="AK45" s="658"/>
      <c r="AL45" s="647">
        <f t="shared" si="9"/>
        <v>-1763.4872583877566</v>
      </c>
      <c r="AM45" s="653"/>
      <c r="AN45" s="654"/>
      <c r="AO45" s="643"/>
      <c r="AP45" s="643"/>
      <c r="AQ45" s="643"/>
      <c r="AR45" s="643"/>
      <c r="AS45" s="627"/>
      <c r="AT45" s="641"/>
      <c r="AU45" s="642">
        <f t="shared" si="10"/>
        <v>20</v>
      </c>
    </row>
    <row r="46" spans="2:47" s="575" customFormat="1" ht="15.75" customHeight="1">
      <c r="B46" s="622">
        <f t="shared" si="3"/>
        <v>21</v>
      </c>
      <c r="C46" s="623">
        <f t="shared" si="1"/>
        <v>10</v>
      </c>
      <c r="D46" s="624" t="str">
        <f t="shared" si="14"/>
        <v xml:space="preserve">             </v>
      </c>
      <c r="E46" s="646"/>
      <c r="F46" s="647"/>
      <c r="G46" s="648"/>
      <c r="H46" s="647"/>
      <c r="I46" s="648"/>
      <c r="J46" s="647"/>
      <c r="K46" s="648"/>
      <c r="L46" s="647"/>
      <c r="M46" s="648"/>
      <c r="N46" s="648"/>
      <c r="O46" s="648"/>
      <c r="P46" s="648"/>
      <c r="Q46" s="647"/>
      <c r="R46" s="648"/>
      <c r="S46" s="648"/>
      <c r="T46" s="648"/>
      <c r="U46" s="649">
        <f>IF(B46&lt;=$J$7,$U$16*0.02*3,)</f>
        <v>-686171.74750702549</v>
      </c>
      <c r="V46" s="646"/>
      <c r="W46" s="647"/>
      <c r="X46" s="648"/>
      <c r="Y46" s="647"/>
      <c r="Z46" s="631"/>
      <c r="AA46" s="648"/>
      <c r="AB46" s="649">
        <f t="shared" si="4"/>
        <v>228723.91583567514</v>
      </c>
      <c r="AC46" s="633">
        <f t="shared" si="0"/>
        <v>-457447.83167135034</v>
      </c>
      <c r="AD46" s="634">
        <f t="shared" si="13"/>
        <v>0</v>
      </c>
      <c r="AE46" s="634">
        <f t="shared" si="5"/>
        <v>-457447.83167135034</v>
      </c>
      <c r="AF46" s="634">
        <f t="shared" si="6"/>
        <v>-457447.83167135034</v>
      </c>
      <c r="AG46" s="634">
        <f t="shared" si="11"/>
        <v>-388984.79901093338</v>
      </c>
      <c r="AH46" s="635">
        <f t="shared" si="8"/>
        <v>-388984.79901093338</v>
      </c>
      <c r="AI46" s="633">
        <f t="shared" si="12"/>
        <v>1763.4872583877566</v>
      </c>
      <c r="AJ46" s="657"/>
      <c r="AK46" s="658"/>
      <c r="AL46" s="647">
        <f t="shared" si="9"/>
        <v>-1763.4872583877566</v>
      </c>
      <c r="AM46" s="653"/>
      <c r="AN46" s="654"/>
      <c r="AO46" s="643"/>
      <c r="AP46" s="643"/>
      <c r="AQ46" s="643"/>
      <c r="AR46" s="643"/>
      <c r="AS46" s="627"/>
      <c r="AT46" s="641"/>
      <c r="AU46" s="642">
        <f t="shared" si="10"/>
        <v>21</v>
      </c>
    </row>
    <row r="47" spans="2:47" s="575" customFormat="1" ht="15.75" customHeight="1">
      <c r="B47" s="622">
        <f t="shared" si="3"/>
        <v>22</v>
      </c>
      <c r="C47" s="623">
        <f t="shared" si="1"/>
        <v>11</v>
      </c>
      <c r="D47" s="624" t="str">
        <f t="shared" si="14"/>
        <v xml:space="preserve">             </v>
      </c>
      <c r="E47" s="646"/>
      <c r="F47" s="647"/>
      <c r="G47" s="648"/>
      <c r="H47" s="647"/>
      <c r="I47" s="648"/>
      <c r="J47" s="647"/>
      <c r="K47" s="648"/>
      <c r="L47" s="647"/>
      <c r="M47" s="648"/>
      <c r="N47" s="648"/>
      <c r="O47" s="648"/>
      <c r="P47" s="648"/>
      <c r="Q47" s="647"/>
      <c r="R47" s="648"/>
      <c r="S47" s="648"/>
      <c r="T47" s="648"/>
      <c r="U47" s="649"/>
      <c r="V47" s="646"/>
      <c r="W47" s="647"/>
      <c r="X47" s="648"/>
      <c r="Y47" s="647"/>
      <c r="Z47" s="631"/>
      <c r="AA47" s="648"/>
      <c r="AB47" s="649">
        <f t="shared" si="4"/>
        <v>228723.91583567514</v>
      </c>
      <c r="AC47" s="633">
        <f t="shared" si="0"/>
        <v>228723.91583567514</v>
      </c>
      <c r="AD47" s="634">
        <f t="shared" si="13"/>
        <v>228723.91583567514</v>
      </c>
      <c r="AE47" s="634">
        <f t="shared" si="5"/>
        <v>228723.91583567514</v>
      </c>
      <c r="AF47" s="634">
        <f t="shared" si="6"/>
        <v>228723.91583567514</v>
      </c>
      <c r="AG47" s="634">
        <f t="shared" si="11"/>
        <v>192996.67527210782</v>
      </c>
      <c r="AH47" s="635">
        <f t="shared" si="8"/>
        <v>192996.67527210782</v>
      </c>
      <c r="AI47" s="633">
        <f t="shared" si="12"/>
        <v>1763.4872583877566</v>
      </c>
      <c r="AJ47" s="657"/>
      <c r="AK47" s="658"/>
      <c r="AL47" s="647">
        <f t="shared" si="9"/>
        <v>-1763.4872583877566</v>
      </c>
      <c r="AM47" s="653"/>
      <c r="AN47" s="654"/>
      <c r="AO47" s="643"/>
      <c r="AP47" s="643"/>
      <c r="AQ47" s="643"/>
      <c r="AR47" s="643"/>
      <c r="AS47" s="627"/>
      <c r="AT47" s="641"/>
      <c r="AU47" s="642">
        <f t="shared" si="10"/>
        <v>22</v>
      </c>
    </row>
    <row r="48" spans="2:47" s="575" customFormat="1" ht="15.75" customHeight="1">
      <c r="B48" s="622">
        <f t="shared" si="3"/>
        <v>23</v>
      </c>
      <c r="C48" s="623">
        <f t="shared" si="1"/>
        <v>12</v>
      </c>
      <c r="D48" s="624" t="str">
        <f t="shared" si="14"/>
        <v xml:space="preserve">             </v>
      </c>
      <c r="E48" s="646"/>
      <c r="F48" s="647"/>
      <c r="G48" s="648"/>
      <c r="H48" s="647"/>
      <c r="I48" s="648"/>
      <c r="J48" s="647"/>
      <c r="K48" s="648"/>
      <c r="L48" s="647"/>
      <c r="M48" s="648"/>
      <c r="N48" s="648"/>
      <c r="O48" s="648"/>
      <c r="P48" s="648"/>
      <c r="Q48" s="647"/>
      <c r="R48" s="648"/>
      <c r="S48" s="648"/>
      <c r="T48" s="648"/>
      <c r="U48" s="649"/>
      <c r="V48" s="646"/>
      <c r="W48" s="647"/>
      <c r="X48" s="648"/>
      <c r="Y48" s="647"/>
      <c r="Z48" s="631"/>
      <c r="AA48" s="648"/>
      <c r="AB48" s="649">
        <f t="shared" si="4"/>
        <v>228723.91583567514</v>
      </c>
      <c r="AC48" s="633">
        <f t="shared" si="0"/>
        <v>228723.91583567514</v>
      </c>
      <c r="AD48" s="634">
        <f t="shared" si="13"/>
        <v>457447.83167135029</v>
      </c>
      <c r="AE48" s="634">
        <f t="shared" si="5"/>
        <v>228723.91583567514</v>
      </c>
      <c r="AF48" s="634">
        <f t="shared" si="6"/>
        <v>228723.91583567514</v>
      </c>
      <c r="AG48" s="634">
        <f t="shared" si="11"/>
        <v>191512.45375550271</v>
      </c>
      <c r="AH48" s="635">
        <f t="shared" si="8"/>
        <v>191512.45375550271</v>
      </c>
      <c r="AI48" s="633">
        <f t="shared" si="12"/>
        <v>1763.4872583877566</v>
      </c>
      <c r="AJ48" s="657"/>
      <c r="AK48" s="658"/>
      <c r="AL48" s="647">
        <f t="shared" si="9"/>
        <v>-1763.4872583877566</v>
      </c>
      <c r="AM48" s="653"/>
      <c r="AN48" s="654"/>
      <c r="AO48" s="643"/>
      <c r="AP48" s="643"/>
      <c r="AQ48" s="643"/>
      <c r="AR48" s="643"/>
      <c r="AS48" s="627"/>
      <c r="AT48" s="641"/>
      <c r="AU48" s="642">
        <f t="shared" si="10"/>
        <v>23</v>
      </c>
    </row>
    <row r="49" spans="2:47" s="575" customFormat="1" ht="15.75" customHeight="1">
      <c r="B49" s="622">
        <f t="shared" si="3"/>
        <v>24</v>
      </c>
      <c r="C49" s="623">
        <f t="shared" si="1"/>
        <v>1</v>
      </c>
      <c r="D49" s="624">
        <f t="shared" si="14"/>
        <v>2020</v>
      </c>
      <c r="E49" s="646"/>
      <c r="F49" s="647"/>
      <c r="G49" s="648"/>
      <c r="H49" s="647"/>
      <c r="I49" s="648"/>
      <c r="J49" s="647"/>
      <c r="K49" s="648"/>
      <c r="L49" s="647"/>
      <c r="M49" s="656"/>
      <c r="N49" s="648"/>
      <c r="O49" s="648"/>
      <c r="P49" s="648"/>
      <c r="Q49" s="647"/>
      <c r="R49" s="648"/>
      <c r="S49" s="648"/>
      <c r="T49" s="648"/>
      <c r="U49" s="649">
        <f>IF(B49&lt;=$J$7,$U$16*0.02*3,)</f>
        <v>-686171.74750702549</v>
      </c>
      <c r="V49" s="646"/>
      <c r="W49" s="647"/>
      <c r="X49" s="648"/>
      <c r="Y49" s="647"/>
      <c r="Z49" s="631"/>
      <c r="AA49" s="648"/>
      <c r="AB49" s="649">
        <f t="shared" si="4"/>
        <v>228723.91583567514</v>
      </c>
      <c r="AC49" s="633">
        <f t="shared" si="0"/>
        <v>-457447.83167135034</v>
      </c>
      <c r="AD49" s="634">
        <f t="shared" si="13"/>
        <v>0</v>
      </c>
      <c r="AE49" s="634">
        <f t="shared" si="5"/>
        <v>-457447.83167135034</v>
      </c>
      <c r="AF49" s="634">
        <f t="shared" si="6"/>
        <v>-457447.83167135034</v>
      </c>
      <c r="AG49" s="634">
        <f t="shared" si="11"/>
        <v>-380079.29299033043</v>
      </c>
      <c r="AH49" s="635">
        <f t="shared" si="8"/>
        <v>-380079.29299033043</v>
      </c>
      <c r="AI49" s="633">
        <f t="shared" si="12"/>
        <v>1763.4872583877566</v>
      </c>
      <c r="AJ49" s="657"/>
      <c r="AK49" s="658"/>
      <c r="AL49" s="647">
        <f t="shared" si="9"/>
        <v>-1763.4872583877566</v>
      </c>
      <c r="AM49" s="653"/>
      <c r="AN49" s="654"/>
      <c r="AO49" s="643"/>
      <c r="AP49" s="643"/>
      <c r="AQ49" s="643"/>
      <c r="AR49" s="643"/>
      <c r="AS49" s="627"/>
      <c r="AT49" s="641"/>
      <c r="AU49" s="642">
        <f t="shared" si="10"/>
        <v>24</v>
      </c>
    </row>
    <row r="50" spans="2:47" s="575" customFormat="1" ht="15.75" customHeight="1">
      <c r="B50" s="622">
        <f t="shared" si="3"/>
        <v>25</v>
      </c>
      <c r="C50" s="623">
        <f t="shared" si="1"/>
        <v>2</v>
      </c>
      <c r="D50" s="624" t="str">
        <f>IF($C49=12,$D$49+1,"             ")</f>
        <v xml:space="preserve">             </v>
      </c>
      <c r="E50" s="646"/>
      <c r="F50" s="647"/>
      <c r="G50" s="648"/>
      <c r="H50" s="647"/>
      <c r="I50" s="648"/>
      <c r="J50" s="647"/>
      <c r="K50" s="648"/>
      <c r="L50" s="647"/>
      <c r="M50" s="648"/>
      <c r="N50" s="648"/>
      <c r="O50" s="648"/>
      <c r="P50" s="648"/>
      <c r="Q50" s="647"/>
      <c r="R50" s="648"/>
      <c r="S50" s="648"/>
      <c r="T50" s="648"/>
      <c r="U50" s="649"/>
      <c r="V50" s="646"/>
      <c r="W50" s="647"/>
      <c r="X50" s="648"/>
      <c r="Y50" s="647"/>
      <c r="Z50" s="631"/>
      <c r="AA50" s="648"/>
      <c r="AB50" s="649">
        <f t="shared" si="4"/>
        <v>0</v>
      </c>
      <c r="AC50" s="633">
        <f t="shared" si="0"/>
        <v>0</v>
      </c>
      <c r="AD50" s="634">
        <f t="shared" si="13"/>
        <v>0</v>
      </c>
      <c r="AE50" s="634">
        <f t="shared" si="5"/>
        <v>0</v>
      </c>
      <c r="AF50" s="634">
        <f t="shared" si="6"/>
        <v>0</v>
      </c>
      <c r="AG50" s="634">
        <f t="shared" si="11"/>
        <v>0</v>
      </c>
      <c r="AH50" s="635">
        <f t="shared" si="8"/>
        <v>0</v>
      </c>
      <c r="AI50" s="633">
        <f t="shared" si="12"/>
        <v>0</v>
      </c>
      <c r="AJ50" s="657"/>
      <c r="AK50" s="658"/>
      <c r="AL50" s="647">
        <f t="shared" si="9"/>
        <v>0</v>
      </c>
      <c r="AM50" s="653"/>
      <c r="AN50" s="654"/>
      <c r="AO50" s="643"/>
      <c r="AP50" s="643"/>
      <c r="AQ50" s="643"/>
      <c r="AR50" s="643"/>
      <c r="AS50" s="627"/>
      <c r="AT50" s="641"/>
      <c r="AU50" s="642">
        <f t="shared" si="10"/>
        <v>25</v>
      </c>
    </row>
    <row r="51" spans="2:47" s="575" customFormat="1" ht="15.75" customHeight="1">
      <c r="B51" s="622">
        <f t="shared" si="3"/>
        <v>26</v>
      </c>
      <c r="C51" s="623">
        <f t="shared" si="1"/>
        <v>3</v>
      </c>
      <c r="D51" s="624" t="str">
        <f t="shared" ref="D51:D61" si="15">IF($C50=12,$D$49+1,"             ")</f>
        <v xml:space="preserve">             </v>
      </c>
      <c r="E51" s="646"/>
      <c r="F51" s="647"/>
      <c r="G51" s="648"/>
      <c r="H51" s="647"/>
      <c r="I51" s="648"/>
      <c r="J51" s="647"/>
      <c r="K51" s="648"/>
      <c r="L51" s="647"/>
      <c r="M51" s="648"/>
      <c r="N51" s="648"/>
      <c r="O51" s="648"/>
      <c r="P51" s="648"/>
      <c r="Q51" s="647"/>
      <c r="R51" s="648"/>
      <c r="S51" s="648"/>
      <c r="T51" s="648"/>
      <c r="U51" s="649"/>
      <c r="V51" s="646"/>
      <c r="W51" s="647"/>
      <c r="X51" s="648"/>
      <c r="Y51" s="647"/>
      <c r="Z51" s="631"/>
      <c r="AA51" s="648"/>
      <c r="AB51" s="649">
        <f t="shared" si="4"/>
        <v>0</v>
      </c>
      <c r="AC51" s="633">
        <f t="shared" si="0"/>
        <v>0</v>
      </c>
      <c r="AD51" s="634">
        <f t="shared" si="13"/>
        <v>0</v>
      </c>
      <c r="AE51" s="634">
        <f t="shared" si="5"/>
        <v>0</v>
      </c>
      <c r="AF51" s="634">
        <f t="shared" si="6"/>
        <v>0</v>
      </c>
      <c r="AG51" s="634">
        <f t="shared" si="11"/>
        <v>0</v>
      </c>
      <c r="AH51" s="635">
        <f t="shared" si="8"/>
        <v>0</v>
      </c>
      <c r="AI51" s="633">
        <f t="shared" si="12"/>
        <v>0</v>
      </c>
      <c r="AJ51" s="657"/>
      <c r="AK51" s="658"/>
      <c r="AL51" s="647">
        <f t="shared" si="9"/>
        <v>0</v>
      </c>
      <c r="AM51" s="653"/>
      <c r="AN51" s="654"/>
      <c r="AO51" s="643"/>
      <c r="AP51" s="643"/>
      <c r="AQ51" s="643"/>
      <c r="AR51" s="643"/>
      <c r="AS51" s="627"/>
      <c r="AT51" s="641"/>
      <c r="AU51" s="642">
        <f t="shared" si="10"/>
        <v>26</v>
      </c>
    </row>
    <row r="52" spans="2:47" s="575" customFormat="1" ht="15.75" customHeight="1">
      <c r="B52" s="622">
        <f t="shared" si="3"/>
        <v>27</v>
      </c>
      <c r="C52" s="623">
        <f t="shared" si="1"/>
        <v>4</v>
      </c>
      <c r="D52" s="624" t="str">
        <f t="shared" si="15"/>
        <v xml:space="preserve">             </v>
      </c>
      <c r="E52" s="646"/>
      <c r="F52" s="647"/>
      <c r="G52" s="648"/>
      <c r="H52" s="647"/>
      <c r="I52" s="648"/>
      <c r="J52" s="647"/>
      <c r="K52" s="648"/>
      <c r="L52" s="647"/>
      <c r="M52" s="648"/>
      <c r="N52" s="648"/>
      <c r="O52" s="648"/>
      <c r="P52" s="648"/>
      <c r="Q52" s="647"/>
      <c r="R52" s="648"/>
      <c r="S52" s="648"/>
      <c r="T52" s="648"/>
      <c r="U52" s="649">
        <f>IF(B52&lt;=$J$7,$U$16*0.02*3,)</f>
        <v>0</v>
      </c>
      <c r="V52" s="646"/>
      <c r="W52" s="647"/>
      <c r="X52" s="648"/>
      <c r="Y52" s="647"/>
      <c r="Z52" s="631"/>
      <c r="AA52" s="648"/>
      <c r="AB52" s="649">
        <f t="shared" si="4"/>
        <v>0</v>
      </c>
      <c r="AC52" s="633">
        <f t="shared" si="0"/>
        <v>0</v>
      </c>
      <c r="AD52" s="634">
        <f t="shared" si="13"/>
        <v>0</v>
      </c>
      <c r="AE52" s="634">
        <f t="shared" si="5"/>
        <v>0</v>
      </c>
      <c r="AF52" s="634">
        <f t="shared" si="6"/>
        <v>0</v>
      </c>
      <c r="AG52" s="634">
        <f t="shared" si="11"/>
        <v>0</v>
      </c>
      <c r="AH52" s="635">
        <f t="shared" si="8"/>
        <v>0</v>
      </c>
      <c r="AI52" s="633">
        <f t="shared" si="12"/>
        <v>0</v>
      </c>
      <c r="AJ52" s="657"/>
      <c r="AK52" s="658"/>
      <c r="AL52" s="647">
        <f t="shared" si="9"/>
        <v>0</v>
      </c>
      <c r="AM52" s="653"/>
      <c r="AN52" s="654"/>
      <c r="AO52" s="643"/>
      <c r="AP52" s="643"/>
      <c r="AQ52" s="643"/>
      <c r="AR52" s="643"/>
      <c r="AS52" s="627"/>
      <c r="AT52" s="641"/>
      <c r="AU52" s="642">
        <f t="shared" si="10"/>
        <v>27</v>
      </c>
    </row>
    <row r="53" spans="2:47" s="575" customFormat="1" ht="15.75" customHeight="1">
      <c r="B53" s="622">
        <f t="shared" si="3"/>
        <v>28</v>
      </c>
      <c r="C53" s="623">
        <f t="shared" si="1"/>
        <v>5</v>
      </c>
      <c r="D53" s="624" t="str">
        <f t="shared" si="15"/>
        <v xml:space="preserve">             </v>
      </c>
      <c r="E53" s="646"/>
      <c r="F53" s="647"/>
      <c r="G53" s="648"/>
      <c r="H53" s="647"/>
      <c r="I53" s="648"/>
      <c r="J53" s="647"/>
      <c r="K53" s="648"/>
      <c r="L53" s="647"/>
      <c r="M53" s="648"/>
      <c r="N53" s="648"/>
      <c r="O53" s="648"/>
      <c r="P53" s="648"/>
      <c r="Q53" s="647"/>
      <c r="R53" s="648"/>
      <c r="S53" s="648"/>
      <c r="T53" s="648"/>
      <c r="U53" s="649"/>
      <c r="V53" s="646"/>
      <c r="W53" s="647"/>
      <c r="X53" s="648"/>
      <c r="Y53" s="647"/>
      <c r="Z53" s="631"/>
      <c r="AA53" s="648"/>
      <c r="AB53" s="649">
        <f t="shared" si="4"/>
        <v>0</v>
      </c>
      <c r="AC53" s="633">
        <f t="shared" si="0"/>
        <v>0</v>
      </c>
      <c r="AD53" s="634">
        <f t="shared" si="13"/>
        <v>0</v>
      </c>
      <c r="AE53" s="634">
        <f t="shared" si="5"/>
        <v>0</v>
      </c>
      <c r="AF53" s="634">
        <f t="shared" si="6"/>
        <v>0</v>
      </c>
      <c r="AG53" s="634">
        <f t="shared" si="11"/>
        <v>0</v>
      </c>
      <c r="AH53" s="635">
        <f t="shared" si="8"/>
        <v>0</v>
      </c>
      <c r="AI53" s="633">
        <f t="shared" si="12"/>
        <v>0</v>
      </c>
      <c r="AJ53" s="657"/>
      <c r="AK53" s="658"/>
      <c r="AL53" s="647">
        <f t="shared" si="9"/>
        <v>0</v>
      </c>
      <c r="AM53" s="653"/>
      <c r="AN53" s="654"/>
      <c r="AO53" s="643"/>
      <c r="AP53" s="643"/>
      <c r="AQ53" s="643"/>
      <c r="AR53" s="643"/>
      <c r="AS53" s="627"/>
      <c r="AT53" s="641"/>
      <c r="AU53" s="642">
        <f t="shared" si="10"/>
        <v>28</v>
      </c>
    </row>
    <row r="54" spans="2:47" s="575" customFormat="1" ht="15.75" customHeight="1">
      <c r="B54" s="622">
        <f t="shared" si="3"/>
        <v>29</v>
      </c>
      <c r="C54" s="623">
        <f t="shared" si="1"/>
        <v>6</v>
      </c>
      <c r="D54" s="624" t="str">
        <f t="shared" si="15"/>
        <v xml:space="preserve">             </v>
      </c>
      <c r="E54" s="646"/>
      <c r="F54" s="647"/>
      <c r="G54" s="648"/>
      <c r="H54" s="647"/>
      <c r="I54" s="648"/>
      <c r="J54" s="647"/>
      <c r="K54" s="648"/>
      <c r="L54" s="647"/>
      <c r="M54" s="648"/>
      <c r="N54" s="648"/>
      <c r="O54" s="648"/>
      <c r="P54" s="648"/>
      <c r="Q54" s="647"/>
      <c r="R54" s="648"/>
      <c r="S54" s="648"/>
      <c r="T54" s="648"/>
      <c r="U54" s="649"/>
      <c r="V54" s="646"/>
      <c r="W54" s="647"/>
      <c r="X54" s="648"/>
      <c r="Y54" s="647"/>
      <c r="Z54" s="631"/>
      <c r="AA54" s="648"/>
      <c r="AB54" s="649">
        <f t="shared" si="4"/>
        <v>0</v>
      </c>
      <c r="AC54" s="633">
        <f t="shared" si="0"/>
        <v>0</v>
      </c>
      <c r="AD54" s="634">
        <f t="shared" si="13"/>
        <v>0</v>
      </c>
      <c r="AE54" s="634">
        <f t="shared" si="5"/>
        <v>0</v>
      </c>
      <c r="AF54" s="634">
        <f t="shared" si="6"/>
        <v>0</v>
      </c>
      <c r="AG54" s="634">
        <f t="shared" si="11"/>
        <v>0</v>
      </c>
      <c r="AH54" s="635">
        <f t="shared" si="8"/>
        <v>0</v>
      </c>
      <c r="AI54" s="633">
        <f t="shared" si="12"/>
        <v>0</v>
      </c>
      <c r="AJ54" s="657"/>
      <c r="AK54" s="658"/>
      <c r="AL54" s="647">
        <f t="shared" si="9"/>
        <v>0</v>
      </c>
      <c r="AM54" s="653"/>
      <c r="AN54" s="654"/>
      <c r="AO54" s="643"/>
      <c r="AP54" s="643"/>
      <c r="AQ54" s="643"/>
      <c r="AR54" s="643"/>
      <c r="AS54" s="627"/>
      <c r="AT54" s="641"/>
      <c r="AU54" s="642">
        <f t="shared" si="10"/>
        <v>29</v>
      </c>
    </row>
    <row r="55" spans="2:47" s="575" customFormat="1" ht="15.75" customHeight="1">
      <c r="B55" s="622">
        <f t="shared" si="3"/>
        <v>30</v>
      </c>
      <c r="C55" s="623">
        <f t="shared" si="1"/>
        <v>7</v>
      </c>
      <c r="D55" s="624" t="str">
        <f t="shared" si="15"/>
        <v xml:space="preserve">             </v>
      </c>
      <c r="E55" s="646"/>
      <c r="F55" s="647"/>
      <c r="G55" s="648"/>
      <c r="H55" s="647"/>
      <c r="I55" s="648"/>
      <c r="J55" s="647"/>
      <c r="K55" s="648"/>
      <c r="L55" s="647"/>
      <c r="M55" s="648"/>
      <c r="N55" s="648"/>
      <c r="O55" s="648"/>
      <c r="P55" s="648"/>
      <c r="Q55" s="647"/>
      <c r="R55" s="648"/>
      <c r="S55" s="648"/>
      <c r="T55" s="648"/>
      <c r="U55" s="649">
        <f>IF(B55&lt;=$J$7,$U$16*0.02*3,)</f>
        <v>0</v>
      </c>
      <c r="V55" s="646"/>
      <c r="W55" s="647"/>
      <c r="X55" s="648"/>
      <c r="Y55" s="647"/>
      <c r="Z55" s="631"/>
      <c r="AA55" s="648"/>
      <c r="AB55" s="649">
        <f t="shared" si="4"/>
        <v>0</v>
      </c>
      <c r="AC55" s="633">
        <f t="shared" si="0"/>
        <v>0</v>
      </c>
      <c r="AD55" s="634">
        <f t="shared" si="13"/>
        <v>0</v>
      </c>
      <c r="AE55" s="634">
        <f t="shared" si="5"/>
        <v>0</v>
      </c>
      <c r="AF55" s="634">
        <f t="shared" si="6"/>
        <v>0</v>
      </c>
      <c r="AG55" s="634">
        <f t="shared" si="11"/>
        <v>0</v>
      </c>
      <c r="AH55" s="635">
        <f t="shared" si="8"/>
        <v>0</v>
      </c>
      <c r="AI55" s="633">
        <f t="shared" si="12"/>
        <v>0</v>
      </c>
      <c r="AJ55" s="657"/>
      <c r="AK55" s="658"/>
      <c r="AL55" s="647">
        <f t="shared" si="9"/>
        <v>0</v>
      </c>
      <c r="AM55" s="653"/>
      <c r="AN55" s="654"/>
      <c r="AO55" s="643"/>
      <c r="AP55" s="643"/>
      <c r="AQ55" s="643"/>
      <c r="AR55" s="643"/>
      <c r="AS55" s="627"/>
      <c r="AT55" s="641"/>
      <c r="AU55" s="642">
        <f t="shared" si="10"/>
        <v>30</v>
      </c>
    </row>
    <row r="56" spans="2:47" s="575" customFormat="1" ht="15.75" customHeight="1">
      <c r="B56" s="622">
        <f t="shared" si="3"/>
        <v>31</v>
      </c>
      <c r="C56" s="623">
        <f t="shared" si="1"/>
        <v>8</v>
      </c>
      <c r="D56" s="624" t="str">
        <f t="shared" si="15"/>
        <v xml:space="preserve">             </v>
      </c>
      <c r="E56" s="646"/>
      <c r="F56" s="647"/>
      <c r="G56" s="648"/>
      <c r="H56" s="647"/>
      <c r="I56" s="648"/>
      <c r="J56" s="647"/>
      <c r="K56" s="648"/>
      <c r="L56" s="647"/>
      <c r="M56" s="648"/>
      <c r="N56" s="648"/>
      <c r="O56" s="648"/>
      <c r="P56" s="648"/>
      <c r="Q56" s="647"/>
      <c r="R56" s="648"/>
      <c r="S56" s="648"/>
      <c r="T56" s="648"/>
      <c r="U56" s="649"/>
      <c r="V56" s="646"/>
      <c r="W56" s="647"/>
      <c r="X56" s="648"/>
      <c r="Y56" s="647"/>
      <c r="Z56" s="631"/>
      <c r="AA56" s="648"/>
      <c r="AB56" s="649">
        <f t="shared" si="4"/>
        <v>0</v>
      </c>
      <c r="AC56" s="633">
        <f t="shared" si="0"/>
        <v>0</v>
      </c>
      <c r="AD56" s="634">
        <f t="shared" si="13"/>
        <v>0</v>
      </c>
      <c r="AE56" s="634">
        <f t="shared" si="5"/>
        <v>0</v>
      </c>
      <c r="AF56" s="634">
        <f t="shared" si="6"/>
        <v>0</v>
      </c>
      <c r="AG56" s="634">
        <f t="shared" si="11"/>
        <v>0</v>
      </c>
      <c r="AH56" s="635">
        <f t="shared" si="8"/>
        <v>0</v>
      </c>
      <c r="AI56" s="633">
        <f t="shared" si="12"/>
        <v>0</v>
      </c>
      <c r="AJ56" s="657"/>
      <c r="AK56" s="658"/>
      <c r="AL56" s="647">
        <f t="shared" si="9"/>
        <v>0</v>
      </c>
      <c r="AM56" s="653"/>
      <c r="AN56" s="654"/>
      <c r="AO56" s="643"/>
      <c r="AP56" s="643"/>
      <c r="AQ56" s="643"/>
      <c r="AR56" s="643"/>
      <c r="AS56" s="627"/>
      <c r="AT56" s="641"/>
      <c r="AU56" s="642">
        <f t="shared" si="10"/>
        <v>31</v>
      </c>
    </row>
    <row r="57" spans="2:47" s="575" customFormat="1" ht="15.75" customHeight="1">
      <c r="B57" s="622">
        <f t="shared" si="3"/>
        <v>32</v>
      </c>
      <c r="C57" s="623">
        <f t="shared" si="1"/>
        <v>9</v>
      </c>
      <c r="D57" s="624" t="str">
        <f>IF($C56=12,$D$45+1,"             ")</f>
        <v xml:space="preserve">             </v>
      </c>
      <c r="E57" s="646"/>
      <c r="F57" s="647"/>
      <c r="G57" s="648"/>
      <c r="H57" s="647"/>
      <c r="I57" s="648"/>
      <c r="J57" s="647"/>
      <c r="K57" s="648"/>
      <c r="L57" s="647"/>
      <c r="M57" s="648"/>
      <c r="N57" s="648"/>
      <c r="O57" s="648"/>
      <c r="P57" s="648"/>
      <c r="Q57" s="647"/>
      <c r="R57" s="648"/>
      <c r="S57" s="648"/>
      <c r="T57" s="648"/>
      <c r="U57" s="649"/>
      <c r="V57" s="646"/>
      <c r="W57" s="647"/>
      <c r="X57" s="648"/>
      <c r="Y57" s="647"/>
      <c r="Z57" s="631"/>
      <c r="AA57" s="648"/>
      <c r="AB57" s="649">
        <f t="shared" si="4"/>
        <v>0</v>
      </c>
      <c r="AC57" s="633">
        <f t="shared" si="0"/>
        <v>0</v>
      </c>
      <c r="AD57" s="634">
        <f t="shared" si="13"/>
        <v>0</v>
      </c>
      <c r="AE57" s="634">
        <f t="shared" si="5"/>
        <v>0</v>
      </c>
      <c r="AF57" s="634">
        <f t="shared" si="6"/>
        <v>0</v>
      </c>
      <c r="AG57" s="634">
        <f t="shared" si="11"/>
        <v>0</v>
      </c>
      <c r="AH57" s="635">
        <f t="shared" si="8"/>
        <v>0</v>
      </c>
      <c r="AI57" s="633">
        <f t="shared" si="12"/>
        <v>0</v>
      </c>
      <c r="AJ57" s="657"/>
      <c r="AK57" s="658"/>
      <c r="AL57" s="647">
        <f t="shared" si="9"/>
        <v>0</v>
      </c>
      <c r="AM57" s="653"/>
      <c r="AN57" s="654"/>
      <c r="AO57" s="643"/>
      <c r="AP57" s="643"/>
      <c r="AQ57" s="643"/>
      <c r="AR57" s="643"/>
      <c r="AS57" s="627"/>
      <c r="AT57" s="641"/>
      <c r="AU57" s="642">
        <f t="shared" si="10"/>
        <v>32</v>
      </c>
    </row>
    <row r="58" spans="2:47" s="575" customFormat="1" ht="15.75" customHeight="1">
      <c r="B58" s="622">
        <f t="shared" si="3"/>
        <v>33</v>
      </c>
      <c r="C58" s="623">
        <f t="shared" si="1"/>
        <v>10</v>
      </c>
      <c r="D58" s="624" t="str">
        <f t="shared" si="15"/>
        <v xml:space="preserve">             </v>
      </c>
      <c r="E58" s="646"/>
      <c r="F58" s="647"/>
      <c r="G58" s="648"/>
      <c r="H58" s="647"/>
      <c r="I58" s="648"/>
      <c r="J58" s="647"/>
      <c r="K58" s="648"/>
      <c r="L58" s="647"/>
      <c r="M58" s="648"/>
      <c r="N58" s="648"/>
      <c r="O58" s="648"/>
      <c r="P58" s="648"/>
      <c r="Q58" s="647"/>
      <c r="R58" s="648"/>
      <c r="S58" s="648"/>
      <c r="T58" s="648"/>
      <c r="U58" s="649">
        <f>IF(B58&lt;=$J$7,$U$16*0.02*3,)</f>
        <v>0</v>
      </c>
      <c r="V58" s="646"/>
      <c r="W58" s="647"/>
      <c r="X58" s="648"/>
      <c r="Y58" s="647"/>
      <c r="Z58" s="631"/>
      <c r="AA58" s="648"/>
      <c r="AB58" s="649">
        <f t="shared" si="4"/>
        <v>0</v>
      </c>
      <c r="AC58" s="633">
        <f t="shared" si="0"/>
        <v>0</v>
      </c>
      <c r="AD58" s="634">
        <f t="shared" si="13"/>
        <v>0</v>
      </c>
      <c r="AE58" s="634">
        <f t="shared" si="5"/>
        <v>0</v>
      </c>
      <c r="AF58" s="634">
        <f t="shared" si="6"/>
        <v>0</v>
      </c>
      <c r="AG58" s="634">
        <f t="shared" si="11"/>
        <v>0</v>
      </c>
      <c r="AH58" s="635">
        <f t="shared" si="8"/>
        <v>0</v>
      </c>
      <c r="AI58" s="633">
        <f t="shared" si="12"/>
        <v>0</v>
      </c>
      <c r="AJ58" s="657"/>
      <c r="AK58" s="658"/>
      <c r="AL58" s="647">
        <f t="shared" si="9"/>
        <v>0</v>
      </c>
      <c r="AM58" s="653"/>
      <c r="AN58" s="654"/>
      <c r="AO58" s="643"/>
      <c r="AP58" s="643"/>
      <c r="AQ58" s="643"/>
      <c r="AR58" s="643"/>
      <c r="AS58" s="627"/>
      <c r="AT58" s="641"/>
      <c r="AU58" s="642">
        <f t="shared" si="10"/>
        <v>33</v>
      </c>
    </row>
    <row r="59" spans="2:47" s="575" customFormat="1" ht="15.75" customHeight="1">
      <c r="B59" s="622">
        <f t="shared" si="3"/>
        <v>34</v>
      </c>
      <c r="C59" s="623">
        <f t="shared" si="1"/>
        <v>11</v>
      </c>
      <c r="D59" s="624" t="str">
        <f t="shared" si="15"/>
        <v xml:space="preserve">             </v>
      </c>
      <c r="E59" s="646"/>
      <c r="F59" s="647"/>
      <c r="G59" s="648"/>
      <c r="H59" s="647"/>
      <c r="I59" s="648"/>
      <c r="J59" s="647"/>
      <c r="K59" s="648"/>
      <c r="L59" s="647"/>
      <c r="M59" s="648"/>
      <c r="N59" s="648"/>
      <c r="O59" s="648"/>
      <c r="P59" s="648"/>
      <c r="Q59" s="647"/>
      <c r="R59" s="648"/>
      <c r="S59" s="648"/>
      <c r="T59" s="648"/>
      <c r="U59" s="649"/>
      <c r="V59" s="646"/>
      <c r="W59" s="647"/>
      <c r="X59" s="648"/>
      <c r="Y59" s="647"/>
      <c r="Z59" s="631"/>
      <c r="AA59" s="648"/>
      <c r="AB59" s="649">
        <f t="shared" si="4"/>
        <v>0</v>
      </c>
      <c r="AC59" s="633">
        <f t="shared" si="0"/>
        <v>0</v>
      </c>
      <c r="AD59" s="634">
        <f t="shared" si="13"/>
        <v>0</v>
      </c>
      <c r="AE59" s="634">
        <f t="shared" si="5"/>
        <v>0</v>
      </c>
      <c r="AF59" s="634">
        <f t="shared" si="6"/>
        <v>0</v>
      </c>
      <c r="AG59" s="634">
        <f t="shared" si="11"/>
        <v>0</v>
      </c>
      <c r="AH59" s="635">
        <f t="shared" si="8"/>
        <v>0</v>
      </c>
      <c r="AI59" s="633">
        <f t="shared" si="12"/>
        <v>0</v>
      </c>
      <c r="AJ59" s="657"/>
      <c r="AK59" s="658"/>
      <c r="AL59" s="647">
        <f t="shared" si="9"/>
        <v>0</v>
      </c>
      <c r="AM59" s="653"/>
      <c r="AN59" s="654"/>
      <c r="AO59" s="643"/>
      <c r="AP59" s="643"/>
      <c r="AQ59" s="643"/>
      <c r="AR59" s="643"/>
      <c r="AS59" s="627"/>
      <c r="AT59" s="641"/>
      <c r="AU59" s="642">
        <f t="shared" si="10"/>
        <v>34</v>
      </c>
    </row>
    <row r="60" spans="2:47" s="575" customFormat="1" ht="15.75" customHeight="1">
      <c r="B60" s="622">
        <f t="shared" si="3"/>
        <v>35</v>
      </c>
      <c r="C60" s="623">
        <f t="shared" si="1"/>
        <v>12</v>
      </c>
      <c r="D60" s="624" t="str">
        <f t="shared" si="15"/>
        <v xml:space="preserve">             </v>
      </c>
      <c r="E60" s="646"/>
      <c r="F60" s="647"/>
      <c r="G60" s="648"/>
      <c r="H60" s="647"/>
      <c r="I60" s="648"/>
      <c r="J60" s="647"/>
      <c r="K60" s="648"/>
      <c r="L60" s="647"/>
      <c r="M60" s="648"/>
      <c r="N60" s="648"/>
      <c r="O60" s="648"/>
      <c r="P60" s="648"/>
      <c r="Q60" s="647"/>
      <c r="R60" s="648"/>
      <c r="S60" s="648"/>
      <c r="T60" s="648"/>
      <c r="U60" s="649"/>
      <c r="V60" s="646"/>
      <c r="W60" s="647"/>
      <c r="X60" s="648"/>
      <c r="Y60" s="647"/>
      <c r="Z60" s="631"/>
      <c r="AA60" s="648"/>
      <c r="AB60" s="649">
        <f t="shared" si="4"/>
        <v>0</v>
      </c>
      <c r="AC60" s="633">
        <f>U60+AB60</f>
        <v>0</v>
      </c>
      <c r="AD60" s="634">
        <f t="shared" si="13"/>
        <v>0</v>
      </c>
      <c r="AE60" s="634">
        <f t="shared" si="5"/>
        <v>0</v>
      </c>
      <c r="AF60" s="634">
        <f t="shared" si="6"/>
        <v>0</v>
      </c>
      <c r="AG60" s="634">
        <f t="shared" si="11"/>
        <v>0</v>
      </c>
      <c r="AH60" s="635">
        <f t="shared" si="8"/>
        <v>0</v>
      </c>
      <c r="AI60" s="633">
        <f>IF(AU60&lt;=$J$7,AI59,0)</f>
        <v>0</v>
      </c>
      <c r="AJ60" s="657"/>
      <c r="AK60" s="658"/>
      <c r="AL60" s="647">
        <f t="shared" si="9"/>
        <v>0</v>
      </c>
      <c r="AM60" s="653"/>
      <c r="AN60" s="654"/>
      <c r="AO60" s="643"/>
      <c r="AP60" s="643"/>
      <c r="AQ60" s="643"/>
      <c r="AR60" s="643"/>
      <c r="AS60" s="627"/>
      <c r="AT60" s="641"/>
      <c r="AU60" s="642">
        <f t="shared" si="10"/>
        <v>35</v>
      </c>
    </row>
    <row r="61" spans="2:47" s="575" customFormat="1" ht="15.75" customHeight="1">
      <c r="B61" s="622">
        <f t="shared" si="3"/>
        <v>36</v>
      </c>
      <c r="C61" s="623">
        <f t="shared" si="1"/>
        <v>1</v>
      </c>
      <c r="D61" s="624">
        <f t="shared" si="15"/>
        <v>2021</v>
      </c>
      <c r="E61" s="646"/>
      <c r="F61" s="647"/>
      <c r="G61" s="648"/>
      <c r="H61" s="647"/>
      <c r="I61" s="648"/>
      <c r="J61" s="647"/>
      <c r="K61" s="648"/>
      <c r="L61" s="647"/>
      <c r="M61" s="656"/>
      <c r="N61" s="648"/>
      <c r="O61" s="648"/>
      <c r="P61" s="648"/>
      <c r="Q61" s="647"/>
      <c r="R61" s="648"/>
      <c r="S61" s="648"/>
      <c r="T61" s="648"/>
      <c r="U61" s="649">
        <f>IF(B61&lt;=$J$7,$U$16*0.02*3,)</f>
        <v>0</v>
      </c>
      <c r="V61" s="646"/>
      <c r="W61" s="647"/>
      <c r="X61" s="648"/>
      <c r="Y61" s="647"/>
      <c r="Z61" s="631"/>
      <c r="AA61" s="648"/>
      <c r="AB61" s="649">
        <f t="shared" si="4"/>
        <v>0</v>
      </c>
      <c r="AC61" s="633">
        <f t="shared" si="0"/>
        <v>0</v>
      </c>
      <c r="AD61" s="634">
        <f t="shared" si="13"/>
        <v>0</v>
      </c>
      <c r="AE61" s="634">
        <f t="shared" si="5"/>
        <v>0</v>
      </c>
      <c r="AF61" s="634">
        <f t="shared" si="6"/>
        <v>0</v>
      </c>
      <c r="AG61" s="634">
        <f t="shared" si="11"/>
        <v>0</v>
      </c>
      <c r="AH61" s="635">
        <f t="shared" si="8"/>
        <v>0</v>
      </c>
      <c r="AI61" s="633">
        <f t="shared" si="12"/>
        <v>0</v>
      </c>
      <c r="AJ61" s="657"/>
      <c r="AK61" s="658"/>
      <c r="AL61" s="647">
        <f t="shared" si="9"/>
        <v>0</v>
      </c>
      <c r="AM61" s="653"/>
      <c r="AN61" s="654"/>
      <c r="AO61" s="643"/>
      <c r="AP61" s="643"/>
      <c r="AQ61" s="643"/>
      <c r="AR61" s="643"/>
      <c r="AS61" s="627"/>
      <c r="AT61" s="641"/>
      <c r="AU61" s="642">
        <f t="shared" si="10"/>
        <v>36</v>
      </c>
    </row>
    <row r="62" spans="2:47" s="575" customFormat="1" ht="15.75" customHeight="1">
      <c r="B62" s="622">
        <f t="shared" si="3"/>
        <v>37</v>
      </c>
      <c r="C62" s="623">
        <f t="shared" si="1"/>
        <v>2</v>
      </c>
      <c r="D62" s="624" t="str">
        <f>IF($C61=12,$D$61+1,"             ")</f>
        <v xml:space="preserve">             </v>
      </c>
      <c r="E62" s="646"/>
      <c r="F62" s="647"/>
      <c r="G62" s="648"/>
      <c r="H62" s="647"/>
      <c r="I62" s="648"/>
      <c r="J62" s="647"/>
      <c r="K62" s="648"/>
      <c r="L62" s="647"/>
      <c r="M62" s="648"/>
      <c r="N62" s="648"/>
      <c r="O62" s="648"/>
      <c r="P62" s="648"/>
      <c r="Q62" s="647"/>
      <c r="R62" s="648"/>
      <c r="S62" s="648"/>
      <c r="T62" s="648"/>
      <c r="U62" s="649"/>
      <c r="V62" s="646"/>
      <c r="W62" s="647"/>
      <c r="X62" s="648"/>
      <c r="Y62" s="647"/>
      <c r="Z62" s="631"/>
      <c r="AA62" s="648"/>
      <c r="AB62" s="649">
        <f t="shared" si="4"/>
        <v>0</v>
      </c>
      <c r="AC62" s="633">
        <f>U62+AB62</f>
        <v>0</v>
      </c>
      <c r="AD62" s="634">
        <f t="shared" si="13"/>
        <v>0</v>
      </c>
      <c r="AE62" s="634">
        <f t="shared" si="5"/>
        <v>0</v>
      </c>
      <c r="AF62" s="634">
        <f t="shared" si="6"/>
        <v>0</v>
      </c>
      <c r="AG62" s="634">
        <f t="shared" si="11"/>
        <v>0</v>
      </c>
      <c r="AH62" s="635">
        <f t="shared" si="8"/>
        <v>0</v>
      </c>
      <c r="AI62" s="633">
        <f t="shared" si="12"/>
        <v>0</v>
      </c>
      <c r="AJ62" s="657"/>
      <c r="AK62" s="658"/>
      <c r="AL62" s="647">
        <f t="shared" si="9"/>
        <v>0</v>
      </c>
      <c r="AM62" s="653"/>
      <c r="AN62" s="654"/>
      <c r="AO62" s="643"/>
      <c r="AP62" s="643"/>
      <c r="AQ62" s="643"/>
      <c r="AR62" s="643"/>
      <c r="AS62" s="627"/>
      <c r="AT62" s="641"/>
      <c r="AU62" s="642">
        <f t="shared" si="10"/>
        <v>37</v>
      </c>
    </row>
    <row r="63" spans="2:47" s="575" customFormat="1" ht="15.75" customHeight="1">
      <c r="B63" s="622">
        <f t="shared" si="3"/>
        <v>38</v>
      </c>
      <c r="C63" s="623">
        <f t="shared" si="1"/>
        <v>3</v>
      </c>
      <c r="D63" s="624" t="str">
        <f t="shared" ref="D63:D73" si="16">IF($C62=12,$D$61+1,"             ")</f>
        <v xml:space="preserve">             </v>
      </c>
      <c r="E63" s="646"/>
      <c r="F63" s="647"/>
      <c r="G63" s="648"/>
      <c r="H63" s="647"/>
      <c r="I63" s="648"/>
      <c r="J63" s="647"/>
      <c r="K63" s="648"/>
      <c r="L63" s="647"/>
      <c r="M63" s="648"/>
      <c r="N63" s="648"/>
      <c r="O63" s="648"/>
      <c r="P63" s="648"/>
      <c r="Q63" s="647"/>
      <c r="R63" s="648"/>
      <c r="S63" s="648"/>
      <c r="T63" s="648"/>
      <c r="U63" s="649"/>
      <c r="V63" s="646"/>
      <c r="W63" s="647"/>
      <c r="X63" s="648"/>
      <c r="Y63" s="647"/>
      <c r="Z63" s="631"/>
      <c r="AA63" s="648"/>
      <c r="AB63" s="649">
        <f t="shared" si="4"/>
        <v>0</v>
      </c>
      <c r="AC63" s="633">
        <f t="shared" si="0"/>
        <v>0</v>
      </c>
      <c r="AD63" s="634">
        <f t="shared" si="13"/>
        <v>0</v>
      </c>
      <c r="AE63" s="634">
        <f t="shared" si="5"/>
        <v>0</v>
      </c>
      <c r="AF63" s="634">
        <f t="shared" si="6"/>
        <v>0</v>
      </c>
      <c r="AG63" s="634">
        <f t="shared" si="11"/>
        <v>0</v>
      </c>
      <c r="AH63" s="635">
        <f t="shared" si="8"/>
        <v>0</v>
      </c>
      <c r="AI63" s="633">
        <f t="shared" si="12"/>
        <v>0</v>
      </c>
      <c r="AJ63" s="657"/>
      <c r="AK63" s="658"/>
      <c r="AL63" s="647">
        <f t="shared" si="9"/>
        <v>0</v>
      </c>
      <c r="AM63" s="653"/>
      <c r="AN63" s="654"/>
      <c r="AO63" s="643"/>
      <c r="AP63" s="643"/>
      <c r="AQ63" s="643"/>
      <c r="AR63" s="643"/>
      <c r="AS63" s="627"/>
      <c r="AT63" s="641"/>
      <c r="AU63" s="642">
        <f t="shared" si="10"/>
        <v>38</v>
      </c>
    </row>
    <row r="64" spans="2:47" s="575" customFormat="1" ht="15.75" customHeight="1">
      <c r="B64" s="622">
        <f t="shared" si="3"/>
        <v>39</v>
      </c>
      <c r="C64" s="623">
        <f t="shared" si="1"/>
        <v>4</v>
      </c>
      <c r="D64" s="624" t="str">
        <f t="shared" si="16"/>
        <v xml:space="preserve">             </v>
      </c>
      <c r="E64" s="646"/>
      <c r="F64" s="647"/>
      <c r="G64" s="648"/>
      <c r="H64" s="647"/>
      <c r="I64" s="648"/>
      <c r="J64" s="647"/>
      <c r="K64" s="648"/>
      <c r="L64" s="647"/>
      <c r="M64" s="648"/>
      <c r="N64" s="648"/>
      <c r="O64" s="648"/>
      <c r="P64" s="648"/>
      <c r="Q64" s="647"/>
      <c r="R64" s="648"/>
      <c r="S64" s="648"/>
      <c r="T64" s="648"/>
      <c r="U64" s="649">
        <f>IF(B64&lt;=$J$7,$U$16*0.02*3,)</f>
        <v>0</v>
      </c>
      <c r="V64" s="646"/>
      <c r="W64" s="647"/>
      <c r="X64" s="648"/>
      <c r="Y64" s="647"/>
      <c r="Z64" s="631"/>
      <c r="AA64" s="648"/>
      <c r="AB64" s="649">
        <f t="shared" si="4"/>
        <v>0</v>
      </c>
      <c r="AC64" s="633">
        <f t="shared" si="0"/>
        <v>0</v>
      </c>
      <c r="AD64" s="634">
        <f t="shared" si="13"/>
        <v>0</v>
      </c>
      <c r="AE64" s="634">
        <f t="shared" si="5"/>
        <v>0</v>
      </c>
      <c r="AF64" s="634">
        <f t="shared" si="6"/>
        <v>0</v>
      </c>
      <c r="AG64" s="634">
        <f t="shared" si="11"/>
        <v>0</v>
      </c>
      <c r="AH64" s="635">
        <f t="shared" si="8"/>
        <v>0</v>
      </c>
      <c r="AI64" s="633">
        <f t="shared" si="12"/>
        <v>0</v>
      </c>
      <c r="AJ64" s="657"/>
      <c r="AK64" s="658"/>
      <c r="AL64" s="647">
        <f t="shared" si="9"/>
        <v>0</v>
      </c>
      <c r="AM64" s="653"/>
      <c r="AN64" s="654"/>
      <c r="AO64" s="643"/>
      <c r="AP64" s="643"/>
      <c r="AQ64" s="643"/>
      <c r="AR64" s="643"/>
      <c r="AS64" s="627"/>
      <c r="AT64" s="641"/>
      <c r="AU64" s="642">
        <f t="shared" si="10"/>
        <v>39</v>
      </c>
    </row>
    <row r="65" spans="2:47" s="575" customFormat="1" ht="15.75" customHeight="1">
      <c r="B65" s="622">
        <f t="shared" si="3"/>
        <v>40</v>
      </c>
      <c r="C65" s="623">
        <f t="shared" si="1"/>
        <v>5</v>
      </c>
      <c r="D65" s="624" t="str">
        <f t="shared" si="16"/>
        <v xml:space="preserve">             </v>
      </c>
      <c r="E65" s="646"/>
      <c r="F65" s="647"/>
      <c r="G65" s="648"/>
      <c r="H65" s="647"/>
      <c r="I65" s="648"/>
      <c r="J65" s="647"/>
      <c r="K65" s="648"/>
      <c r="L65" s="647"/>
      <c r="M65" s="648"/>
      <c r="N65" s="648"/>
      <c r="O65" s="648"/>
      <c r="P65" s="648"/>
      <c r="Q65" s="647"/>
      <c r="R65" s="648"/>
      <c r="S65" s="648"/>
      <c r="T65" s="648"/>
      <c r="U65" s="649"/>
      <c r="V65" s="646"/>
      <c r="W65" s="647"/>
      <c r="X65" s="648"/>
      <c r="Y65" s="647"/>
      <c r="Z65" s="631"/>
      <c r="AA65" s="648"/>
      <c r="AB65" s="649">
        <f t="shared" si="4"/>
        <v>0</v>
      </c>
      <c r="AC65" s="633">
        <f t="shared" si="0"/>
        <v>0</v>
      </c>
      <c r="AD65" s="634">
        <f t="shared" si="13"/>
        <v>0</v>
      </c>
      <c r="AE65" s="634">
        <f t="shared" si="5"/>
        <v>0</v>
      </c>
      <c r="AF65" s="634">
        <f t="shared" si="6"/>
        <v>0</v>
      </c>
      <c r="AG65" s="634">
        <f t="shared" si="11"/>
        <v>0</v>
      </c>
      <c r="AH65" s="635">
        <f t="shared" si="8"/>
        <v>0</v>
      </c>
      <c r="AI65" s="633">
        <f t="shared" si="12"/>
        <v>0</v>
      </c>
      <c r="AJ65" s="657"/>
      <c r="AK65" s="658"/>
      <c r="AL65" s="647">
        <f t="shared" si="9"/>
        <v>0</v>
      </c>
      <c r="AM65" s="653"/>
      <c r="AN65" s="654"/>
      <c r="AO65" s="643"/>
      <c r="AP65" s="643"/>
      <c r="AQ65" s="643"/>
      <c r="AR65" s="643"/>
      <c r="AS65" s="627"/>
      <c r="AT65" s="641"/>
      <c r="AU65" s="642">
        <f t="shared" si="10"/>
        <v>40</v>
      </c>
    </row>
    <row r="66" spans="2:47" s="575" customFormat="1" ht="15.75" customHeight="1">
      <c r="B66" s="622">
        <f t="shared" si="3"/>
        <v>41</v>
      </c>
      <c r="C66" s="623">
        <f t="shared" si="1"/>
        <v>6</v>
      </c>
      <c r="D66" s="624" t="str">
        <f t="shared" si="16"/>
        <v xml:space="preserve">             </v>
      </c>
      <c r="E66" s="646"/>
      <c r="F66" s="647"/>
      <c r="G66" s="648"/>
      <c r="H66" s="647"/>
      <c r="I66" s="648"/>
      <c r="J66" s="647"/>
      <c r="K66" s="648"/>
      <c r="L66" s="647"/>
      <c r="M66" s="648"/>
      <c r="N66" s="648"/>
      <c r="O66" s="648"/>
      <c r="P66" s="648"/>
      <c r="Q66" s="647"/>
      <c r="R66" s="648"/>
      <c r="S66" s="648"/>
      <c r="T66" s="648"/>
      <c r="U66" s="649"/>
      <c r="V66" s="646"/>
      <c r="W66" s="647"/>
      <c r="X66" s="648"/>
      <c r="Y66" s="647"/>
      <c r="Z66" s="631"/>
      <c r="AA66" s="648"/>
      <c r="AB66" s="649">
        <f t="shared" si="4"/>
        <v>0</v>
      </c>
      <c r="AC66" s="633">
        <f t="shared" si="0"/>
        <v>0</v>
      </c>
      <c r="AD66" s="634">
        <f t="shared" si="13"/>
        <v>0</v>
      </c>
      <c r="AE66" s="634">
        <f t="shared" si="5"/>
        <v>0</v>
      </c>
      <c r="AF66" s="634">
        <f t="shared" si="6"/>
        <v>0</v>
      </c>
      <c r="AG66" s="634">
        <f t="shared" si="11"/>
        <v>0</v>
      </c>
      <c r="AH66" s="635">
        <f t="shared" si="8"/>
        <v>0</v>
      </c>
      <c r="AI66" s="633">
        <f t="shared" si="12"/>
        <v>0</v>
      </c>
      <c r="AJ66" s="657"/>
      <c r="AK66" s="658"/>
      <c r="AL66" s="647">
        <f t="shared" si="9"/>
        <v>0</v>
      </c>
      <c r="AM66" s="653"/>
      <c r="AN66" s="654"/>
      <c r="AO66" s="643"/>
      <c r="AP66" s="643"/>
      <c r="AQ66" s="643"/>
      <c r="AR66" s="643"/>
      <c r="AS66" s="627"/>
      <c r="AT66" s="641"/>
      <c r="AU66" s="642">
        <f t="shared" si="10"/>
        <v>41</v>
      </c>
    </row>
    <row r="67" spans="2:47" s="575" customFormat="1" ht="15.75" customHeight="1">
      <c r="B67" s="622">
        <f t="shared" si="3"/>
        <v>42</v>
      </c>
      <c r="C67" s="623">
        <f t="shared" si="1"/>
        <v>7</v>
      </c>
      <c r="D67" s="624" t="str">
        <f t="shared" si="16"/>
        <v xml:space="preserve">             </v>
      </c>
      <c r="E67" s="646"/>
      <c r="F67" s="647"/>
      <c r="G67" s="648"/>
      <c r="H67" s="647"/>
      <c r="I67" s="648"/>
      <c r="J67" s="647"/>
      <c r="K67" s="648"/>
      <c r="L67" s="647"/>
      <c r="M67" s="648"/>
      <c r="N67" s="648"/>
      <c r="O67" s="648"/>
      <c r="P67" s="648"/>
      <c r="Q67" s="647"/>
      <c r="R67" s="648"/>
      <c r="S67" s="648"/>
      <c r="T67" s="648"/>
      <c r="U67" s="649">
        <f>IF(B67&lt;=$J$7,$U$16*0.02*3,)</f>
        <v>0</v>
      </c>
      <c r="V67" s="646"/>
      <c r="W67" s="647"/>
      <c r="X67" s="648"/>
      <c r="Y67" s="647"/>
      <c r="Z67" s="631"/>
      <c r="AA67" s="648"/>
      <c r="AB67" s="649">
        <f t="shared" si="4"/>
        <v>0</v>
      </c>
      <c r="AC67" s="633">
        <f t="shared" si="0"/>
        <v>0</v>
      </c>
      <c r="AD67" s="634">
        <f t="shared" si="13"/>
        <v>0</v>
      </c>
      <c r="AE67" s="634">
        <f t="shared" si="5"/>
        <v>0</v>
      </c>
      <c r="AF67" s="634">
        <f t="shared" si="6"/>
        <v>0</v>
      </c>
      <c r="AG67" s="634">
        <f t="shared" si="11"/>
        <v>0</v>
      </c>
      <c r="AH67" s="635">
        <f t="shared" si="8"/>
        <v>0</v>
      </c>
      <c r="AI67" s="633">
        <f t="shared" si="12"/>
        <v>0</v>
      </c>
      <c r="AJ67" s="657"/>
      <c r="AK67" s="658"/>
      <c r="AL67" s="647">
        <f t="shared" si="9"/>
        <v>0</v>
      </c>
      <c r="AM67" s="653"/>
      <c r="AN67" s="654"/>
      <c r="AO67" s="643"/>
      <c r="AP67" s="643"/>
      <c r="AQ67" s="643"/>
      <c r="AR67" s="643"/>
      <c r="AS67" s="627"/>
      <c r="AT67" s="641"/>
      <c r="AU67" s="642">
        <f t="shared" si="10"/>
        <v>42</v>
      </c>
    </row>
    <row r="68" spans="2:47" s="575" customFormat="1" ht="15.75" customHeight="1">
      <c r="B68" s="622">
        <f t="shared" si="3"/>
        <v>43</v>
      </c>
      <c r="C68" s="623">
        <f t="shared" si="1"/>
        <v>8</v>
      </c>
      <c r="D68" s="624" t="str">
        <f t="shared" si="16"/>
        <v xml:space="preserve">             </v>
      </c>
      <c r="E68" s="646"/>
      <c r="F68" s="647"/>
      <c r="G68" s="648"/>
      <c r="H68" s="647"/>
      <c r="I68" s="648"/>
      <c r="J68" s="647"/>
      <c r="K68" s="648"/>
      <c r="L68" s="647"/>
      <c r="M68" s="648"/>
      <c r="N68" s="648"/>
      <c r="O68" s="648"/>
      <c r="P68" s="648"/>
      <c r="Q68" s="647"/>
      <c r="R68" s="648"/>
      <c r="S68" s="648"/>
      <c r="T68" s="648"/>
      <c r="U68" s="649"/>
      <c r="V68" s="646"/>
      <c r="W68" s="647"/>
      <c r="X68" s="648"/>
      <c r="Y68" s="647"/>
      <c r="Z68" s="631"/>
      <c r="AA68" s="648"/>
      <c r="AB68" s="649">
        <f t="shared" si="4"/>
        <v>0</v>
      </c>
      <c r="AC68" s="633">
        <f t="shared" si="0"/>
        <v>0</v>
      </c>
      <c r="AD68" s="634">
        <f t="shared" si="13"/>
        <v>0</v>
      </c>
      <c r="AE68" s="634">
        <f t="shared" si="5"/>
        <v>0</v>
      </c>
      <c r="AF68" s="634">
        <f t="shared" si="6"/>
        <v>0</v>
      </c>
      <c r="AG68" s="634">
        <f t="shared" si="11"/>
        <v>0</v>
      </c>
      <c r="AH68" s="635">
        <f t="shared" si="8"/>
        <v>0</v>
      </c>
      <c r="AI68" s="633">
        <f t="shared" si="12"/>
        <v>0</v>
      </c>
      <c r="AJ68" s="657"/>
      <c r="AK68" s="658"/>
      <c r="AL68" s="647">
        <f t="shared" si="9"/>
        <v>0</v>
      </c>
      <c r="AM68" s="653"/>
      <c r="AN68" s="654"/>
      <c r="AO68" s="643"/>
      <c r="AP68" s="643"/>
      <c r="AQ68" s="643"/>
      <c r="AR68" s="643"/>
      <c r="AS68" s="627"/>
      <c r="AT68" s="641"/>
      <c r="AU68" s="642">
        <f t="shared" si="10"/>
        <v>43</v>
      </c>
    </row>
    <row r="69" spans="2:47" s="575" customFormat="1" ht="15.75" customHeight="1">
      <c r="B69" s="622">
        <f t="shared" si="3"/>
        <v>44</v>
      </c>
      <c r="C69" s="623">
        <f t="shared" si="1"/>
        <v>9</v>
      </c>
      <c r="D69" s="624" t="str">
        <f>IF($C68=12,$D$57+1,"             ")</f>
        <v xml:space="preserve">             </v>
      </c>
      <c r="E69" s="646"/>
      <c r="F69" s="647"/>
      <c r="G69" s="648"/>
      <c r="H69" s="647"/>
      <c r="I69" s="648"/>
      <c r="J69" s="647"/>
      <c r="K69" s="648"/>
      <c r="L69" s="647"/>
      <c r="M69" s="648"/>
      <c r="N69" s="648"/>
      <c r="O69" s="648"/>
      <c r="P69" s="648"/>
      <c r="Q69" s="647"/>
      <c r="R69" s="648"/>
      <c r="S69" s="648"/>
      <c r="T69" s="648"/>
      <c r="U69" s="649"/>
      <c r="V69" s="646"/>
      <c r="W69" s="647"/>
      <c r="X69" s="648"/>
      <c r="Y69" s="647"/>
      <c r="Z69" s="631"/>
      <c r="AA69" s="648"/>
      <c r="AB69" s="649">
        <f t="shared" si="4"/>
        <v>0</v>
      </c>
      <c r="AC69" s="633">
        <f t="shared" si="0"/>
        <v>0</v>
      </c>
      <c r="AD69" s="634">
        <f t="shared" si="13"/>
        <v>0</v>
      </c>
      <c r="AE69" s="634">
        <f t="shared" si="5"/>
        <v>0</v>
      </c>
      <c r="AF69" s="634">
        <f t="shared" si="6"/>
        <v>0</v>
      </c>
      <c r="AG69" s="634">
        <f t="shared" si="11"/>
        <v>0</v>
      </c>
      <c r="AH69" s="635">
        <f t="shared" si="8"/>
        <v>0</v>
      </c>
      <c r="AI69" s="633">
        <f t="shared" si="12"/>
        <v>0</v>
      </c>
      <c r="AJ69" s="657"/>
      <c r="AK69" s="658"/>
      <c r="AL69" s="647">
        <f t="shared" si="9"/>
        <v>0</v>
      </c>
      <c r="AM69" s="653"/>
      <c r="AN69" s="654"/>
      <c r="AO69" s="643"/>
      <c r="AP69" s="643"/>
      <c r="AQ69" s="643"/>
      <c r="AR69" s="643"/>
      <c r="AS69" s="627"/>
      <c r="AT69" s="641"/>
      <c r="AU69" s="642">
        <f t="shared" si="10"/>
        <v>44</v>
      </c>
    </row>
    <row r="70" spans="2:47" s="575" customFormat="1" ht="15.75" customHeight="1">
      <c r="B70" s="622">
        <f t="shared" si="3"/>
        <v>45</v>
      </c>
      <c r="C70" s="623">
        <f t="shared" si="1"/>
        <v>10</v>
      </c>
      <c r="D70" s="624" t="str">
        <f t="shared" si="16"/>
        <v xml:space="preserve">             </v>
      </c>
      <c r="E70" s="646"/>
      <c r="F70" s="647"/>
      <c r="G70" s="648"/>
      <c r="H70" s="647"/>
      <c r="I70" s="648"/>
      <c r="J70" s="647"/>
      <c r="K70" s="648"/>
      <c r="L70" s="647"/>
      <c r="M70" s="648"/>
      <c r="N70" s="648"/>
      <c r="O70" s="648"/>
      <c r="P70" s="648"/>
      <c r="Q70" s="647"/>
      <c r="R70" s="648"/>
      <c r="S70" s="648"/>
      <c r="T70" s="648"/>
      <c r="U70" s="649">
        <f>IF(B70&lt;=$J$7,$U$16*0.02*3,)</f>
        <v>0</v>
      </c>
      <c r="V70" s="646"/>
      <c r="W70" s="647"/>
      <c r="X70" s="648"/>
      <c r="Y70" s="647"/>
      <c r="Z70" s="631"/>
      <c r="AA70" s="648"/>
      <c r="AB70" s="649">
        <f t="shared" si="4"/>
        <v>0</v>
      </c>
      <c r="AC70" s="633">
        <f t="shared" si="0"/>
        <v>0</v>
      </c>
      <c r="AD70" s="634">
        <f t="shared" si="13"/>
        <v>0</v>
      </c>
      <c r="AE70" s="634">
        <f t="shared" si="5"/>
        <v>0</v>
      </c>
      <c r="AF70" s="634">
        <f t="shared" si="6"/>
        <v>0</v>
      </c>
      <c r="AG70" s="634">
        <f t="shared" si="11"/>
        <v>0</v>
      </c>
      <c r="AH70" s="635">
        <f t="shared" si="8"/>
        <v>0</v>
      </c>
      <c r="AI70" s="633">
        <f t="shared" si="12"/>
        <v>0</v>
      </c>
      <c r="AJ70" s="657"/>
      <c r="AK70" s="658"/>
      <c r="AL70" s="647">
        <f t="shared" si="9"/>
        <v>0</v>
      </c>
      <c r="AM70" s="653"/>
      <c r="AN70" s="654"/>
      <c r="AO70" s="643"/>
      <c r="AP70" s="643"/>
      <c r="AQ70" s="643"/>
      <c r="AR70" s="643"/>
      <c r="AS70" s="627"/>
      <c r="AT70" s="641"/>
      <c r="AU70" s="642">
        <f t="shared" si="10"/>
        <v>45</v>
      </c>
    </row>
    <row r="71" spans="2:47" s="575" customFormat="1" ht="15.75" customHeight="1">
      <c r="B71" s="622">
        <f t="shared" si="3"/>
        <v>46</v>
      </c>
      <c r="C71" s="623">
        <f t="shared" si="1"/>
        <v>11</v>
      </c>
      <c r="D71" s="624" t="str">
        <f t="shared" si="16"/>
        <v xml:space="preserve">             </v>
      </c>
      <c r="E71" s="646"/>
      <c r="F71" s="647"/>
      <c r="G71" s="648"/>
      <c r="H71" s="647"/>
      <c r="I71" s="648"/>
      <c r="J71" s="647"/>
      <c r="K71" s="648"/>
      <c r="L71" s="647"/>
      <c r="M71" s="648"/>
      <c r="N71" s="648"/>
      <c r="O71" s="648"/>
      <c r="P71" s="648"/>
      <c r="Q71" s="647"/>
      <c r="R71" s="648"/>
      <c r="S71" s="648"/>
      <c r="T71" s="648"/>
      <c r="U71" s="649"/>
      <c r="V71" s="646"/>
      <c r="W71" s="647"/>
      <c r="X71" s="648"/>
      <c r="Y71" s="647"/>
      <c r="Z71" s="631"/>
      <c r="AA71" s="648"/>
      <c r="AB71" s="649">
        <f t="shared" si="4"/>
        <v>0</v>
      </c>
      <c r="AC71" s="633">
        <f t="shared" si="0"/>
        <v>0</v>
      </c>
      <c r="AD71" s="634">
        <f t="shared" si="13"/>
        <v>0</v>
      </c>
      <c r="AE71" s="634">
        <f t="shared" si="5"/>
        <v>0</v>
      </c>
      <c r="AF71" s="634">
        <f t="shared" si="6"/>
        <v>0</v>
      </c>
      <c r="AG71" s="634">
        <f t="shared" si="11"/>
        <v>0</v>
      </c>
      <c r="AH71" s="635">
        <f t="shared" si="8"/>
        <v>0</v>
      </c>
      <c r="AI71" s="633">
        <f t="shared" si="12"/>
        <v>0</v>
      </c>
      <c r="AJ71" s="657"/>
      <c r="AK71" s="658"/>
      <c r="AL71" s="647">
        <f t="shared" si="9"/>
        <v>0</v>
      </c>
      <c r="AM71" s="653"/>
      <c r="AN71" s="654"/>
      <c r="AO71" s="643"/>
      <c r="AP71" s="643"/>
      <c r="AQ71" s="643"/>
      <c r="AR71" s="643"/>
      <c r="AS71" s="627"/>
      <c r="AT71" s="641"/>
      <c r="AU71" s="642">
        <f t="shared" si="10"/>
        <v>46</v>
      </c>
    </row>
    <row r="72" spans="2:47" s="575" customFormat="1" ht="15.75" customHeight="1">
      <c r="B72" s="622">
        <f t="shared" si="3"/>
        <v>47</v>
      </c>
      <c r="C72" s="623">
        <f t="shared" si="1"/>
        <v>12</v>
      </c>
      <c r="D72" s="624" t="str">
        <f t="shared" si="16"/>
        <v xml:space="preserve">             </v>
      </c>
      <c r="E72" s="646"/>
      <c r="F72" s="647"/>
      <c r="G72" s="648"/>
      <c r="H72" s="647"/>
      <c r="I72" s="648"/>
      <c r="J72" s="647"/>
      <c r="K72" s="648"/>
      <c r="L72" s="647"/>
      <c r="M72" s="648"/>
      <c r="N72" s="648"/>
      <c r="O72" s="648"/>
      <c r="P72" s="648"/>
      <c r="Q72" s="647"/>
      <c r="R72" s="648"/>
      <c r="S72" s="648"/>
      <c r="T72" s="648"/>
      <c r="U72" s="649"/>
      <c r="V72" s="646"/>
      <c r="W72" s="647"/>
      <c r="X72" s="648"/>
      <c r="Y72" s="647"/>
      <c r="Z72" s="631"/>
      <c r="AA72" s="648"/>
      <c r="AB72" s="649">
        <f t="shared" si="4"/>
        <v>0</v>
      </c>
      <c r="AC72" s="633">
        <f t="shared" si="0"/>
        <v>0</v>
      </c>
      <c r="AD72" s="634">
        <f t="shared" si="13"/>
        <v>0</v>
      </c>
      <c r="AE72" s="634">
        <f t="shared" si="5"/>
        <v>0</v>
      </c>
      <c r="AF72" s="634">
        <f t="shared" si="6"/>
        <v>0</v>
      </c>
      <c r="AG72" s="634">
        <f t="shared" si="11"/>
        <v>0</v>
      </c>
      <c r="AH72" s="635">
        <f t="shared" si="8"/>
        <v>0</v>
      </c>
      <c r="AI72" s="633">
        <f t="shared" si="12"/>
        <v>0</v>
      </c>
      <c r="AJ72" s="657"/>
      <c r="AK72" s="658"/>
      <c r="AL72" s="647">
        <f t="shared" si="9"/>
        <v>0</v>
      </c>
      <c r="AM72" s="653"/>
      <c r="AN72" s="654"/>
      <c r="AO72" s="643"/>
      <c r="AP72" s="643"/>
      <c r="AQ72" s="643"/>
      <c r="AR72" s="643"/>
      <c r="AS72" s="627"/>
      <c r="AT72" s="641"/>
      <c r="AU72" s="642">
        <f t="shared" si="10"/>
        <v>47</v>
      </c>
    </row>
    <row r="73" spans="2:47" s="575" customFormat="1" ht="15.75" customHeight="1">
      <c r="B73" s="622">
        <f t="shared" si="3"/>
        <v>48</v>
      </c>
      <c r="C73" s="623">
        <f t="shared" si="1"/>
        <v>1</v>
      </c>
      <c r="D73" s="624">
        <f t="shared" si="16"/>
        <v>2022</v>
      </c>
      <c r="E73" s="646"/>
      <c r="F73" s="647"/>
      <c r="G73" s="648"/>
      <c r="H73" s="647"/>
      <c r="I73" s="648"/>
      <c r="J73" s="647"/>
      <c r="K73" s="648"/>
      <c r="L73" s="647"/>
      <c r="M73" s="648"/>
      <c r="N73" s="648"/>
      <c r="O73" s="648"/>
      <c r="P73" s="648"/>
      <c r="Q73" s="647"/>
      <c r="R73" s="648"/>
      <c r="S73" s="648"/>
      <c r="T73" s="648"/>
      <c r="U73" s="649">
        <f>IF(B73&lt;=$J$7,$U$16*0.02*3,)</f>
        <v>0</v>
      </c>
      <c r="V73" s="646"/>
      <c r="W73" s="647"/>
      <c r="X73" s="648"/>
      <c r="Y73" s="647"/>
      <c r="Z73" s="631"/>
      <c r="AA73" s="648"/>
      <c r="AB73" s="649">
        <f t="shared" si="4"/>
        <v>0</v>
      </c>
      <c r="AC73" s="633">
        <f t="shared" si="0"/>
        <v>0</v>
      </c>
      <c r="AD73" s="634">
        <f t="shared" si="13"/>
        <v>0</v>
      </c>
      <c r="AE73" s="634">
        <f t="shared" si="5"/>
        <v>0</v>
      </c>
      <c r="AF73" s="634">
        <f t="shared" si="6"/>
        <v>0</v>
      </c>
      <c r="AG73" s="634">
        <f t="shared" si="11"/>
        <v>0</v>
      </c>
      <c r="AH73" s="635">
        <f t="shared" si="8"/>
        <v>0</v>
      </c>
      <c r="AI73" s="633">
        <f t="shared" si="12"/>
        <v>0</v>
      </c>
      <c r="AJ73" s="657"/>
      <c r="AK73" s="658"/>
      <c r="AL73" s="647">
        <f t="shared" si="9"/>
        <v>0</v>
      </c>
      <c r="AM73" s="653"/>
      <c r="AN73" s="654"/>
      <c r="AO73" s="643"/>
      <c r="AP73" s="643"/>
      <c r="AQ73" s="643"/>
      <c r="AR73" s="643"/>
      <c r="AS73" s="627"/>
      <c r="AT73" s="641"/>
      <c r="AU73" s="642">
        <f t="shared" si="10"/>
        <v>48</v>
      </c>
    </row>
    <row r="74" spans="2:47" s="575" customFormat="1" ht="15.75" customHeight="1">
      <c r="B74" s="622">
        <f t="shared" si="3"/>
        <v>49</v>
      </c>
      <c r="C74" s="623">
        <f t="shared" si="1"/>
        <v>2</v>
      </c>
      <c r="D74" s="624" t="str">
        <f>IF($C73=12,$D$73+1,"             ")</f>
        <v xml:space="preserve">             </v>
      </c>
      <c r="E74" s="646"/>
      <c r="F74" s="647"/>
      <c r="G74" s="648"/>
      <c r="H74" s="647"/>
      <c r="I74" s="648"/>
      <c r="J74" s="647"/>
      <c r="K74" s="648"/>
      <c r="L74" s="647"/>
      <c r="M74" s="648"/>
      <c r="N74" s="648"/>
      <c r="O74" s="648"/>
      <c r="P74" s="648"/>
      <c r="Q74" s="647"/>
      <c r="R74" s="648"/>
      <c r="S74" s="648"/>
      <c r="T74" s="648"/>
      <c r="U74" s="649"/>
      <c r="V74" s="646"/>
      <c r="W74" s="647"/>
      <c r="X74" s="648"/>
      <c r="Y74" s="647"/>
      <c r="Z74" s="631"/>
      <c r="AA74" s="648"/>
      <c r="AB74" s="649">
        <f t="shared" si="4"/>
        <v>0</v>
      </c>
      <c r="AC74" s="633">
        <f t="shared" si="0"/>
        <v>0</v>
      </c>
      <c r="AD74" s="634">
        <f t="shared" si="13"/>
        <v>0</v>
      </c>
      <c r="AE74" s="634">
        <f t="shared" si="5"/>
        <v>0</v>
      </c>
      <c r="AF74" s="634">
        <f t="shared" si="6"/>
        <v>0</v>
      </c>
      <c r="AG74" s="634">
        <f t="shared" si="11"/>
        <v>0</v>
      </c>
      <c r="AH74" s="635">
        <f t="shared" si="8"/>
        <v>0</v>
      </c>
      <c r="AI74" s="633">
        <f t="shared" si="12"/>
        <v>0</v>
      </c>
      <c r="AJ74" s="657"/>
      <c r="AK74" s="658"/>
      <c r="AL74" s="647">
        <f t="shared" si="9"/>
        <v>0</v>
      </c>
      <c r="AM74" s="660"/>
      <c r="AN74" s="654"/>
      <c r="AO74" s="643"/>
      <c r="AP74" s="643"/>
      <c r="AQ74" s="643"/>
      <c r="AR74" s="643"/>
      <c r="AS74" s="627"/>
      <c r="AT74" s="641"/>
      <c r="AU74" s="642">
        <f t="shared" si="10"/>
        <v>49</v>
      </c>
    </row>
    <row r="75" spans="2:47" s="575" customFormat="1" ht="15.75" customHeight="1">
      <c r="B75" s="622">
        <f>B74+1</f>
        <v>50</v>
      </c>
      <c r="C75" s="623">
        <f>IF($C74=12,1,$C74+1)</f>
        <v>3</v>
      </c>
      <c r="D75" s="624" t="str">
        <f>IF($C74=12,$D$73+1,"             ")</f>
        <v xml:space="preserve">             </v>
      </c>
      <c r="E75" s="646"/>
      <c r="F75" s="647"/>
      <c r="G75" s="648"/>
      <c r="H75" s="647"/>
      <c r="I75" s="648"/>
      <c r="J75" s="647"/>
      <c r="K75" s="648"/>
      <c r="L75" s="647"/>
      <c r="M75" s="648"/>
      <c r="N75" s="648"/>
      <c r="O75" s="648"/>
      <c r="P75" s="648"/>
      <c r="Q75" s="647"/>
      <c r="R75" s="648"/>
      <c r="S75" s="648"/>
      <c r="T75" s="648"/>
      <c r="U75" s="649"/>
      <c r="V75" s="646"/>
      <c r="W75" s="647"/>
      <c r="X75" s="648"/>
      <c r="Y75" s="647"/>
      <c r="Z75" s="631"/>
      <c r="AA75" s="648"/>
      <c r="AB75" s="649">
        <f t="shared" si="4"/>
        <v>0</v>
      </c>
      <c r="AC75" s="633">
        <f t="shared" si="0"/>
        <v>0</v>
      </c>
      <c r="AD75" s="634">
        <f t="shared" si="13"/>
        <v>0</v>
      </c>
      <c r="AE75" s="634">
        <f t="shared" si="5"/>
        <v>0</v>
      </c>
      <c r="AF75" s="634">
        <f t="shared" si="6"/>
        <v>0</v>
      </c>
      <c r="AG75" s="634">
        <f t="shared" si="11"/>
        <v>0</v>
      </c>
      <c r="AH75" s="635">
        <f t="shared" si="8"/>
        <v>0</v>
      </c>
      <c r="AI75" s="633">
        <f>IF(AU75&lt;=$J$7,AI74,0)</f>
        <v>0</v>
      </c>
      <c r="AJ75" s="657"/>
      <c r="AK75" s="658"/>
      <c r="AL75" s="647">
        <f t="shared" si="9"/>
        <v>0</v>
      </c>
      <c r="AM75" s="660"/>
      <c r="AN75" s="654"/>
      <c r="AO75" s="643"/>
      <c r="AP75" s="643"/>
      <c r="AQ75" s="643"/>
      <c r="AR75" s="643"/>
      <c r="AS75" s="627"/>
      <c r="AT75" s="641"/>
      <c r="AU75" s="642">
        <f>AU74+1</f>
        <v>50</v>
      </c>
    </row>
    <row r="76" spans="2:47" s="575" customFormat="1" ht="15.75" customHeight="1">
      <c r="B76" s="622">
        <f t="shared" si="3"/>
        <v>51</v>
      </c>
      <c r="C76" s="623">
        <f t="shared" si="1"/>
        <v>4</v>
      </c>
      <c r="D76" s="624" t="str">
        <f t="shared" ref="D76:D84" si="17">IF($C75=12,$D$73+1,"             ")</f>
        <v xml:space="preserve">             </v>
      </c>
      <c r="E76" s="646"/>
      <c r="F76" s="647"/>
      <c r="G76" s="648"/>
      <c r="H76" s="647"/>
      <c r="I76" s="648"/>
      <c r="J76" s="647"/>
      <c r="K76" s="648"/>
      <c r="L76" s="647"/>
      <c r="M76" s="648"/>
      <c r="N76" s="648"/>
      <c r="O76" s="648"/>
      <c r="P76" s="648"/>
      <c r="Q76" s="647"/>
      <c r="R76" s="648"/>
      <c r="S76" s="648"/>
      <c r="T76" s="648"/>
      <c r="U76" s="649">
        <f>IF(B76&lt;=$J$7,$U$16*0.02*3,)</f>
        <v>0</v>
      </c>
      <c r="V76" s="646"/>
      <c r="W76" s="647"/>
      <c r="X76" s="648"/>
      <c r="Y76" s="647"/>
      <c r="Z76" s="631"/>
      <c r="AA76" s="648"/>
      <c r="AB76" s="649">
        <f t="shared" si="4"/>
        <v>0</v>
      </c>
      <c r="AC76" s="633">
        <f t="shared" si="0"/>
        <v>0</v>
      </c>
      <c r="AD76" s="634">
        <f t="shared" si="13"/>
        <v>0</v>
      </c>
      <c r="AE76" s="634">
        <f t="shared" si="5"/>
        <v>0</v>
      </c>
      <c r="AF76" s="634">
        <f t="shared" si="6"/>
        <v>0</v>
      </c>
      <c r="AG76" s="634">
        <f t="shared" si="11"/>
        <v>0</v>
      </c>
      <c r="AH76" s="635">
        <f t="shared" si="8"/>
        <v>0</v>
      </c>
      <c r="AI76" s="633">
        <f t="shared" si="12"/>
        <v>0</v>
      </c>
      <c r="AJ76" s="657"/>
      <c r="AK76" s="658"/>
      <c r="AL76" s="647">
        <f t="shared" si="9"/>
        <v>0</v>
      </c>
      <c r="AM76" s="660"/>
      <c r="AN76" s="654"/>
      <c r="AO76" s="643"/>
      <c r="AP76" s="643"/>
      <c r="AQ76" s="643"/>
      <c r="AR76" s="643"/>
      <c r="AS76" s="627"/>
      <c r="AT76" s="641"/>
      <c r="AU76" s="642">
        <f t="shared" si="10"/>
        <v>51</v>
      </c>
    </row>
    <row r="77" spans="2:47" s="575" customFormat="1" ht="15.75" customHeight="1">
      <c r="B77" s="622">
        <f t="shared" si="3"/>
        <v>52</v>
      </c>
      <c r="C77" s="623">
        <f t="shared" si="1"/>
        <v>5</v>
      </c>
      <c r="D77" s="624" t="str">
        <f t="shared" si="17"/>
        <v xml:space="preserve">             </v>
      </c>
      <c r="E77" s="646"/>
      <c r="F77" s="647"/>
      <c r="G77" s="648"/>
      <c r="H77" s="647"/>
      <c r="I77" s="648"/>
      <c r="J77" s="647"/>
      <c r="K77" s="648"/>
      <c r="L77" s="647"/>
      <c r="M77" s="648"/>
      <c r="N77" s="648"/>
      <c r="O77" s="648"/>
      <c r="P77" s="648"/>
      <c r="Q77" s="647"/>
      <c r="R77" s="648"/>
      <c r="S77" s="648"/>
      <c r="T77" s="648"/>
      <c r="U77" s="649"/>
      <c r="V77" s="646"/>
      <c r="W77" s="647"/>
      <c r="X77" s="648"/>
      <c r="Y77" s="647"/>
      <c r="Z77" s="631"/>
      <c r="AA77" s="648"/>
      <c r="AB77" s="649">
        <f t="shared" si="4"/>
        <v>0</v>
      </c>
      <c r="AC77" s="633">
        <f t="shared" si="0"/>
        <v>0</v>
      </c>
      <c r="AD77" s="634">
        <f t="shared" si="13"/>
        <v>0</v>
      </c>
      <c r="AE77" s="634">
        <f t="shared" si="5"/>
        <v>0</v>
      </c>
      <c r="AF77" s="634">
        <f t="shared" si="6"/>
        <v>0</v>
      </c>
      <c r="AG77" s="634">
        <f t="shared" si="11"/>
        <v>0</v>
      </c>
      <c r="AH77" s="635">
        <f t="shared" si="8"/>
        <v>0</v>
      </c>
      <c r="AI77" s="633">
        <f t="shared" si="12"/>
        <v>0</v>
      </c>
      <c r="AJ77" s="657"/>
      <c r="AK77" s="658"/>
      <c r="AL77" s="647">
        <f t="shared" si="9"/>
        <v>0</v>
      </c>
      <c r="AM77" s="660"/>
      <c r="AN77" s="654"/>
      <c r="AO77" s="643"/>
      <c r="AP77" s="643"/>
      <c r="AQ77" s="643"/>
      <c r="AR77" s="643"/>
      <c r="AS77" s="627"/>
      <c r="AT77" s="641"/>
      <c r="AU77" s="642">
        <f t="shared" si="10"/>
        <v>52</v>
      </c>
    </row>
    <row r="78" spans="2:47" s="575" customFormat="1" ht="15.75" customHeight="1">
      <c r="B78" s="622">
        <f t="shared" si="3"/>
        <v>53</v>
      </c>
      <c r="C78" s="623">
        <f t="shared" si="1"/>
        <v>6</v>
      </c>
      <c r="D78" s="624" t="str">
        <f t="shared" si="17"/>
        <v xml:space="preserve">             </v>
      </c>
      <c r="E78" s="646"/>
      <c r="F78" s="647"/>
      <c r="G78" s="648"/>
      <c r="H78" s="647"/>
      <c r="I78" s="648"/>
      <c r="J78" s="647"/>
      <c r="K78" s="648"/>
      <c r="L78" s="647"/>
      <c r="M78" s="648"/>
      <c r="N78" s="648"/>
      <c r="O78" s="648"/>
      <c r="P78" s="648"/>
      <c r="Q78" s="647"/>
      <c r="R78" s="648"/>
      <c r="S78" s="648"/>
      <c r="T78" s="648"/>
      <c r="U78" s="649"/>
      <c r="V78" s="646"/>
      <c r="W78" s="647"/>
      <c r="X78" s="648"/>
      <c r="Y78" s="647"/>
      <c r="Z78" s="631"/>
      <c r="AA78" s="648"/>
      <c r="AB78" s="649">
        <f t="shared" si="4"/>
        <v>0</v>
      </c>
      <c r="AC78" s="633">
        <f t="shared" si="0"/>
        <v>0</v>
      </c>
      <c r="AD78" s="634">
        <f t="shared" si="13"/>
        <v>0</v>
      </c>
      <c r="AE78" s="634">
        <f t="shared" si="5"/>
        <v>0</v>
      </c>
      <c r="AF78" s="634">
        <f t="shared" si="6"/>
        <v>0</v>
      </c>
      <c r="AG78" s="634">
        <f t="shared" si="11"/>
        <v>0</v>
      </c>
      <c r="AH78" s="635">
        <f t="shared" si="8"/>
        <v>0</v>
      </c>
      <c r="AI78" s="633">
        <f t="shared" si="12"/>
        <v>0</v>
      </c>
      <c r="AJ78" s="657"/>
      <c r="AK78" s="658"/>
      <c r="AL78" s="647">
        <f t="shared" si="9"/>
        <v>0</v>
      </c>
      <c r="AM78" s="660"/>
      <c r="AN78" s="654"/>
      <c r="AO78" s="643"/>
      <c r="AP78" s="643"/>
      <c r="AQ78" s="643"/>
      <c r="AR78" s="643"/>
      <c r="AS78" s="627"/>
      <c r="AT78" s="641"/>
      <c r="AU78" s="642">
        <f t="shared" si="10"/>
        <v>53</v>
      </c>
    </row>
    <row r="79" spans="2:47" s="575" customFormat="1" ht="15.75" customHeight="1">
      <c r="B79" s="622">
        <f t="shared" si="3"/>
        <v>54</v>
      </c>
      <c r="C79" s="623">
        <f t="shared" si="1"/>
        <v>7</v>
      </c>
      <c r="D79" s="624" t="str">
        <f t="shared" si="17"/>
        <v xml:space="preserve">             </v>
      </c>
      <c r="E79" s="646"/>
      <c r="F79" s="647"/>
      <c r="G79" s="648"/>
      <c r="H79" s="647"/>
      <c r="I79" s="648"/>
      <c r="J79" s="647"/>
      <c r="K79" s="648"/>
      <c r="L79" s="647"/>
      <c r="M79" s="648"/>
      <c r="N79" s="648"/>
      <c r="O79" s="648"/>
      <c r="P79" s="648"/>
      <c r="Q79" s="647"/>
      <c r="R79" s="648"/>
      <c r="S79" s="648"/>
      <c r="T79" s="648"/>
      <c r="U79" s="649">
        <f>IF(B79&lt;=$J$7,$U$16*0.02*3,)</f>
        <v>0</v>
      </c>
      <c r="V79" s="646"/>
      <c r="W79" s="647"/>
      <c r="X79" s="648"/>
      <c r="Y79" s="647"/>
      <c r="Z79" s="631"/>
      <c r="AA79" s="648"/>
      <c r="AB79" s="649">
        <f t="shared" si="4"/>
        <v>0</v>
      </c>
      <c r="AC79" s="633">
        <f t="shared" si="0"/>
        <v>0</v>
      </c>
      <c r="AD79" s="634">
        <f t="shared" si="13"/>
        <v>0</v>
      </c>
      <c r="AE79" s="634">
        <f t="shared" si="5"/>
        <v>0</v>
      </c>
      <c r="AF79" s="634">
        <f t="shared" si="6"/>
        <v>0</v>
      </c>
      <c r="AG79" s="634">
        <f t="shared" si="11"/>
        <v>0</v>
      </c>
      <c r="AH79" s="635">
        <f t="shared" si="8"/>
        <v>0</v>
      </c>
      <c r="AI79" s="633">
        <f t="shared" si="12"/>
        <v>0</v>
      </c>
      <c r="AJ79" s="657"/>
      <c r="AK79" s="658"/>
      <c r="AL79" s="647">
        <f t="shared" si="9"/>
        <v>0</v>
      </c>
      <c r="AM79" s="660"/>
      <c r="AN79" s="654"/>
      <c r="AO79" s="643"/>
      <c r="AP79" s="643"/>
      <c r="AQ79" s="643"/>
      <c r="AR79" s="643"/>
      <c r="AS79" s="627"/>
      <c r="AT79" s="641"/>
      <c r="AU79" s="642">
        <f t="shared" si="10"/>
        <v>54</v>
      </c>
    </row>
    <row r="80" spans="2:47" s="575" customFormat="1" ht="15.75" customHeight="1">
      <c r="B80" s="622">
        <f t="shared" si="3"/>
        <v>55</v>
      </c>
      <c r="C80" s="623">
        <f t="shared" si="1"/>
        <v>8</v>
      </c>
      <c r="D80" s="624" t="str">
        <f t="shared" si="17"/>
        <v xml:space="preserve">             </v>
      </c>
      <c r="E80" s="646"/>
      <c r="F80" s="647"/>
      <c r="G80" s="648"/>
      <c r="H80" s="647"/>
      <c r="I80" s="648"/>
      <c r="J80" s="647"/>
      <c r="K80" s="648"/>
      <c r="L80" s="647"/>
      <c r="M80" s="648"/>
      <c r="N80" s="648"/>
      <c r="O80" s="648"/>
      <c r="P80" s="648"/>
      <c r="Q80" s="647"/>
      <c r="R80" s="648"/>
      <c r="S80" s="648"/>
      <c r="T80" s="648"/>
      <c r="U80" s="649"/>
      <c r="V80" s="646"/>
      <c r="W80" s="647"/>
      <c r="X80" s="648"/>
      <c r="Y80" s="647"/>
      <c r="Z80" s="631"/>
      <c r="AA80" s="648"/>
      <c r="AB80" s="649">
        <f t="shared" si="4"/>
        <v>0</v>
      </c>
      <c r="AC80" s="633">
        <f t="shared" si="0"/>
        <v>0</v>
      </c>
      <c r="AD80" s="634">
        <f t="shared" si="13"/>
        <v>0</v>
      </c>
      <c r="AE80" s="634">
        <f t="shared" si="5"/>
        <v>0</v>
      </c>
      <c r="AF80" s="634">
        <f t="shared" si="6"/>
        <v>0</v>
      </c>
      <c r="AG80" s="634">
        <f t="shared" si="11"/>
        <v>0</v>
      </c>
      <c r="AH80" s="635">
        <f t="shared" si="8"/>
        <v>0</v>
      </c>
      <c r="AI80" s="633">
        <f t="shared" si="12"/>
        <v>0</v>
      </c>
      <c r="AJ80" s="657"/>
      <c r="AK80" s="658"/>
      <c r="AL80" s="647">
        <f t="shared" si="9"/>
        <v>0</v>
      </c>
      <c r="AM80" s="660"/>
      <c r="AN80" s="654"/>
      <c r="AO80" s="643"/>
      <c r="AP80" s="643"/>
      <c r="AQ80" s="643"/>
      <c r="AR80" s="643"/>
      <c r="AS80" s="627"/>
      <c r="AT80" s="641"/>
      <c r="AU80" s="642">
        <f t="shared" si="10"/>
        <v>55</v>
      </c>
    </row>
    <row r="81" spans="2:65" ht="15.75" customHeight="1">
      <c r="B81" s="622">
        <f t="shared" si="3"/>
        <v>56</v>
      </c>
      <c r="C81" s="623">
        <f t="shared" si="1"/>
        <v>9</v>
      </c>
      <c r="D81" s="624"/>
      <c r="E81" s="646"/>
      <c r="F81" s="647"/>
      <c r="G81" s="648"/>
      <c r="H81" s="647"/>
      <c r="I81" s="648"/>
      <c r="J81" s="647"/>
      <c r="K81" s="648"/>
      <c r="L81" s="647"/>
      <c r="M81" s="648"/>
      <c r="N81" s="648"/>
      <c r="O81" s="648"/>
      <c r="P81" s="648"/>
      <c r="Q81" s="647"/>
      <c r="R81" s="648"/>
      <c r="S81" s="648"/>
      <c r="T81" s="648"/>
      <c r="U81" s="649"/>
      <c r="V81" s="646"/>
      <c r="W81" s="647"/>
      <c r="X81" s="648"/>
      <c r="Y81" s="647"/>
      <c r="Z81" s="631"/>
      <c r="AA81" s="648"/>
      <c r="AB81" s="649">
        <f t="shared" si="4"/>
        <v>0</v>
      </c>
      <c r="AC81" s="633">
        <f t="shared" si="0"/>
        <v>0</v>
      </c>
      <c r="AD81" s="634">
        <f t="shared" si="13"/>
        <v>0</v>
      </c>
      <c r="AE81" s="634">
        <f t="shared" si="5"/>
        <v>0</v>
      </c>
      <c r="AF81" s="634">
        <f t="shared" si="6"/>
        <v>0</v>
      </c>
      <c r="AG81" s="634">
        <f t="shared" si="11"/>
        <v>0</v>
      </c>
      <c r="AH81" s="635">
        <f t="shared" si="8"/>
        <v>0</v>
      </c>
      <c r="AI81" s="633">
        <f t="shared" si="12"/>
        <v>0</v>
      </c>
      <c r="AJ81" s="657"/>
      <c r="AK81" s="658"/>
      <c r="AL81" s="647">
        <f t="shared" si="9"/>
        <v>0</v>
      </c>
      <c r="AM81" s="660"/>
      <c r="AN81" s="654"/>
      <c r="AO81" s="643"/>
      <c r="AP81" s="643"/>
      <c r="AQ81" s="643"/>
      <c r="AR81" s="643"/>
      <c r="AS81" s="627"/>
      <c r="AT81" s="641"/>
      <c r="AU81" s="642">
        <f t="shared" si="10"/>
        <v>56</v>
      </c>
      <c r="AV81" s="575"/>
      <c r="AW81" s="575"/>
      <c r="AX81" s="575"/>
      <c r="AY81" s="575"/>
      <c r="AZ81" s="575"/>
      <c r="BA81" s="575"/>
      <c r="BB81" s="575"/>
      <c r="BC81" s="575"/>
      <c r="BJ81" s="575"/>
      <c r="BK81" s="575"/>
    </row>
    <row r="82" spans="2:65" ht="15.75" customHeight="1">
      <c r="B82" s="622">
        <f t="shared" si="3"/>
        <v>57</v>
      </c>
      <c r="C82" s="623">
        <f t="shared" si="1"/>
        <v>10</v>
      </c>
      <c r="D82" s="624" t="str">
        <f t="shared" si="17"/>
        <v xml:space="preserve">             </v>
      </c>
      <c r="E82" s="646"/>
      <c r="F82" s="647"/>
      <c r="G82" s="648"/>
      <c r="H82" s="647"/>
      <c r="I82" s="648"/>
      <c r="J82" s="647"/>
      <c r="K82" s="648"/>
      <c r="L82" s="647"/>
      <c r="M82" s="648"/>
      <c r="N82" s="648"/>
      <c r="O82" s="648"/>
      <c r="P82" s="648"/>
      <c r="Q82" s="647"/>
      <c r="R82" s="648"/>
      <c r="S82" s="648"/>
      <c r="T82" s="648"/>
      <c r="U82" s="649">
        <f>IF(B82&lt;=$J$7,$U$16*0.02*3,)</f>
        <v>0</v>
      </c>
      <c r="V82" s="646"/>
      <c r="W82" s="647"/>
      <c r="X82" s="648"/>
      <c r="Y82" s="647"/>
      <c r="Z82" s="631"/>
      <c r="AA82" s="648"/>
      <c r="AB82" s="649">
        <f t="shared" si="4"/>
        <v>0</v>
      </c>
      <c r="AC82" s="633">
        <f t="shared" si="0"/>
        <v>0</v>
      </c>
      <c r="AD82" s="634">
        <f t="shared" si="13"/>
        <v>0</v>
      </c>
      <c r="AE82" s="634">
        <f t="shared" si="5"/>
        <v>0</v>
      </c>
      <c r="AF82" s="634">
        <f t="shared" si="6"/>
        <v>0</v>
      </c>
      <c r="AG82" s="634">
        <f t="shared" si="11"/>
        <v>0</v>
      </c>
      <c r="AH82" s="635">
        <f t="shared" si="8"/>
        <v>0</v>
      </c>
      <c r="AI82" s="633">
        <f t="shared" si="12"/>
        <v>0</v>
      </c>
      <c r="AJ82" s="657"/>
      <c r="AK82" s="658"/>
      <c r="AL82" s="647">
        <f t="shared" si="9"/>
        <v>0</v>
      </c>
      <c r="AM82" s="660"/>
      <c r="AN82" s="654"/>
      <c r="AO82" s="643"/>
      <c r="AP82" s="643"/>
      <c r="AQ82" s="643"/>
      <c r="AR82" s="643"/>
      <c r="AS82" s="627"/>
      <c r="AT82" s="641"/>
      <c r="AU82" s="642">
        <f t="shared" si="10"/>
        <v>57</v>
      </c>
      <c r="AV82" s="575"/>
      <c r="AW82" s="575"/>
      <c r="AX82" s="575"/>
      <c r="AY82" s="575"/>
      <c r="AZ82" s="575"/>
      <c r="BA82" s="575"/>
      <c r="BB82" s="575"/>
      <c r="BC82" s="575"/>
      <c r="BJ82" s="575"/>
      <c r="BK82" s="575"/>
    </row>
    <row r="83" spans="2:65" ht="15.75" customHeight="1">
      <c r="B83" s="622">
        <f t="shared" si="3"/>
        <v>58</v>
      </c>
      <c r="C83" s="623">
        <f t="shared" si="1"/>
        <v>11</v>
      </c>
      <c r="D83" s="624" t="str">
        <f t="shared" si="17"/>
        <v xml:space="preserve">             </v>
      </c>
      <c r="E83" s="646"/>
      <c r="F83" s="647"/>
      <c r="G83" s="648"/>
      <c r="H83" s="647"/>
      <c r="I83" s="648"/>
      <c r="J83" s="647"/>
      <c r="K83" s="648"/>
      <c r="L83" s="647"/>
      <c r="M83" s="648"/>
      <c r="N83" s="648"/>
      <c r="O83" s="648"/>
      <c r="P83" s="648"/>
      <c r="Q83" s="647"/>
      <c r="R83" s="648"/>
      <c r="S83" s="648"/>
      <c r="T83" s="648"/>
      <c r="U83" s="649"/>
      <c r="V83" s="646"/>
      <c r="W83" s="647"/>
      <c r="X83" s="648"/>
      <c r="Y83" s="647"/>
      <c r="Z83" s="631"/>
      <c r="AA83" s="648"/>
      <c r="AB83" s="649">
        <f t="shared" si="4"/>
        <v>0</v>
      </c>
      <c r="AC83" s="633">
        <f t="shared" si="0"/>
        <v>0</v>
      </c>
      <c r="AD83" s="634">
        <f t="shared" si="13"/>
        <v>0</v>
      </c>
      <c r="AE83" s="634">
        <f t="shared" si="5"/>
        <v>0</v>
      </c>
      <c r="AF83" s="634">
        <f t="shared" si="6"/>
        <v>0</v>
      </c>
      <c r="AG83" s="634">
        <f t="shared" si="11"/>
        <v>0</v>
      </c>
      <c r="AH83" s="635">
        <f t="shared" si="8"/>
        <v>0</v>
      </c>
      <c r="AI83" s="633">
        <f>IF(AU83&lt;=$J$7,AI82,0)</f>
        <v>0</v>
      </c>
      <c r="AJ83" s="657"/>
      <c r="AK83" s="658"/>
      <c r="AL83" s="647">
        <f t="shared" si="9"/>
        <v>0</v>
      </c>
      <c r="AM83" s="660"/>
      <c r="AN83" s="654"/>
      <c r="AO83" s="643"/>
      <c r="AP83" s="643"/>
      <c r="AQ83" s="643"/>
      <c r="AR83" s="643"/>
      <c r="AS83" s="627"/>
      <c r="AT83" s="641"/>
      <c r="AU83" s="642">
        <f t="shared" si="10"/>
        <v>58</v>
      </c>
      <c r="AV83" s="575"/>
      <c r="AW83" s="575"/>
      <c r="AX83" s="575"/>
      <c r="AY83" s="575"/>
      <c r="AZ83" s="575"/>
      <c r="BA83" s="575"/>
      <c r="BB83" s="575"/>
      <c r="BC83" s="575"/>
      <c r="BJ83" s="575"/>
      <c r="BK83" s="575"/>
    </row>
    <row r="84" spans="2:65" ht="15.75" customHeight="1">
      <c r="B84" s="622">
        <f t="shared" si="3"/>
        <v>59</v>
      </c>
      <c r="C84" s="623">
        <f t="shared" si="1"/>
        <v>12</v>
      </c>
      <c r="D84" s="624" t="str">
        <f t="shared" si="17"/>
        <v xml:space="preserve">             </v>
      </c>
      <c r="E84" s="646"/>
      <c r="F84" s="647"/>
      <c r="G84" s="648"/>
      <c r="H84" s="647"/>
      <c r="I84" s="648"/>
      <c r="J84" s="647"/>
      <c r="K84" s="648"/>
      <c r="L84" s="647"/>
      <c r="M84" s="648"/>
      <c r="N84" s="648"/>
      <c r="O84" s="648"/>
      <c r="P84" s="648"/>
      <c r="Q84" s="647"/>
      <c r="R84" s="648"/>
      <c r="S84" s="648"/>
      <c r="T84" s="648"/>
      <c r="U84" s="649"/>
      <c r="V84" s="646"/>
      <c r="W84" s="647"/>
      <c r="X84" s="648"/>
      <c r="Y84" s="647"/>
      <c r="Z84" s="631"/>
      <c r="AA84" s="648"/>
      <c r="AB84" s="649">
        <f t="shared" si="4"/>
        <v>0</v>
      </c>
      <c r="AC84" s="633">
        <f t="shared" si="0"/>
        <v>0</v>
      </c>
      <c r="AD84" s="634">
        <f t="shared" si="13"/>
        <v>0</v>
      </c>
      <c r="AE84" s="634">
        <f t="shared" si="5"/>
        <v>0</v>
      </c>
      <c r="AF84" s="634">
        <f t="shared" si="6"/>
        <v>0</v>
      </c>
      <c r="AG84" s="634">
        <f t="shared" si="11"/>
        <v>0</v>
      </c>
      <c r="AH84" s="635">
        <f t="shared" si="8"/>
        <v>0</v>
      </c>
      <c r="AI84" s="633">
        <f>IF(AU84&lt;=$J$7,AI83,0)</f>
        <v>0</v>
      </c>
      <c r="AJ84" s="657"/>
      <c r="AK84" s="658"/>
      <c r="AL84" s="647">
        <f t="shared" si="9"/>
        <v>0</v>
      </c>
      <c r="AM84" s="660"/>
      <c r="AN84" s="654"/>
      <c r="AO84" s="643"/>
      <c r="AP84" s="643"/>
      <c r="AQ84" s="643"/>
      <c r="AR84" s="643"/>
      <c r="AS84" s="627"/>
      <c r="AT84" s="641"/>
      <c r="AU84" s="642">
        <f t="shared" si="10"/>
        <v>59</v>
      </c>
      <c r="AV84" s="575"/>
      <c r="AW84" s="575"/>
      <c r="AX84" s="575"/>
      <c r="AY84" s="575"/>
      <c r="AZ84" s="575"/>
      <c r="BA84" s="575"/>
      <c r="BB84" s="575"/>
      <c r="BC84" s="575"/>
      <c r="BJ84" s="575"/>
      <c r="BK84" s="575"/>
    </row>
    <row r="85" spans="2:65" ht="15.75" customHeight="1">
      <c r="B85" s="622">
        <f t="shared" si="3"/>
        <v>60</v>
      </c>
      <c r="C85" s="623">
        <f t="shared" si="1"/>
        <v>1</v>
      </c>
      <c r="D85" s="624">
        <f>IF($C84=12,$D$73+1,"             ")</f>
        <v>2023</v>
      </c>
      <c r="E85" s="646"/>
      <c r="F85" s="647"/>
      <c r="G85" s="648"/>
      <c r="H85" s="647"/>
      <c r="I85" s="648"/>
      <c r="J85" s="647"/>
      <c r="K85" s="648"/>
      <c r="L85" s="647"/>
      <c r="M85" s="648"/>
      <c r="N85" s="648"/>
      <c r="O85" s="648"/>
      <c r="P85" s="648"/>
      <c r="Q85" s="647"/>
      <c r="R85" s="648"/>
      <c r="S85" s="648"/>
      <c r="T85" s="648"/>
      <c r="U85" s="649">
        <f>IF(B85&lt;=$J$7,$U$16*0.02*3,)</f>
        <v>0</v>
      </c>
      <c r="V85" s="646"/>
      <c r="W85" s="647"/>
      <c r="X85" s="648"/>
      <c r="Y85" s="647"/>
      <c r="Z85" s="631"/>
      <c r="AA85" s="648"/>
      <c r="AB85" s="649">
        <f t="shared" si="4"/>
        <v>0</v>
      </c>
      <c r="AC85" s="633">
        <f t="shared" si="0"/>
        <v>0</v>
      </c>
      <c r="AD85" s="634">
        <f>AD84+AC85</f>
        <v>0</v>
      </c>
      <c r="AE85" s="634">
        <f t="shared" si="5"/>
        <v>0</v>
      </c>
      <c r="AF85" s="634">
        <f t="shared" si="6"/>
        <v>0</v>
      </c>
      <c r="AG85" s="634">
        <f t="shared" si="11"/>
        <v>0</v>
      </c>
      <c r="AH85" s="635">
        <f t="shared" si="8"/>
        <v>0</v>
      </c>
      <c r="AI85" s="633">
        <f>IF(AU85&lt;=$J$7,AI84,0)</f>
        <v>0</v>
      </c>
      <c r="AJ85" s="657"/>
      <c r="AK85" s="658"/>
      <c r="AL85" s="647">
        <f t="shared" si="9"/>
        <v>0</v>
      </c>
      <c r="AM85" s="660"/>
      <c r="AN85" s="654"/>
      <c r="AO85" s="643"/>
      <c r="AP85" s="643"/>
      <c r="AQ85" s="643"/>
      <c r="AR85" s="643"/>
      <c r="AS85" s="627"/>
      <c r="AT85" s="641"/>
      <c r="AU85" s="642">
        <f t="shared" si="10"/>
        <v>60</v>
      </c>
      <c r="AV85" s="575"/>
      <c r="AW85" s="575"/>
      <c r="AX85" s="575"/>
      <c r="AY85" s="575"/>
      <c r="AZ85" s="575"/>
      <c r="BA85" s="575"/>
      <c r="BB85" s="575"/>
      <c r="BC85" s="575"/>
      <c r="BJ85" s="575"/>
      <c r="BK85" s="575"/>
    </row>
    <row r="86" spans="2:65" ht="15.75" customHeight="1">
      <c r="B86" s="622">
        <f t="shared" si="3"/>
        <v>61</v>
      </c>
      <c r="C86" s="623">
        <f t="shared" si="1"/>
        <v>2</v>
      </c>
      <c r="D86" s="624" t="str">
        <f>IF($C85=12,$D$85+1,"             ")</f>
        <v xml:space="preserve">             </v>
      </c>
      <c r="E86" s="646"/>
      <c r="F86" s="647"/>
      <c r="G86" s="648"/>
      <c r="H86" s="647"/>
      <c r="I86" s="648"/>
      <c r="J86" s="647"/>
      <c r="K86" s="648"/>
      <c r="L86" s="647"/>
      <c r="M86" s="648"/>
      <c r="N86" s="648"/>
      <c r="O86" s="648"/>
      <c r="P86" s="648"/>
      <c r="Q86" s="647"/>
      <c r="R86" s="648"/>
      <c r="S86" s="648"/>
      <c r="T86" s="648"/>
      <c r="U86" s="649"/>
      <c r="V86" s="646"/>
      <c r="W86" s="647"/>
      <c r="X86" s="648"/>
      <c r="Y86" s="647"/>
      <c r="Z86" s="631"/>
      <c r="AA86" s="648"/>
      <c r="AB86" s="649">
        <f t="shared" si="4"/>
        <v>0</v>
      </c>
      <c r="AC86" s="633">
        <f>U86+AB86</f>
        <v>0</v>
      </c>
      <c r="AD86" s="634"/>
      <c r="AE86" s="634">
        <f t="shared" si="5"/>
        <v>0</v>
      </c>
      <c r="AF86" s="634">
        <f t="shared" si="6"/>
        <v>0</v>
      </c>
      <c r="AG86" s="634">
        <f t="shared" si="11"/>
        <v>0</v>
      </c>
      <c r="AH86" s="635">
        <f t="shared" si="8"/>
        <v>0</v>
      </c>
      <c r="AI86" s="633">
        <f>IF(AU86&lt;=$J$7,AI85,0)</f>
        <v>0</v>
      </c>
      <c r="AJ86" s="657"/>
      <c r="AK86" s="658"/>
      <c r="AL86" s="647">
        <f t="shared" si="9"/>
        <v>0</v>
      </c>
      <c r="AM86" s="660"/>
      <c r="AN86" s="654"/>
      <c r="AO86" s="643"/>
      <c r="AP86" s="643"/>
      <c r="AQ86" s="643"/>
      <c r="AR86" s="643"/>
      <c r="AS86" s="627"/>
      <c r="AT86" s="641"/>
      <c r="AU86" s="642">
        <f t="shared" si="10"/>
        <v>61</v>
      </c>
      <c r="AV86" s="575"/>
      <c r="AW86" s="575"/>
      <c r="AX86" s="575"/>
      <c r="AY86" s="575"/>
      <c r="AZ86" s="575"/>
      <c r="BA86" s="575"/>
      <c r="BB86" s="575"/>
      <c r="BC86" s="575"/>
      <c r="BJ86" s="575"/>
      <c r="BK86" s="575"/>
    </row>
    <row r="87" spans="2:65" ht="15.75" customHeight="1">
      <c r="B87" s="622">
        <f t="shared" si="3"/>
        <v>62</v>
      </c>
      <c r="C87" s="623">
        <f t="shared" si="1"/>
        <v>3</v>
      </c>
      <c r="D87" s="624" t="str">
        <f>IF($C86=12,$D$85+1,"             ")</f>
        <v xml:space="preserve">             </v>
      </c>
      <c r="E87" s="646"/>
      <c r="F87" s="647"/>
      <c r="G87" s="648"/>
      <c r="H87" s="647"/>
      <c r="I87" s="648"/>
      <c r="J87" s="647"/>
      <c r="K87" s="648"/>
      <c r="L87" s="647"/>
      <c r="M87" s="648"/>
      <c r="N87" s="648"/>
      <c r="O87" s="648"/>
      <c r="P87" s="648"/>
      <c r="Q87" s="647"/>
      <c r="R87" s="648"/>
      <c r="S87" s="648"/>
      <c r="T87" s="648"/>
      <c r="U87" s="649"/>
      <c r="V87" s="646"/>
      <c r="W87" s="647"/>
      <c r="X87" s="648"/>
      <c r="Y87" s="647"/>
      <c r="Z87" s="631"/>
      <c r="AA87" s="648"/>
      <c r="AB87" s="649">
        <f t="shared" si="4"/>
        <v>0</v>
      </c>
      <c r="AC87" s="633">
        <f>U87+AB87</f>
        <v>0</v>
      </c>
      <c r="AD87" s="634"/>
      <c r="AE87" s="634">
        <f t="shared" si="5"/>
        <v>0</v>
      </c>
      <c r="AF87" s="634">
        <f t="shared" si="6"/>
        <v>0</v>
      </c>
      <c r="AG87" s="634">
        <f t="shared" si="11"/>
        <v>0</v>
      </c>
      <c r="AH87" s="635">
        <f t="shared" si="8"/>
        <v>0</v>
      </c>
      <c r="AI87" s="633">
        <f t="shared" si="12"/>
        <v>0</v>
      </c>
      <c r="AJ87" s="657"/>
      <c r="AK87" s="658"/>
      <c r="AL87" s="647">
        <f t="shared" si="9"/>
        <v>0</v>
      </c>
      <c r="AM87" s="660"/>
      <c r="AN87" s="654"/>
      <c r="AO87" s="643"/>
      <c r="AP87" s="643"/>
      <c r="AQ87" s="643"/>
      <c r="AR87" s="643"/>
      <c r="AS87" s="627"/>
      <c r="AT87" s="641"/>
      <c r="AU87" s="642">
        <f t="shared" si="10"/>
        <v>62</v>
      </c>
      <c r="AV87" s="575"/>
      <c r="AW87" s="575"/>
      <c r="AX87" s="575"/>
      <c r="AY87" s="575"/>
      <c r="AZ87" s="575"/>
      <c r="BA87" s="575"/>
      <c r="BB87" s="575"/>
      <c r="BC87" s="575"/>
      <c r="BJ87" s="575"/>
      <c r="BK87" s="575"/>
    </row>
    <row r="88" spans="2:65" ht="15.75" customHeight="1">
      <c r="B88" s="622">
        <f t="shared" si="3"/>
        <v>63</v>
      </c>
      <c r="C88" s="623">
        <f t="shared" si="1"/>
        <v>4</v>
      </c>
      <c r="D88" s="624" t="str">
        <f>IF($C87=12,$D$85+1,"             ")</f>
        <v xml:space="preserve">             </v>
      </c>
      <c r="E88" s="646"/>
      <c r="F88" s="647"/>
      <c r="G88" s="648"/>
      <c r="H88" s="647"/>
      <c r="I88" s="648"/>
      <c r="J88" s="647"/>
      <c r="K88" s="648"/>
      <c r="L88" s="647"/>
      <c r="M88" s="648"/>
      <c r="N88" s="648"/>
      <c r="O88" s="648"/>
      <c r="P88" s="648"/>
      <c r="Q88" s="647"/>
      <c r="R88" s="648"/>
      <c r="S88" s="648"/>
      <c r="T88" s="648"/>
      <c r="U88" s="649">
        <f>IF(B88&lt;=$J$7,$U$16*0.02*3,)</f>
        <v>0</v>
      </c>
      <c r="V88" s="646"/>
      <c r="W88" s="647"/>
      <c r="X88" s="648"/>
      <c r="Y88" s="647"/>
      <c r="Z88" s="631"/>
      <c r="AA88" s="648"/>
      <c r="AB88" s="649">
        <f t="shared" si="4"/>
        <v>0</v>
      </c>
      <c r="AC88" s="633">
        <f>U88+AB88</f>
        <v>0</v>
      </c>
      <c r="AD88" s="634"/>
      <c r="AE88" s="634">
        <f t="shared" si="5"/>
        <v>0</v>
      </c>
      <c r="AF88" s="634">
        <f t="shared" si="6"/>
        <v>0</v>
      </c>
      <c r="AG88" s="634">
        <f t="shared" si="11"/>
        <v>0</v>
      </c>
      <c r="AH88" s="635">
        <f t="shared" si="8"/>
        <v>0</v>
      </c>
      <c r="AI88" s="633">
        <f t="shared" si="12"/>
        <v>0</v>
      </c>
      <c r="AJ88" s="657"/>
      <c r="AK88" s="658"/>
      <c r="AL88" s="647">
        <f t="shared" si="9"/>
        <v>0</v>
      </c>
      <c r="AM88" s="660"/>
      <c r="AN88" s="654"/>
      <c r="AO88" s="643"/>
      <c r="AP88" s="643"/>
      <c r="AQ88" s="643"/>
      <c r="AR88" s="643"/>
      <c r="AS88" s="627"/>
      <c r="AT88" s="641"/>
      <c r="AU88" s="642">
        <f t="shared" si="10"/>
        <v>63</v>
      </c>
      <c r="AV88" s="575"/>
      <c r="AW88" s="575"/>
      <c r="AX88" s="575"/>
      <c r="AY88" s="575"/>
      <c r="AZ88" s="575"/>
      <c r="BA88" s="575"/>
      <c r="BB88" s="575"/>
      <c r="BC88" s="575"/>
      <c r="BJ88" s="575"/>
      <c r="BK88" s="575"/>
    </row>
    <row r="89" spans="2:65" ht="15.75" customHeight="1">
      <c r="B89" s="622">
        <f t="shared" si="3"/>
        <v>64</v>
      </c>
      <c r="C89" s="623">
        <f t="shared" si="1"/>
        <v>5</v>
      </c>
      <c r="D89" s="624" t="str">
        <f>IF($C88=12,$D$85+1,"             ")</f>
        <v xml:space="preserve">             </v>
      </c>
      <c r="E89" s="646"/>
      <c r="F89" s="647"/>
      <c r="G89" s="648"/>
      <c r="H89" s="647"/>
      <c r="I89" s="648"/>
      <c r="J89" s="647"/>
      <c r="K89" s="648"/>
      <c r="L89" s="647"/>
      <c r="M89" s="648"/>
      <c r="N89" s="648"/>
      <c r="O89" s="648"/>
      <c r="P89" s="648"/>
      <c r="Q89" s="647"/>
      <c r="R89" s="648"/>
      <c r="S89" s="648"/>
      <c r="T89" s="648"/>
      <c r="U89" s="649"/>
      <c r="V89" s="646"/>
      <c r="W89" s="647"/>
      <c r="X89" s="648"/>
      <c r="Y89" s="647"/>
      <c r="Z89" s="631"/>
      <c r="AA89" s="648"/>
      <c r="AB89" s="649">
        <f t="shared" si="4"/>
        <v>0</v>
      </c>
      <c r="AC89" s="633">
        <f>U89+AB89</f>
        <v>0</v>
      </c>
      <c r="AD89" s="634"/>
      <c r="AE89" s="634">
        <f t="shared" si="5"/>
        <v>0</v>
      </c>
      <c r="AF89" s="634">
        <f t="shared" si="6"/>
        <v>0</v>
      </c>
      <c r="AG89" s="634">
        <f t="shared" si="11"/>
        <v>0</v>
      </c>
      <c r="AH89" s="635">
        <f t="shared" si="8"/>
        <v>0</v>
      </c>
      <c r="AI89" s="633">
        <f t="shared" si="12"/>
        <v>0</v>
      </c>
      <c r="AJ89" s="657"/>
      <c r="AK89" s="658"/>
      <c r="AL89" s="647">
        <f t="shared" si="9"/>
        <v>0</v>
      </c>
      <c r="AM89" s="660"/>
      <c r="AN89" s="654"/>
      <c r="AO89" s="643"/>
      <c r="AP89" s="643"/>
      <c r="AQ89" s="643"/>
      <c r="AR89" s="643"/>
      <c r="AS89" s="627"/>
      <c r="AT89" s="641"/>
      <c r="AU89" s="642">
        <f t="shared" si="10"/>
        <v>64</v>
      </c>
      <c r="AV89" s="575"/>
      <c r="AW89" s="575"/>
      <c r="AX89" s="575"/>
      <c r="AY89" s="575"/>
      <c r="AZ89" s="575"/>
      <c r="BA89" s="575"/>
      <c r="BB89" s="575"/>
      <c r="BC89" s="575"/>
      <c r="BJ89" s="575"/>
      <c r="BK89" s="575"/>
    </row>
    <row r="90" spans="2:65" ht="15.75" customHeight="1" thickBot="1">
      <c r="B90" s="661">
        <f t="shared" si="3"/>
        <v>65</v>
      </c>
      <c r="C90" s="662">
        <f>IF($C89=12,1,$C89+1)</f>
        <v>6</v>
      </c>
      <c r="D90" s="663" t="str">
        <f>IF($C89=12,$D$85+1,"             ")</f>
        <v xml:space="preserve">             </v>
      </c>
      <c r="E90" s="664"/>
      <c r="F90" s="665"/>
      <c r="G90" s="666"/>
      <c r="H90" s="665"/>
      <c r="I90" s="666"/>
      <c r="J90" s="665"/>
      <c r="K90" s="666"/>
      <c r="L90" s="665"/>
      <c r="M90" s="666"/>
      <c r="N90" s="666"/>
      <c r="O90" s="666"/>
      <c r="P90" s="666"/>
      <c r="Q90" s="665"/>
      <c r="R90" s="666"/>
      <c r="S90" s="666"/>
      <c r="T90" s="666"/>
      <c r="U90" s="649"/>
      <c r="V90" s="664"/>
      <c r="W90" s="665"/>
      <c r="X90" s="666"/>
      <c r="Y90" s="665"/>
      <c r="Z90" s="668"/>
      <c r="AA90" s="666"/>
      <c r="AB90" s="649">
        <f t="shared" si="4"/>
        <v>0</v>
      </c>
      <c r="AC90" s="669">
        <f>U90+AB90</f>
        <v>0</v>
      </c>
      <c r="AD90" s="670"/>
      <c r="AE90" s="634">
        <f t="shared" si="5"/>
        <v>0</v>
      </c>
      <c r="AF90" s="634">
        <f t="shared" si="6"/>
        <v>0</v>
      </c>
      <c r="AG90" s="634">
        <f t="shared" si="11"/>
        <v>0</v>
      </c>
      <c r="AH90" s="635">
        <f t="shared" si="8"/>
        <v>0</v>
      </c>
      <c r="AI90" s="669">
        <f t="shared" si="12"/>
        <v>0</v>
      </c>
      <c r="AJ90" s="672"/>
      <c r="AK90" s="673"/>
      <c r="AL90" s="647">
        <f t="shared" si="9"/>
        <v>0</v>
      </c>
      <c r="AM90" s="674"/>
      <c r="AN90" s="675"/>
      <c r="AO90" s="676"/>
      <c r="AP90" s="676"/>
      <c r="AQ90" s="676"/>
      <c r="AR90" s="676"/>
      <c r="AS90" s="677"/>
      <c r="AT90" s="678"/>
      <c r="AU90" s="679">
        <f t="shared" si="10"/>
        <v>65</v>
      </c>
      <c r="AV90" s="575"/>
      <c r="AW90" s="575"/>
      <c r="AX90" s="575"/>
      <c r="AY90" s="575"/>
      <c r="AZ90" s="575"/>
      <c r="BA90" s="575"/>
      <c r="BB90" s="575"/>
      <c r="BC90" s="575"/>
      <c r="BJ90" s="575"/>
      <c r="BK90" s="575"/>
    </row>
    <row r="91" spans="2:65" s="556" customFormat="1" ht="20.100000000000001" customHeight="1" thickTop="1" thickBot="1">
      <c r="B91" s="702"/>
      <c r="C91" s="703"/>
      <c r="D91" s="704"/>
      <c r="E91" s="705"/>
      <c r="F91" s="706"/>
      <c r="G91" s="707"/>
      <c r="H91" s="706"/>
      <c r="I91" s="707"/>
      <c r="J91" s="706"/>
      <c r="K91" s="707"/>
      <c r="L91" s="706"/>
      <c r="M91" s="707"/>
      <c r="N91" s="707"/>
      <c r="O91" s="707"/>
      <c r="P91" s="707"/>
      <c r="Q91" s="706"/>
      <c r="R91" s="707"/>
      <c r="S91" s="707"/>
      <c r="T91" s="707"/>
      <c r="U91" s="708">
        <f t="shared" ref="U91:Z91" si="18">SUM(U22:U90)</f>
        <v>-5489373.9800562039</v>
      </c>
      <c r="V91" s="709"/>
      <c r="W91" s="710">
        <f t="shared" si="18"/>
        <v>0</v>
      </c>
      <c r="X91" s="711">
        <f t="shared" si="18"/>
        <v>0</v>
      </c>
      <c r="Y91" s="710">
        <f t="shared" si="18"/>
        <v>0</v>
      </c>
      <c r="Z91" s="712">
        <f t="shared" si="18"/>
        <v>0</v>
      </c>
      <c r="AA91" s="711">
        <f>SUM(AA22:AA75)</f>
        <v>0</v>
      </c>
      <c r="AB91" s="713">
        <f t="shared" ref="AB91:AC91" si="19">SUM(AB22:AB90)</f>
        <v>5489373.980056203</v>
      </c>
      <c r="AC91" s="714">
        <f t="shared" si="19"/>
        <v>-4.6566128730773926E-10</v>
      </c>
      <c r="AD91" s="680">
        <f t="shared" ref="AD91" si="20">AD90+AC91</f>
        <v>-4.6566128730773926E-10</v>
      </c>
      <c r="AE91" s="680">
        <f>SUM(AE26:AE90)</f>
        <v>-4.6566128730773926E-10</v>
      </c>
      <c r="AF91" s="680">
        <f>SUM(AF26:AF90)</f>
        <v>-4.6566128730773926E-10</v>
      </c>
      <c r="AG91" s="715">
        <f>SUM(AG22:AG90)</f>
        <v>38485.173106163274</v>
      </c>
      <c r="AH91" s="716">
        <f>SUM(AH22:AH90)</f>
        <v>38485.173106163274</v>
      </c>
      <c r="AI91" s="717">
        <f>SUM(AI22:AI90)</f>
        <v>42323.694201306156</v>
      </c>
      <c r="AJ91" s="718"/>
      <c r="AK91" s="681"/>
      <c r="AL91" s="682">
        <f>SUM(AL22:AL90)</f>
        <v>-42323.694201306156</v>
      </c>
      <c r="AM91" s="719"/>
      <c r="AN91" s="720"/>
      <c r="AO91" s="721"/>
      <c r="AP91" s="721"/>
      <c r="AQ91" s="721"/>
      <c r="AR91" s="721"/>
      <c r="AS91" s="722"/>
      <c r="AT91" s="723"/>
      <c r="AU91" s="724"/>
    </row>
    <row r="92" spans="2:65" s="585" customFormat="1" ht="22.5" customHeight="1" thickTop="1">
      <c r="B92" s="725"/>
      <c r="C92" s="726"/>
      <c r="D92" s="725"/>
      <c r="E92" s="727"/>
      <c r="F92" s="727"/>
      <c r="G92" s="727"/>
      <c r="H92" s="727"/>
      <c r="I92" s="727"/>
      <c r="J92" s="727"/>
      <c r="K92" s="727"/>
      <c r="L92" s="727"/>
      <c r="M92" s="727"/>
      <c r="N92" s="727"/>
      <c r="O92" s="727"/>
      <c r="P92" s="727"/>
      <c r="Q92" s="727"/>
      <c r="R92" s="727"/>
      <c r="S92" s="727"/>
      <c r="T92" s="727"/>
      <c r="U92" s="727"/>
      <c r="V92" s="727"/>
      <c r="W92" s="727"/>
      <c r="X92" s="727"/>
      <c r="Y92" s="727"/>
      <c r="Z92" s="727"/>
      <c r="AA92" s="727"/>
      <c r="AB92" s="728"/>
      <c r="AC92" s="728"/>
      <c r="AD92" s="728"/>
      <c r="AE92" s="728"/>
      <c r="AF92" s="728"/>
      <c r="AG92" s="728"/>
      <c r="AH92" s="728"/>
      <c r="AI92" s="728"/>
      <c r="AJ92" s="728"/>
      <c r="AK92" s="729"/>
      <c r="AL92" s="729"/>
      <c r="AM92" s="727"/>
      <c r="AP92" s="559"/>
      <c r="AR92" s="559"/>
      <c r="AS92" s="559"/>
      <c r="AT92" s="559"/>
      <c r="AU92" s="559"/>
      <c r="AV92" s="559"/>
      <c r="AW92" s="559"/>
      <c r="AX92" s="559"/>
      <c r="AY92" s="559"/>
      <c r="AZ92" s="559"/>
      <c r="BA92" s="559"/>
      <c r="BB92" s="559"/>
      <c r="BC92" s="559"/>
      <c r="BD92" s="559">
        <f>K168+L168+M168+N168</f>
        <v>4.0017766878008842E-10</v>
      </c>
      <c r="BE92" s="730"/>
      <c r="BL92" s="684"/>
      <c r="BM92" s="684"/>
    </row>
    <row r="93" spans="2:65" ht="21.75" customHeight="1">
      <c r="U93" s="781"/>
      <c r="AH93" s="576"/>
      <c r="AI93" s="781"/>
    </row>
    <row r="94" spans="2:65" ht="21.75" customHeight="1" thickBot="1">
      <c r="B94" s="731"/>
      <c r="C94" s="558"/>
      <c r="D94" s="558"/>
      <c r="E94" s="558"/>
      <c r="F94" s="558"/>
      <c r="G94" s="558"/>
      <c r="H94" s="558"/>
      <c r="I94" s="558"/>
      <c r="J94" s="558"/>
      <c r="K94" s="558"/>
      <c r="L94" s="558"/>
      <c r="M94" s="558"/>
      <c r="N94" s="558"/>
      <c r="O94" s="558"/>
      <c r="P94" s="558"/>
      <c r="Q94" s="558"/>
      <c r="R94" s="558"/>
      <c r="S94" s="684"/>
      <c r="T94" s="684"/>
      <c r="AG94" s="785"/>
      <c r="AI94" s="782"/>
    </row>
    <row r="95" spans="2:65" s="556" customFormat="1" ht="24.75" customHeight="1" thickTop="1">
      <c r="B95" s="1265" t="s">
        <v>198</v>
      </c>
      <c r="C95" s="1266" t="s">
        <v>199</v>
      </c>
      <c r="D95" s="1266"/>
      <c r="E95" s="1266"/>
      <c r="F95" s="1266"/>
      <c r="G95" s="1266"/>
      <c r="H95" s="1266"/>
      <c r="I95" s="1266"/>
      <c r="J95" s="1266"/>
      <c r="K95" s="1267"/>
      <c r="L95" s="1268" t="s">
        <v>200</v>
      </c>
      <c r="M95" s="1269"/>
      <c r="N95" s="1269"/>
      <c r="O95" s="1270"/>
      <c r="P95" s="1281" t="s">
        <v>201</v>
      </c>
      <c r="Q95" s="1282"/>
      <c r="R95" s="1283"/>
      <c r="S95" s="1275" t="s">
        <v>202</v>
      </c>
      <c r="T95" s="1272" t="s">
        <v>203</v>
      </c>
      <c r="AH95" s="784"/>
      <c r="AI95" s="783"/>
      <c r="AQ95" s="558"/>
      <c r="AR95" s="558"/>
      <c r="AS95" s="559"/>
      <c r="AT95" s="558"/>
      <c r="AU95" s="558"/>
      <c r="AV95" s="558"/>
      <c r="AW95" s="558"/>
      <c r="AX95" s="558"/>
      <c r="AY95" s="558"/>
      <c r="AZ95" s="558"/>
      <c r="BA95" s="558"/>
      <c r="BB95" s="558"/>
      <c r="BC95" s="560"/>
      <c r="BJ95" s="561"/>
      <c r="BK95" s="562"/>
    </row>
    <row r="96" spans="2:65" s="556" customFormat="1" ht="24.75" customHeight="1">
      <c r="B96" s="1555"/>
      <c r="C96" s="1556" t="s">
        <v>189</v>
      </c>
      <c r="D96" s="1556"/>
      <c r="E96" s="1556"/>
      <c r="F96" s="1556" t="s">
        <v>210</v>
      </c>
      <c r="G96" s="1556"/>
      <c r="H96" s="1556" t="s">
        <v>188</v>
      </c>
      <c r="I96" s="1556"/>
      <c r="J96" s="1624" t="s">
        <v>211</v>
      </c>
      <c r="K96" s="1554" t="s">
        <v>74</v>
      </c>
      <c r="L96" s="1560" t="s">
        <v>212</v>
      </c>
      <c r="M96" s="1624" t="s">
        <v>213</v>
      </c>
      <c r="N96" s="1559" t="s">
        <v>214</v>
      </c>
      <c r="O96" s="1554" t="s">
        <v>74</v>
      </c>
      <c r="P96" s="1560" t="s">
        <v>215</v>
      </c>
      <c r="Q96" s="1559" t="s">
        <v>216</v>
      </c>
      <c r="R96" s="1561" t="s">
        <v>217</v>
      </c>
      <c r="S96" s="1276"/>
      <c r="T96" s="1273"/>
      <c r="AH96" s="784"/>
      <c r="AI96" s="783"/>
      <c r="AQ96" s="558"/>
      <c r="AR96" s="558"/>
      <c r="AS96" s="559"/>
      <c r="AT96" s="558"/>
      <c r="AU96" s="558"/>
      <c r="AV96" s="558"/>
      <c r="AW96" s="558"/>
      <c r="AX96" s="558"/>
      <c r="AY96" s="558"/>
      <c r="AZ96" s="558"/>
      <c r="BA96" s="558"/>
      <c r="BB96" s="558"/>
      <c r="BC96" s="560"/>
      <c r="BJ96" s="561"/>
      <c r="BK96" s="562"/>
    </row>
    <row r="97" spans="2:63" s="556" customFormat="1" ht="24.75" customHeight="1" thickBot="1">
      <c r="B97" s="1287"/>
      <c r="C97" s="780"/>
      <c r="D97" s="1288" t="s">
        <v>192</v>
      </c>
      <c r="E97" s="1288"/>
      <c r="F97" s="779" t="s">
        <v>219</v>
      </c>
      <c r="G97" s="740" t="s">
        <v>192</v>
      </c>
      <c r="H97" s="779" t="s">
        <v>219</v>
      </c>
      <c r="I97" s="740" t="s">
        <v>192</v>
      </c>
      <c r="J97" s="1289"/>
      <c r="K97" s="1271"/>
      <c r="L97" s="1280"/>
      <c r="M97" s="1289"/>
      <c r="N97" s="1279"/>
      <c r="O97" s="1271"/>
      <c r="P97" s="1280"/>
      <c r="Q97" s="1279"/>
      <c r="R97" s="1278"/>
      <c r="S97" s="1277"/>
      <c r="T97" s="1274"/>
      <c r="AH97" s="784"/>
      <c r="AQ97" s="558"/>
      <c r="AR97" s="558"/>
      <c r="AS97" s="559"/>
      <c r="AT97" s="558"/>
      <c r="AU97" s="558"/>
      <c r="AV97" s="558"/>
      <c r="AW97" s="558"/>
      <c r="AX97" s="558"/>
      <c r="AY97" s="558"/>
      <c r="AZ97" s="558"/>
      <c r="BA97" s="558"/>
      <c r="BB97" s="558"/>
      <c r="BC97" s="560"/>
      <c r="BJ97" s="561"/>
      <c r="BK97" s="562"/>
    </row>
    <row r="98" spans="2:63" s="556" customFormat="1" ht="24.75" customHeight="1" thickTop="1" thickBot="1"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741"/>
      <c r="Q98" s="741"/>
      <c r="R98" s="741"/>
      <c r="S98" s="742"/>
      <c r="T98" s="684"/>
      <c r="AH98" s="784"/>
      <c r="AK98" s="784"/>
      <c r="AQ98" s="558"/>
      <c r="AR98" s="558"/>
      <c r="AS98" s="559"/>
      <c r="AT98" s="558"/>
      <c r="AU98" s="558"/>
      <c r="AV98" s="558"/>
      <c r="AW98" s="558"/>
      <c r="AX98" s="558"/>
      <c r="AY98" s="558"/>
      <c r="AZ98" s="558"/>
      <c r="BA98" s="558"/>
      <c r="BB98" s="558"/>
      <c r="BC98" s="560"/>
      <c r="BJ98" s="561"/>
      <c r="BK98" s="562"/>
    </row>
    <row r="99" spans="2:63" s="556" customFormat="1" ht="15.75" customHeight="1" thickTop="1">
      <c r="B99" s="772" t="str">
        <f t="shared" ref="B99:B130" si="21">B22</f>
        <v xml:space="preserve">  </v>
      </c>
      <c r="C99" s="765"/>
      <c r="D99" s="765"/>
      <c r="E99" s="744">
        <f>AL22</f>
        <v>0</v>
      </c>
      <c r="F99" s="765"/>
      <c r="G99" s="744">
        <f t="shared" ref="G99:G130" si="22">W22</f>
        <v>0</v>
      </c>
      <c r="H99" s="765"/>
      <c r="I99" s="744">
        <f t="shared" ref="I99:I130" si="23">Y22</f>
        <v>0</v>
      </c>
      <c r="J99" s="765"/>
      <c r="K99" s="746">
        <f t="shared" ref="K99:K162" si="24">C99+E99+F99+G99+H99+I99+J99+D99</f>
        <v>0</v>
      </c>
      <c r="L99" s="743">
        <f>U22</f>
        <v>0</v>
      </c>
      <c r="M99" s="765"/>
      <c r="N99" s="744">
        <v>0</v>
      </c>
      <c r="O99" s="746">
        <f>L99+M99+N99</f>
        <v>0</v>
      </c>
      <c r="P99" s="747">
        <f>K99+O99</f>
        <v>0</v>
      </c>
      <c r="Q99" s="748">
        <v>0</v>
      </c>
      <c r="R99" s="749">
        <f t="shared" ref="R99:R102" si="25">P99+Q99</f>
        <v>0</v>
      </c>
      <c r="S99" s="750">
        <f t="shared" ref="S99" si="26">IF($R99&lt;0,$R99*-1,0)</f>
        <v>0</v>
      </c>
      <c r="T99" s="750">
        <f t="shared" ref="T99:T139" si="27">$S99*$G$14*1/12</f>
        <v>0</v>
      </c>
      <c r="AH99" s="784"/>
      <c r="AQ99" s="558"/>
      <c r="AR99" s="558"/>
      <c r="AS99" s="559"/>
      <c r="AT99" s="558"/>
      <c r="AU99" s="558"/>
      <c r="AV99" s="558"/>
      <c r="AW99" s="558"/>
      <c r="AX99" s="558"/>
      <c r="AY99" s="558"/>
      <c r="AZ99" s="558"/>
      <c r="BA99" s="558"/>
      <c r="BB99" s="558"/>
      <c r="BC99" s="560"/>
      <c r="BJ99" s="561"/>
      <c r="BK99" s="562"/>
    </row>
    <row r="100" spans="2:63" s="556" customFormat="1" ht="15.75" customHeight="1">
      <c r="B100" s="773" t="str">
        <f t="shared" si="21"/>
        <v xml:space="preserve">  </v>
      </c>
      <c r="C100" s="766"/>
      <c r="D100" s="766"/>
      <c r="E100" s="701">
        <f>AL23</f>
        <v>0</v>
      </c>
      <c r="F100" s="766"/>
      <c r="G100" s="701">
        <f t="shared" si="22"/>
        <v>0</v>
      </c>
      <c r="H100" s="766"/>
      <c r="I100" s="701">
        <f t="shared" si="23"/>
        <v>0</v>
      </c>
      <c r="J100" s="766"/>
      <c r="K100" s="745">
        <f t="shared" si="24"/>
        <v>0</v>
      </c>
      <c r="L100" s="751">
        <f>-U23</f>
        <v>0</v>
      </c>
      <c r="M100" s="766"/>
      <c r="N100" s="701">
        <f>T99*-1</f>
        <v>0</v>
      </c>
      <c r="O100" s="745">
        <f t="shared" ref="O100:O163" si="28">L100+M100+N100</f>
        <v>0</v>
      </c>
      <c r="P100" s="752">
        <f>K100+O100</f>
        <v>0</v>
      </c>
      <c r="Q100" s="753">
        <f>R99</f>
        <v>0</v>
      </c>
      <c r="R100" s="754">
        <f t="shared" si="25"/>
        <v>0</v>
      </c>
      <c r="S100" s="755">
        <f>IF($R100&gt;0,$R100*-1,0)</f>
        <v>0</v>
      </c>
      <c r="T100" s="755">
        <f t="shared" si="27"/>
        <v>0</v>
      </c>
      <c r="AH100" s="784"/>
      <c r="AQ100" s="558"/>
      <c r="AR100" s="558"/>
      <c r="AS100" s="559"/>
      <c r="AT100" s="558"/>
      <c r="AU100" s="558"/>
      <c r="AV100" s="558"/>
      <c r="AW100" s="558"/>
      <c r="AX100" s="558"/>
      <c r="AY100" s="558"/>
      <c r="AZ100" s="558"/>
      <c r="BA100" s="558"/>
      <c r="BB100" s="558"/>
      <c r="BC100" s="560"/>
      <c r="BJ100" s="561"/>
      <c r="BK100" s="562"/>
    </row>
    <row r="101" spans="2:63" s="556" customFormat="1" ht="15.75" customHeight="1">
      <c r="B101" s="773" t="str">
        <f t="shared" si="21"/>
        <v xml:space="preserve">  </v>
      </c>
      <c r="C101" s="766"/>
      <c r="D101" s="766"/>
      <c r="E101" s="701">
        <f t="shared" ref="E101:E102" si="29">AL24</f>
        <v>0</v>
      </c>
      <c r="F101" s="766"/>
      <c r="G101" s="701">
        <f t="shared" si="22"/>
        <v>0</v>
      </c>
      <c r="H101" s="766"/>
      <c r="I101" s="701">
        <f t="shared" si="23"/>
        <v>0</v>
      </c>
      <c r="J101" s="766"/>
      <c r="K101" s="745">
        <f t="shared" si="24"/>
        <v>0</v>
      </c>
      <c r="L101" s="751">
        <f>U24</f>
        <v>0</v>
      </c>
      <c r="M101" s="766"/>
      <c r="N101" s="701">
        <f>T100*-1</f>
        <v>0</v>
      </c>
      <c r="O101" s="745">
        <f t="shared" si="28"/>
        <v>0</v>
      </c>
      <c r="P101" s="752">
        <f t="shared" ref="P101:P162" si="30">K101+O101</f>
        <v>0</v>
      </c>
      <c r="Q101" s="753">
        <f t="shared" ref="Q101:Q164" si="31">R100</f>
        <v>0</v>
      </c>
      <c r="R101" s="754">
        <f t="shared" si="25"/>
        <v>0</v>
      </c>
      <c r="S101" s="755">
        <f t="shared" ref="S101:S102" si="32">IF($R101&gt;0,$R101*-1,0)</f>
        <v>0</v>
      </c>
      <c r="T101" s="755">
        <f t="shared" si="27"/>
        <v>0</v>
      </c>
      <c r="AH101" s="784"/>
      <c r="AQ101" s="558"/>
      <c r="AR101" s="558"/>
      <c r="AS101" s="559"/>
      <c r="AT101" s="558"/>
      <c r="AU101" s="558"/>
      <c r="AV101" s="558"/>
      <c r="AW101" s="558"/>
      <c r="AX101" s="558"/>
      <c r="AY101" s="558"/>
      <c r="AZ101" s="558"/>
      <c r="BA101" s="558"/>
      <c r="BB101" s="558"/>
      <c r="BC101" s="560"/>
      <c r="BJ101" s="561"/>
      <c r="BK101" s="562"/>
    </row>
    <row r="102" spans="2:63" s="556" customFormat="1" ht="15.75" customHeight="1">
      <c r="B102" s="774">
        <f t="shared" si="21"/>
        <v>0</v>
      </c>
      <c r="C102" s="766"/>
      <c r="D102" s="766"/>
      <c r="E102" s="701">
        <f t="shared" si="29"/>
        <v>0</v>
      </c>
      <c r="F102" s="766"/>
      <c r="G102" s="701">
        <f t="shared" si="22"/>
        <v>0</v>
      </c>
      <c r="H102" s="766"/>
      <c r="I102" s="701">
        <f t="shared" si="23"/>
        <v>0</v>
      </c>
      <c r="J102" s="766"/>
      <c r="K102" s="745">
        <f t="shared" si="24"/>
        <v>0</v>
      </c>
      <c r="L102" s="751">
        <f>AC25</f>
        <v>0</v>
      </c>
      <c r="M102" s="766"/>
      <c r="N102" s="701">
        <f t="shared" ref="N102:N165" si="33">T101*-1</f>
        <v>0</v>
      </c>
      <c r="O102" s="745">
        <f t="shared" ref="O102:O108" si="34">L102+M102+N102</f>
        <v>0</v>
      </c>
      <c r="P102" s="752">
        <f>K102+O102</f>
        <v>0</v>
      </c>
      <c r="Q102" s="753">
        <f>R101</f>
        <v>0</v>
      </c>
      <c r="R102" s="754">
        <f t="shared" si="25"/>
        <v>0</v>
      </c>
      <c r="S102" s="755">
        <f t="shared" si="32"/>
        <v>0</v>
      </c>
      <c r="T102" s="755">
        <f t="shared" si="27"/>
        <v>0</v>
      </c>
      <c r="AH102" s="784"/>
      <c r="AQ102" s="558"/>
      <c r="AR102" s="558"/>
      <c r="AS102" s="559"/>
      <c r="AT102" s="558"/>
      <c r="AU102" s="558"/>
      <c r="AV102" s="558"/>
      <c r="AW102" s="558"/>
      <c r="AX102" s="558"/>
      <c r="AY102" s="558"/>
      <c r="AZ102" s="558"/>
      <c r="BA102" s="558"/>
      <c r="BB102" s="558"/>
      <c r="BC102" s="560"/>
      <c r="BJ102" s="561"/>
      <c r="BK102" s="562"/>
    </row>
    <row r="103" spans="2:63" s="556" customFormat="1" ht="15.75" customHeight="1">
      <c r="B103" s="774">
        <f t="shared" si="21"/>
        <v>1</v>
      </c>
      <c r="C103" s="766"/>
      <c r="D103" s="766"/>
      <c r="E103" s="701">
        <f>AL26+AB26</f>
        <v>226960.42857728738</v>
      </c>
      <c r="F103" s="766"/>
      <c r="G103" s="701">
        <f t="shared" si="22"/>
        <v>0</v>
      </c>
      <c r="H103" s="766"/>
      <c r="I103" s="701">
        <f t="shared" si="23"/>
        <v>0</v>
      </c>
      <c r="J103" s="766"/>
      <c r="K103" s="745">
        <f>C103+E103+F103+G103+H103+I103+J103+D103</f>
        <v>226960.42857728738</v>
      </c>
      <c r="L103" s="751">
        <f t="shared" ref="L103:L134" si="35">U26</f>
        <v>0</v>
      </c>
      <c r="M103" s="766"/>
      <c r="N103" s="701">
        <f>T102*-1</f>
        <v>0</v>
      </c>
      <c r="O103" s="745">
        <f t="shared" si="34"/>
        <v>0</v>
      </c>
      <c r="P103" s="752">
        <f>K103+O103</f>
        <v>226960.42857728738</v>
      </c>
      <c r="Q103" s="753">
        <f t="shared" si="31"/>
        <v>0</v>
      </c>
      <c r="R103" s="754">
        <f>P103+Q103</f>
        <v>226960.42857728738</v>
      </c>
      <c r="S103" s="755">
        <f>IF(B103&lt;=$J$7,$R103*-1,0)</f>
        <v>-226960.42857728738</v>
      </c>
      <c r="T103" s="755">
        <f>$S103*$G$14*1/12</f>
        <v>-1758.9433214739772</v>
      </c>
      <c r="AH103" s="784"/>
      <c r="AQ103" s="558"/>
      <c r="AR103" s="558"/>
      <c r="AS103" s="559"/>
      <c r="AT103" s="558"/>
      <c r="AU103" s="558"/>
      <c r="AV103" s="558"/>
      <c r="AW103" s="558"/>
      <c r="AX103" s="558"/>
      <c r="AY103" s="558"/>
      <c r="AZ103" s="558"/>
      <c r="BA103" s="558"/>
      <c r="BB103" s="558"/>
      <c r="BC103" s="560"/>
      <c r="BJ103" s="561"/>
      <c r="BK103" s="562"/>
    </row>
    <row r="104" spans="2:63" s="556" customFormat="1" ht="15.75" customHeight="1">
      <c r="B104" s="774">
        <f t="shared" si="21"/>
        <v>2</v>
      </c>
      <c r="C104" s="766"/>
      <c r="D104" s="766"/>
      <c r="E104" s="701">
        <f t="shared" ref="E104:E167" si="36">AL27+AB27</f>
        <v>226960.42857728738</v>
      </c>
      <c r="F104" s="766"/>
      <c r="G104" s="701">
        <f t="shared" si="22"/>
        <v>0</v>
      </c>
      <c r="H104" s="766"/>
      <c r="I104" s="701">
        <f t="shared" si="23"/>
        <v>0</v>
      </c>
      <c r="J104" s="766"/>
      <c r="K104" s="745">
        <f t="shared" si="24"/>
        <v>226960.42857728738</v>
      </c>
      <c r="L104" s="751">
        <f t="shared" si="35"/>
        <v>0</v>
      </c>
      <c r="M104" s="766"/>
      <c r="N104" s="701">
        <f>T103*-1</f>
        <v>1758.9433214739772</v>
      </c>
      <c r="O104" s="745">
        <f t="shared" si="34"/>
        <v>1758.9433214739772</v>
      </c>
      <c r="P104" s="752">
        <f>K104+O104</f>
        <v>228719.37189876137</v>
      </c>
      <c r="Q104" s="753">
        <f>R103</f>
        <v>226960.42857728738</v>
      </c>
      <c r="R104" s="754">
        <f>P104+Q104</f>
        <v>455679.80047604872</v>
      </c>
      <c r="S104" s="755">
        <f t="shared" ref="S104:S167" si="37">IF(B104&lt;=$J$7,$R104*-1,0)</f>
        <v>-455679.80047604872</v>
      </c>
      <c r="T104" s="755">
        <f>$S104*$G$14*1/12</f>
        <v>-3531.5184536893776</v>
      </c>
      <c r="AH104" s="784"/>
      <c r="AQ104" s="558"/>
      <c r="AR104" s="558"/>
      <c r="AS104" s="559"/>
      <c r="AT104" s="558"/>
      <c r="AU104" s="558"/>
      <c r="AV104" s="558"/>
      <c r="AW104" s="558"/>
      <c r="AX104" s="558"/>
      <c r="AY104" s="558"/>
      <c r="AZ104" s="558"/>
      <c r="BA104" s="558"/>
      <c r="BB104" s="558"/>
      <c r="BC104" s="560"/>
      <c r="BJ104" s="561"/>
      <c r="BK104" s="562"/>
    </row>
    <row r="105" spans="2:63" s="556" customFormat="1" ht="15.75" customHeight="1">
      <c r="B105" s="774">
        <f t="shared" si="21"/>
        <v>3</v>
      </c>
      <c r="C105" s="766"/>
      <c r="D105" s="766"/>
      <c r="E105" s="701">
        <f t="shared" si="36"/>
        <v>226960.42857728738</v>
      </c>
      <c r="F105" s="766"/>
      <c r="G105" s="701">
        <f t="shared" si="22"/>
        <v>0</v>
      </c>
      <c r="H105" s="766"/>
      <c r="I105" s="701">
        <f t="shared" si="23"/>
        <v>0</v>
      </c>
      <c r="J105" s="766"/>
      <c r="K105" s="745">
        <f t="shared" si="24"/>
        <v>226960.42857728738</v>
      </c>
      <c r="L105" s="751">
        <f t="shared" si="35"/>
        <v>-686171.74750702549</v>
      </c>
      <c r="M105" s="766"/>
      <c r="N105" s="701">
        <f>T104*-1</f>
        <v>3531.5184536893776</v>
      </c>
      <c r="O105" s="745">
        <f t="shared" si="34"/>
        <v>-682640.22905333608</v>
      </c>
      <c r="P105" s="752">
        <f>K105+O105</f>
        <v>-455679.80047604872</v>
      </c>
      <c r="Q105" s="753">
        <f>R104</f>
        <v>455679.80047604872</v>
      </c>
      <c r="R105" s="754">
        <f>P105+Q105</f>
        <v>0</v>
      </c>
      <c r="S105" s="755">
        <f t="shared" si="37"/>
        <v>0</v>
      </c>
      <c r="T105" s="755">
        <f t="shared" si="27"/>
        <v>0</v>
      </c>
      <c r="AH105" s="784"/>
      <c r="AQ105" s="558"/>
      <c r="AR105" s="558"/>
      <c r="AS105" s="559"/>
      <c r="AT105" s="558"/>
      <c r="AU105" s="558"/>
      <c r="AV105" s="558"/>
      <c r="AW105" s="558"/>
      <c r="AX105" s="558"/>
      <c r="AY105" s="558"/>
      <c r="AZ105" s="558"/>
      <c r="BA105" s="558"/>
      <c r="BB105" s="558"/>
      <c r="BC105" s="560"/>
      <c r="BJ105" s="561"/>
      <c r="BK105" s="562"/>
    </row>
    <row r="106" spans="2:63" s="556" customFormat="1" ht="15.75" customHeight="1">
      <c r="B106" s="774">
        <f t="shared" si="21"/>
        <v>4</v>
      </c>
      <c r="C106" s="766"/>
      <c r="D106" s="766"/>
      <c r="E106" s="701">
        <f t="shared" si="36"/>
        <v>226960.42857728738</v>
      </c>
      <c r="F106" s="766"/>
      <c r="G106" s="701">
        <f t="shared" si="22"/>
        <v>0</v>
      </c>
      <c r="H106" s="766"/>
      <c r="I106" s="701">
        <f t="shared" si="23"/>
        <v>0</v>
      </c>
      <c r="J106" s="766"/>
      <c r="K106" s="745">
        <f t="shared" si="24"/>
        <v>226960.42857728738</v>
      </c>
      <c r="L106" s="751">
        <f t="shared" si="35"/>
        <v>0</v>
      </c>
      <c r="M106" s="766"/>
      <c r="N106" s="701">
        <f>T105*-1</f>
        <v>0</v>
      </c>
      <c r="O106" s="745">
        <f t="shared" si="34"/>
        <v>0</v>
      </c>
      <c r="P106" s="752">
        <f t="shared" si="30"/>
        <v>226960.42857728738</v>
      </c>
      <c r="Q106" s="753">
        <f>R105</f>
        <v>0</v>
      </c>
      <c r="R106" s="754">
        <f t="shared" ref="R106:R164" si="38">P106+Q106</f>
        <v>226960.42857728738</v>
      </c>
      <c r="S106" s="755">
        <f t="shared" si="37"/>
        <v>-226960.42857728738</v>
      </c>
      <c r="T106" s="755">
        <f t="shared" si="27"/>
        <v>-1758.9433214739772</v>
      </c>
      <c r="AH106" s="784"/>
      <c r="AQ106" s="558"/>
      <c r="AR106" s="558"/>
      <c r="AS106" s="559"/>
      <c r="AT106" s="558"/>
      <c r="AU106" s="558"/>
      <c r="AV106" s="558"/>
      <c r="AW106" s="558"/>
      <c r="AX106" s="558"/>
      <c r="AY106" s="558"/>
      <c r="AZ106" s="558"/>
      <c r="BA106" s="558"/>
      <c r="BB106" s="558"/>
      <c r="BC106" s="560"/>
      <c r="BJ106" s="561"/>
      <c r="BK106" s="562"/>
    </row>
    <row r="107" spans="2:63" s="556" customFormat="1" ht="15.75" customHeight="1">
      <c r="B107" s="774">
        <f t="shared" si="21"/>
        <v>5</v>
      </c>
      <c r="C107" s="766"/>
      <c r="D107" s="766"/>
      <c r="E107" s="701">
        <f t="shared" si="36"/>
        <v>226960.42857728738</v>
      </c>
      <c r="F107" s="766"/>
      <c r="G107" s="701">
        <f t="shared" si="22"/>
        <v>0</v>
      </c>
      <c r="H107" s="766"/>
      <c r="I107" s="701">
        <f t="shared" si="23"/>
        <v>0</v>
      </c>
      <c r="J107" s="766"/>
      <c r="K107" s="745">
        <f t="shared" si="24"/>
        <v>226960.42857728738</v>
      </c>
      <c r="L107" s="751">
        <f t="shared" si="35"/>
        <v>0</v>
      </c>
      <c r="M107" s="766"/>
      <c r="N107" s="701">
        <f t="shared" si="33"/>
        <v>1758.9433214739772</v>
      </c>
      <c r="O107" s="745">
        <f t="shared" si="34"/>
        <v>1758.9433214739772</v>
      </c>
      <c r="P107" s="752">
        <f t="shared" si="30"/>
        <v>228719.37189876137</v>
      </c>
      <c r="Q107" s="753">
        <f t="shared" si="31"/>
        <v>226960.42857728738</v>
      </c>
      <c r="R107" s="754">
        <f>P107+Q107</f>
        <v>455679.80047604872</v>
      </c>
      <c r="S107" s="755">
        <f t="shared" si="37"/>
        <v>-455679.80047604872</v>
      </c>
      <c r="T107" s="755">
        <f t="shared" si="27"/>
        <v>-3531.5184536893776</v>
      </c>
      <c r="AH107" s="784"/>
      <c r="AQ107" s="558"/>
      <c r="AR107" s="558"/>
      <c r="AS107" s="559"/>
      <c r="AT107" s="558"/>
      <c r="AU107" s="558"/>
      <c r="AV107" s="558"/>
      <c r="AW107" s="558"/>
      <c r="AX107" s="558"/>
      <c r="AY107" s="558"/>
      <c r="AZ107" s="558"/>
      <c r="BA107" s="558"/>
      <c r="BB107" s="558"/>
      <c r="BC107" s="560"/>
      <c r="BJ107" s="561"/>
      <c r="BK107" s="562"/>
    </row>
    <row r="108" spans="2:63" s="556" customFormat="1" ht="15.75" customHeight="1">
      <c r="B108" s="774">
        <f t="shared" si="21"/>
        <v>6</v>
      </c>
      <c r="C108" s="766"/>
      <c r="D108" s="766"/>
      <c r="E108" s="701">
        <f t="shared" si="36"/>
        <v>226960.42857728738</v>
      </c>
      <c r="F108" s="766"/>
      <c r="G108" s="701">
        <f t="shared" si="22"/>
        <v>0</v>
      </c>
      <c r="H108" s="766"/>
      <c r="I108" s="701">
        <f t="shared" si="23"/>
        <v>0</v>
      </c>
      <c r="J108" s="766"/>
      <c r="K108" s="745">
        <f t="shared" si="24"/>
        <v>226960.42857728738</v>
      </c>
      <c r="L108" s="751">
        <f t="shared" si="35"/>
        <v>-686171.74750702549</v>
      </c>
      <c r="M108" s="766"/>
      <c r="N108" s="701">
        <f t="shared" si="33"/>
        <v>3531.5184536893776</v>
      </c>
      <c r="O108" s="745">
        <f t="shared" si="34"/>
        <v>-682640.22905333608</v>
      </c>
      <c r="P108" s="752">
        <f t="shared" si="30"/>
        <v>-455679.80047604872</v>
      </c>
      <c r="Q108" s="753">
        <f t="shared" si="31"/>
        <v>455679.80047604872</v>
      </c>
      <c r="R108" s="754">
        <f t="shared" si="38"/>
        <v>0</v>
      </c>
      <c r="S108" s="755">
        <f t="shared" si="37"/>
        <v>0</v>
      </c>
      <c r="T108" s="755">
        <f t="shared" si="27"/>
        <v>0</v>
      </c>
      <c r="AH108" s="784"/>
      <c r="AQ108" s="558"/>
      <c r="AR108" s="558"/>
      <c r="AS108" s="559"/>
      <c r="AT108" s="558"/>
      <c r="AU108" s="558"/>
      <c r="AV108" s="558"/>
      <c r="AW108" s="558"/>
      <c r="AX108" s="558"/>
      <c r="AY108" s="558"/>
      <c r="AZ108" s="558"/>
      <c r="BA108" s="558"/>
      <c r="BB108" s="558"/>
      <c r="BC108" s="560"/>
      <c r="BJ108" s="561"/>
      <c r="BK108" s="562"/>
    </row>
    <row r="109" spans="2:63" s="556" customFormat="1" ht="15.75" customHeight="1">
      <c r="B109" s="774">
        <f t="shared" si="21"/>
        <v>7</v>
      </c>
      <c r="C109" s="766"/>
      <c r="D109" s="766"/>
      <c r="E109" s="701">
        <f t="shared" si="36"/>
        <v>226960.42857728738</v>
      </c>
      <c r="F109" s="766"/>
      <c r="G109" s="701">
        <f t="shared" si="22"/>
        <v>0</v>
      </c>
      <c r="H109" s="766"/>
      <c r="I109" s="701">
        <f t="shared" si="23"/>
        <v>0</v>
      </c>
      <c r="J109" s="766"/>
      <c r="K109" s="745">
        <f t="shared" si="24"/>
        <v>226960.42857728738</v>
      </c>
      <c r="L109" s="751">
        <f t="shared" si="35"/>
        <v>0</v>
      </c>
      <c r="M109" s="766"/>
      <c r="N109" s="701">
        <f t="shared" si="33"/>
        <v>0</v>
      </c>
      <c r="O109" s="745">
        <f t="shared" si="28"/>
        <v>0</v>
      </c>
      <c r="P109" s="752">
        <f t="shared" si="30"/>
        <v>226960.42857728738</v>
      </c>
      <c r="Q109" s="753">
        <f t="shared" si="31"/>
        <v>0</v>
      </c>
      <c r="R109" s="754">
        <f t="shared" si="38"/>
        <v>226960.42857728738</v>
      </c>
      <c r="S109" s="755">
        <f t="shared" si="37"/>
        <v>-226960.42857728738</v>
      </c>
      <c r="T109" s="755">
        <f t="shared" si="27"/>
        <v>-1758.9433214739772</v>
      </c>
      <c r="AH109" s="784"/>
      <c r="AQ109" s="558"/>
      <c r="AR109" s="558"/>
      <c r="AS109" s="559"/>
      <c r="AT109" s="558"/>
      <c r="AU109" s="558"/>
      <c r="AV109" s="558"/>
      <c r="AW109" s="558"/>
      <c r="AX109" s="558"/>
      <c r="AY109" s="558"/>
      <c r="AZ109" s="558"/>
      <c r="BA109" s="558"/>
      <c r="BB109" s="558"/>
      <c r="BC109" s="560"/>
      <c r="BJ109" s="561"/>
      <c r="BK109" s="562"/>
    </row>
    <row r="110" spans="2:63" s="556" customFormat="1" ht="15.75" customHeight="1">
      <c r="B110" s="774">
        <f t="shared" si="21"/>
        <v>8</v>
      </c>
      <c r="C110" s="766"/>
      <c r="D110" s="766"/>
      <c r="E110" s="701">
        <f t="shared" si="36"/>
        <v>226960.42857728738</v>
      </c>
      <c r="F110" s="766"/>
      <c r="G110" s="701">
        <f t="shared" si="22"/>
        <v>0</v>
      </c>
      <c r="H110" s="766"/>
      <c r="I110" s="701">
        <f t="shared" si="23"/>
        <v>0</v>
      </c>
      <c r="J110" s="766"/>
      <c r="K110" s="745">
        <f t="shared" si="24"/>
        <v>226960.42857728738</v>
      </c>
      <c r="L110" s="751">
        <f t="shared" si="35"/>
        <v>0</v>
      </c>
      <c r="M110" s="766"/>
      <c r="N110" s="701">
        <f t="shared" si="33"/>
        <v>1758.9433214739772</v>
      </c>
      <c r="O110" s="745">
        <f t="shared" si="28"/>
        <v>1758.9433214739772</v>
      </c>
      <c r="P110" s="752">
        <f t="shared" si="30"/>
        <v>228719.37189876137</v>
      </c>
      <c r="Q110" s="753">
        <f t="shared" si="31"/>
        <v>226960.42857728738</v>
      </c>
      <c r="R110" s="754">
        <f t="shared" si="38"/>
        <v>455679.80047604872</v>
      </c>
      <c r="S110" s="755">
        <f t="shared" si="37"/>
        <v>-455679.80047604872</v>
      </c>
      <c r="T110" s="755">
        <f t="shared" si="27"/>
        <v>-3531.5184536893776</v>
      </c>
      <c r="AH110" s="784"/>
      <c r="AQ110" s="558"/>
      <c r="AR110" s="558"/>
      <c r="AS110" s="559"/>
      <c r="AT110" s="558"/>
      <c r="AU110" s="558"/>
      <c r="AV110" s="558"/>
      <c r="AW110" s="558"/>
      <c r="AX110" s="558"/>
      <c r="AY110" s="558"/>
      <c r="AZ110" s="558"/>
      <c r="BA110" s="558"/>
      <c r="BB110" s="558"/>
      <c r="BC110" s="560"/>
      <c r="BJ110" s="561"/>
      <c r="BK110" s="562"/>
    </row>
    <row r="111" spans="2:63" s="556" customFormat="1" ht="15.75" customHeight="1">
      <c r="B111" s="774">
        <f t="shared" si="21"/>
        <v>9</v>
      </c>
      <c r="C111" s="766"/>
      <c r="D111" s="766"/>
      <c r="E111" s="701">
        <f t="shared" si="36"/>
        <v>226960.42857728738</v>
      </c>
      <c r="F111" s="766"/>
      <c r="G111" s="701">
        <f t="shared" si="22"/>
        <v>0</v>
      </c>
      <c r="H111" s="766"/>
      <c r="I111" s="701">
        <f t="shared" si="23"/>
        <v>0</v>
      </c>
      <c r="J111" s="766"/>
      <c r="K111" s="745">
        <f t="shared" si="24"/>
        <v>226960.42857728738</v>
      </c>
      <c r="L111" s="751">
        <f t="shared" si="35"/>
        <v>-686171.74750702549</v>
      </c>
      <c r="M111" s="766"/>
      <c r="N111" s="701">
        <f t="shared" si="33"/>
        <v>3531.5184536893776</v>
      </c>
      <c r="O111" s="745">
        <f t="shared" si="28"/>
        <v>-682640.22905333608</v>
      </c>
      <c r="P111" s="752">
        <f t="shared" si="30"/>
        <v>-455679.80047604872</v>
      </c>
      <c r="Q111" s="753">
        <f t="shared" si="31"/>
        <v>455679.80047604872</v>
      </c>
      <c r="R111" s="754">
        <f t="shared" si="38"/>
        <v>0</v>
      </c>
      <c r="S111" s="755">
        <f t="shared" si="37"/>
        <v>0</v>
      </c>
      <c r="T111" s="755">
        <f t="shared" si="27"/>
        <v>0</v>
      </c>
      <c r="AQ111" s="558"/>
      <c r="AR111" s="558"/>
      <c r="AS111" s="559"/>
      <c r="AT111" s="558"/>
      <c r="AU111" s="558"/>
      <c r="AV111" s="558"/>
      <c r="AW111" s="558"/>
      <c r="AX111" s="558"/>
      <c r="AY111" s="558"/>
      <c r="AZ111" s="558"/>
      <c r="BA111" s="558"/>
      <c r="BB111" s="558"/>
      <c r="BC111" s="560"/>
      <c r="BJ111" s="561"/>
      <c r="BK111" s="562"/>
    </row>
    <row r="112" spans="2:63" s="556" customFormat="1" ht="15.75" customHeight="1">
      <c r="B112" s="774">
        <f t="shared" si="21"/>
        <v>10</v>
      </c>
      <c r="C112" s="766"/>
      <c r="D112" s="766"/>
      <c r="E112" s="701">
        <f t="shared" si="36"/>
        <v>226960.42857728738</v>
      </c>
      <c r="F112" s="766"/>
      <c r="G112" s="701">
        <f t="shared" si="22"/>
        <v>0</v>
      </c>
      <c r="H112" s="766"/>
      <c r="I112" s="701">
        <f t="shared" si="23"/>
        <v>0</v>
      </c>
      <c r="J112" s="766"/>
      <c r="K112" s="745">
        <f t="shared" si="24"/>
        <v>226960.42857728738</v>
      </c>
      <c r="L112" s="751">
        <f t="shared" si="35"/>
        <v>0</v>
      </c>
      <c r="M112" s="766"/>
      <c r="N112" s="701">
        <f t="shared" si="33"/>
        <v>0</v>
      </c>
      <c r="O112" s="745">
        <f t="shared" si="28"/>
        <v>0</v>
      </c>
      <c r="P112" s="752">
        <f t="shared" si="30"/>
        <v>226960.42857728738</v>
      </c>
      <c r="Q112" s="753">
        <f t="shared" si="31"/>
        <v>0</v>
      </c>
      <c r="R112" s="754">
        <f t="shared" si="38"/>
        <v>226960.42857728738</v>
      </c>
      <c r="S112" s="755">
        <f t="shared" si="37"/>
        <v>-226960.42857728738</v>
      </c>
      <c r="T112" s="755">
        <f t="shared" si="27"/>
        <v>-1758.9433214739772</v>
      </c>
      <c r="AQ112" s="558"/>
      <c r="AR112" s="558"/>
      <c r="AS112" s="559"/>
      <c r="AT112" s="558"/>
      <c r="AU112" s="558"/>
      <c r="AV112" s="558"/>
      <c r="AW112" s="558"/>
      <c r="AX112" s="558"/>
      <c r="AY112" s="558"/>
      <c r="AZ112" s="558"/>
      <c r="BA112" s="558"/>
      <c r="BB112" s="558"/>
      <c r="BC112" s="560"/>
      <c r="BJ112" s="561"/>
      <c r="BK112" s="562"/>
    </row>
    <row r="113" spans="2:63" s="556" customFormat="1" ht="15.75" customHeight="1">
      <c r="B113" s="774">
        <f t="shared" si="21"/>
        <v>11</v>
      </c>
      <c r="C113" s="766"/>
      <c r="D113" s="766"/>
      <c r="E113" s="701">
        <f t="shared" si="36"/>
        <v>226960.42857728738</v>
      </c>
      <c r="F113" s="766"/>
      <c r="G113" s="701">
        <f t="shared" si="22"/>
        <v>0</v>
      </c>
      <c r="H113" s="766"/>
      <c r="I113" s="701">
        <f t="shared" si="23"/>
        <v>0</v>
      </c>
      <c r="J113" s="766"/>
      <c r="K113" s="745">
        <f t="shared" si="24"/>
        <v>226960.42857728738</v>
      </c>
      <c r="L113" s="751">
        <f t="shared" si="35"/>
        <v>0</v>
      </c>
      <c r="M113" s="766"/>
      <c r="N113" s="701">
        <f t="shared" si="33"/>
        <v>1758.9433214739772</v>
      </c>
      <c r="O113" s="745">
        <f>L113+M113+N113</f>
        <v>1758.9433214739772</v>
      </c>
      <c r="P113" s="752">
        <f>K113+O113</f>
        <v>228719.37189876137</v>
      </c>
      <c r="Q113" s="753">
        <f t="shared" si="31"/>
        <v>226960.42857728738</v>
      </c>
      <c r="R113" s="754">
        <f t="shared" si="38"/>
        <v>455679.80047604872</v>
      </c>
      <c r="S113" s="755">
        <f t="shared" si="37"/>
        <v>-455679.80047604872</v>
      </c>
      <c r="T113" s="755">
        <f t="shared" si="27"/>
        <v>-3531.5184536893776</v>
      </c>
      <c r="AQ113" s="558"/>
      <c r="AR113" s="558"/>
      <c r="AS113" s="559"/>
      <c r="AT113" s="558"/>
      <c r="AU113" s="558"/>
      <c r="AV113" s="558"/>
      <c r="AW113" s="558"/>
      <c r="AX113" s="558"/>
      <c r="AY113" s="558"/>
      <c r="AZ113" s="558"/>
      <c r="BA113" s="558"/>
      <c r="BB113" s="558"/>
      <c r="BC113" s="560"/>
      <c r="BJ113" s="561"/>
      <c r="BK113" s="562"/>
    </row>
    <row r="114" spans="2:63" s="556" customFormat="1" ht="15.75" customHeight="1">
      <c r="B114" s="774">
        <f t="shared" si="21"/>
        <v>12</v>
      </c>
      <c r="C114" s="766"/>
      <c r="D114" s="766"/>
      <c r="E114" s="701">
        <f t="shared" si="36"/>
        <v>226960.42857728738</v>
      </c>
      <c r="F114" s="766"/>
      <c r="G114" s="701">
        <f t="shared" si="22"/>
        <v>0</v>
      </c>
      <c r="H114" s="766"/>
      <c r="I114" s="701">
        <f t="shared" si="23"/>
        <v>0</v>
      </c>
      <c r="J114" s="766"/>
      <c r="K114" s="745">
        <f t="shared" si="24"/>
        <v>226960.42857728738</v>
      </c>
      <c r="L114" s="751">
        <f t="shared" si="35"/>
        <v>-686171.74750702549</v>
      </c>
      <c r="M114" s="766"/>
      <c r="N114" s="701">
        <f t="shared" si="33"/>
        <v>3531.5184536893776</v>
      </c>
      <c r="O114" s="745">
        <f t="shared" si="28"/>
        <v>-682640.22905333608</v>
      </c>
      <c r="P114" s="752">
        <f t="shared" si="30"/>
        <v>-455679.80047604872</v>
      </c>
      <c r="Q114" s="753">
        <f t="shared" si="31"/>
        <v>455679.80047604872</v>
      </c>
      <c r="R114" s="754">
        <f t="shared" si="38"/>
        <v>0</v>
      </c>
      <c r="S114" s="755">
        <f t="shared" si="37"/>
        <v>0</v>
      </c>
      <c r="T114" s="755">
        <f t="shared" si="27"/>
        <v>0</v>
      </c>
      <c r="AQ114" s="558"/>
      <c r="AR114" s="558"/>
      <c r="AS114" s="559"/>
      <c r="AT114" s="558"/>
      <c r="AU114" s="558"/>
      <c r="AV114" s="558"/>
      <c r="AW114" s="558"/>
      <c r="AX114" s="558"/>
      <c r="AY114" s="558"/>
      <c r="AZ114" s="558"/>
      <c r="BA114" s="558"/>
      <c r="BB114" s="558"/>
      <c r="BC114" s="560"/>
      <c r="BJ114" s="561"/>
      <c r="BK114" s="562"/>
    </row>
    <row r="115" spans="2:63" s="556" customFormat="1" ht="15.75" customHeight="1">
      <c r="B115" s="774">
        <f t="shared" si="21"/>
        <v>13</v>
      </c>
      <c r="C115" s="766"/>
      <c r="D115" s="766"/>
      <c r="E115" s="701">
        <f t="shared" si="36"/>
        <v>226960.42857728738</v>
      </c>
      <c r="F115" s="766"/>
      <c r="G115" s="701">
        <f t="shared" si="22"/>
        <v>0</v>
      </c>
      <c r="H115" s="766"/>
      <c r="I115" s="701">
        <f t="shared" si="23"/>
        <v>0</v>
      </c>
      <c r="J115" s="766"/>
      <c r="K115" s="745">
        <f t="shared" si="24"/>
        <v>226960.42857728738</v>
      </c>
      <c r="L115" s="751">
        <f t="shared" si="35"/>
        <v>0</v>
      </c>
      <c r="M115" s="766"/>
      <c r="N115" s="701">
        <f t="shared" si="33"/>
        <v>0</v>
      </c>
      <c r="O115" s="745">
        <f t="shared" si="28"/>
        <v>0</v>
      </c>
      <c r="P115" s="752">
        <f t="shared" si="30"/>
        <v>226960.42857728738</v>
      </c>
      <c r="Q115" s="753">
        <f t="shared" si="31"/>
        <v>0</v>
      </c>
      <c r="R115" s="754">
        <f t="shared" si="38"/>
        <v>226960.42857728738</v>
      </c>
      <c r="S115" s="755">
        <f t="shared" si="37"/>
        <v>-226960.42857728738</v>
      </c>
      <c r="T115" s="755">
        <f t="shared" si="27"/>
        <v>-1758.9433214739772</v>
      </c>
      <c r="AQ115" s="558"/>
      <c r="AR115" s="558"/>
      <c r="AS115" s="559"/>
      <c r="AT115" s="558"/>
      <c r="AU115" s="558"/>
      <c r="AV115" s="558"/>
      <c r="AW115" s="558"/>
      <c r="AX115" s="558"/>
      <c r="AY115" s="558"/>
      <c r="AZ115" s="558"/>
      <c r="BA115" s="558"/>
      <c r="BB115" s="558"/>
      <c r="BC115" s="560"/>
      <c r="BJ115" s="561"/>
      <c r="BK115" s="562"/>
    </row>
    <row r="116" spans="2:63" s="556" customFormat="1" ht="15.75" customHeight="1">
      <c r="B116" s="774">
        <f t="shared" si="21"/>
        <v>14</v>
      </c>
      <c r="C116" s="766"/>
      <c r="D116" s="766"/>
      <c r="E116" s="701">
        <f t="shared" si="36"/>
        <v>226960.42857728738</v>
      </c>
      <c r="F116" s="766"/>
      <c r="G116" s="701">
        <f t="shared" si="22"/>
        <v>0</v>
      </c>
      <c r="H116" s="766"/>
      <c r="I116" s="701">
        <f t="shared" si="23"/>
        <v>0</v>
      </c>
      <c r="J116" s="766"/>
      <c r="K116" s="745">
        <f t="shared" si="24"/>
        <v>226960.42857728738</v>
      </c>
      <c r="L116" s="751">
        <f t="shared" si="35"/>
        <v>0</v>
      </c>
      <c r="M116" s="766"/>
      <c r="N116" s="701">
        <f t="shared" si="33"/>
        <v>1758.9433214739772</v>
      </c>
      <c r="O116" s="745">
        <f t="shared" si="28"/>
        <v>1758.9433214739772</v>
      </c>
      <c r="P116" s="752">
        <f t="shared" si="30"/>
        <v>228719.37189876137</v>
      </c>
      <c r="Q116" s="753">
        <f t="shared" si="31"/>
        <v>226960.42857728738</v>
      </c>
      <c r="R116" s="754">
        <f t="shared" si="38"/>
        <v>455679.80047604872</v>
      </c>
      <c r="S116" s="755">
        <f t="shared" si="37"/>
        <v>-455679.80047604872</v>
      </c>
      <c r="T116" s="755">
        <f t="shared" si="27"/>
        <v>-3531.5184536893776</v>
      </c>
      <c r="AQ116" s="558"/>
      <c r="AR116" s="558"/>
      <c r="AS116" s="559"/>
      <c r="AT116" s="558"/>
      <c r="AU116" s="558"/>
      <c r="AV116" s="558"/>
      <c r="AW116" s="558"/>
      <c r="AX116" s="558"/>
      <c r="AY116" s="558"/>
      <c r="AZ116" s="558"/>
      <c r="BA116" s="558"/>
      <c r="BB116" s="558"/>
      <c r="BC116" s="560"/>
      <c r="BJ116" s="561"/>
      <c r="BK116" s="562"/>
    </row>
    <row r="117" spans="2:63" s="556" customFormat="1" ht="15.75" customHeight="1">
      <c r="B117" s="774">
        <f t="shared" si="21"/>
        <v>15</v>
      </c>
      <c r="C117" s="766"/>
      <c r="D117" s="766"/>
      <c r="E117" s="701">
        <f t="shared" si="36"/>
        <v>226960.42857728738</v>
      </c>
      <c r="F117" s="766"/>
      <c r="G117" s="701">
        <f t="shared" si="22"/>
        <v>0</v>
      </c>
      <c r="H117" s="766"/>
      <c r="I117" s="701">
        <f t="shared" si="23"/>
        <v>0</v>
      </c>
      <c r="J117" s="766"/>
      <c r="K117" s="745">
        <f t="shared" si="24"/>
        <v>226960.42857728738</v>
      </c>
      <c r="L117" s="751">
        <f t="shared" si="35"/>
        <v>-686171.74750702549</v>
      </c>
      <c r="M117" s="766"/>
      <c r="N117" s="701">
        <f t="shared" si="33"/>
        <v>3531.5184536893776</v>
      </c>
      <c r="O117" s="745">
        <f t="shared" si="28"/>
        <v>-682640.22905333608</v>
      </c>
      <c r="P117" s="752">
        <f t="shared" si="30"/>
        <v>-455679.80047604872</v>
      </c>
      <c r="Q117" s="753">
        <f t="shared" si="31"/>
        <v>455679.80047604872</v>
      </c>
      <c r="R117" s="754">
        <f t="shared" si="38"/>
        <v>0</v>
      </c>
      <c r="S117" s="755">
        <f t="shared" si="37"/>
        <v>0</v>
      </c>
      <c r="T117" s="755">
        <f t="shared" si="27"/>
        <v>0</v>
      </c>
      <c r="AQ117" s="558"/>
      <c r="AR117" s="558"/>
      <c r="AS117" s="559"/>
      <c r="AT117" s="558"/>
      <c r="AU117" s="558"/>
      <c r="AV117" s="558"/>
      <c r="AW117" s="558"/>
      <c r="AX117" s="558"/>
      <c r="AY117" s="558"/>
      <c r="AZ117" s="558"/>
      <c r="BA117" s="558"/>
      <c r="BB117" s="558"/>
      <c r="BC117" s="560"/>
      <c r="BJ117" s="561"/>
      <c r="BK117" s="562"/>
    </row>
    <row r="118" spans="2:63" s="556" customFormat="1" ht="15.75" customHeight="1">
      <c r="B118" s="774">
        <f t="shared" si="21"/>
        <v>16</v>
      </c>
      <c r="C118" s="766"/>
      <c r="D118" s="766"/>
      <c r="E118" s="701">
        <f t="shared" si="36"/>
        <v>226960.42857728738</v>
      </c>
      <c r="F118" s="766"/>
      <c r="G118" s="701">
        <f t="shared" si="22"/>
        <v>0</v>
      </c>
      <c r="H118" s="766"/>
      <c r="I118" s="701">
        <f t="shared" si="23"/>
        <v>0</v>
      </c>
      <c r="J118" s="766"/>
      <c r="K118" s="745">
        <f t="shared" si="24"/>
        <v>226960.42857728738</v>
      </c>
      <c r="L118" s="751">
        <f t="shared" si="35"/>
        <v>0</v>
      </c>
      <c r="M118" s="766"/>
      <c r="N118" s="701">
        <f t="shared" si="33"/>
        <v>0</v>
      </c>
      <c r="O118" s="745">
        <f t="shared" si="28"/>
        <v>0</v>
      </c>
      <c r="P118" s="752">
        <f t="shared" si="30"/>
        <v>226960.42857728738</v>
      </c>
      <c r="Q118" s="753">
        <f t="shared" si="31"/>
        <v>0</v>
      </c>
      <c r="R118" s="754">
        <f t="shared" si="38"/>
        <v>226960.42857728738</v>
      </c>
      <c r="S118" s="755">
        <f t="shared" si="37"/>
        <v>-226960.42857728738</v>
      </c>
      <c r="T118" s="755">
        <f t="shared" si="27"/>
        <v>-1758.9433214739772</v>
      </c>
      <c r="AQ118" s="558"/>
      <c r="AR118" s="558"/>
      <c r="AS118" s="559"/>
      <c r="AT118" s="558"/>
      <c r="AU118" s="558"/>
      <c r="AV118" s="558"/>
      <c r="AW118" s="558"/>
      <c r="AX118" s="558"/>
      <c r="AY118" s="558"/>
      <c r="AZ118" s="558"/>
      <c r="BA118" s="558"/>
      <c r="BB118" s="558"/>
      <c r="BC118" s="560"/>
      <c r="BJ118" s="561"/>
      <c r="BK118" s="562"/>
    </row>
    <row r="119" spans="2:63" s="556" customFormat="1" ht="15.75" customHeight="1">
      <c r="B119" s="774">
        <f t="shared" si="21"/>
        <v>17</v>
      </c>
      <c r="C119" s="766"/>
      <c r="D119" s="766"/>
      <c r="E119" s="701">
        <f t="shared" si="36"/>
        <v>226960.42857728738</v>
      </c>
      <c r="F119" s="766"/>
      <c r="G119" s="701">
        <f t="shared" si="22"/>
        <v>0</v>
      </c>
      <c r="H119" s="766"/>
      <c r="I119" s="701">
        <f t="shared" si="23"/>
        <v>0</v>
      </c>
      <c r="J119" s="766"/>
      <c r="K119" s="745">
        <f t="shared" si="24"/>
        <v>226960.42857728738</v>
      </c>
      <c r="L119" s="751">
        <f t="shared" si="35"/>
        <v>0</v>
      </c>
      <c r="M119" s="766"/>
      <c r="N119" s="701">
        <f t="shared" si="33"/>
        <v>1758.9433214739772</v>
      </c>
      <c r="O119" s="745">
        <f t="shared" si="28"/>
        <v>1758.9433214739772</v>
      </c>
      <c r="P119" s="752">
        <f t="shared" si="30"/>
        <v>228719.37189876137</v>
      </c>
      <c r="Q119" s="753">
        <f t="shared" si="31"/>
        <v>226960.42857728738</v>
      </c>
      <c r="R119" s="754">
        <f t="shared" si="38"/>
        <v>455679.80047604872</v>
      </c>
      <c r="S119" s="755">
        <f t="shared" si="37"/>
        <v>-455679.80047604872</v>
      </c>
      <c r="T119" s="755">
        <f t="shared" si="27"/>
        <v>-3531.5184536893776</v>
      </c>
      <c r="AQ119" s="558"/>
      <c r="AR119" s="558"/>
      <c r="AS119" s="559"/>
      <c r="AT119" s="558"/>
      <c r="AU119" s="558"/>
      <c r="AV119" s="558"/>
      <c r="AW119" s="558"/>
      <c r="AX119" s="558"/>
      <c r="AY119" s="558"/>
      <c r="AZ119" s="558"/>
      <c r="BA119" s="558"/>
      <c r="BB119" s="558"/>
      <c r="BC119" s="560"/>
      <c r="BJ119" s="561"/>
      <c r="BK119" s="562"/>
    </row>
    <row r="120" spans="2:63" s="556" customFormat="1" ht="15.75" customHeight="1">
      <c r="B120" s="774">
        <f t="shared" si="21"/>
        <v>18</v>
      </c>
      <c r="C120" s="766"/>
      <c r="D120" s="766"/>
      <c r="E120" s="701">
        <f t="shared" si="36"/>
        <v>226960.42857728738</v>
      </c>
      <c r="F120" s="766"/>
      <c r="G120" s="701">
        <f t="shared" si="22"/>
        <v>0</v>
      </c>
      <c r="H120" s="766"/>
      <c r="I120" s="701">
        <f t="shared" si="23"/>
        <v>0</v>
      </c>
      <c r="J120" s="766"/>
      <c r="K120" s="745">
        <f t="shared" si="24"/>
        <v>226960.42857728738</v>
      </c>
      <c r="L120" s="751">
        <f t="shared" si="35"/>
        <v>-686171.74750702549</v>
      </c>
      <c r="M120" s="766"/>
      <c r="N120" s="701">
        <f t="shared" si="33"/>
        <v>3531.5184536893776</v>
      </c>
      <c r="O120" s="745">
        <f t="shared" si="28"/>
        <v>-682640.22905333608</v>
      </c>
      <c r="P120" s="752">
        <f t="shared" si="30"/>
        <v>-455679.80047604872</v>
      </c>
      <c r="Q120" s="753">
        <f t="shared" si="31"/>
        <v>455679.80047604872</v>
      </c>
      <c r="R120" s="754">
        <f t="shared" si="38"/>
        <v>0</v>
      </c>
      <c r="S120" s="755">
        <f t="shared" si="37"/>
        <v>0</v>
      </c>
      <c r="T120" s="755">
        <f t="shared" si="27"/>
        <v>0</v>
      </c>
      <c r="AQ120" s="558"/>
      <c r="AR120" s="558"/>
      <c r="AS120" s="559"/>
      <c r="AT120" s="558"/>
      <c r="AU120" s="558"/>
      <c r="AV120" s="558"/>
      <c r="AW120" s="558"/>
      <c r="AX120" s="558"/>
      <c r="AY120" s="558"/>
      <c r="AZ120" s="558"/>
      <c r="BA120" s="558"/>
      <c r="BB120" s="558"/>
      <c r="BC120" s="560"/>
      <c r="BJ120" s="561"/>
      <c r="BK120" s="562"/>
    </row>
    <row r="121" spans="2:63" s="556" customFormat="1" ht="15.75" customHeight="1">
      <c r="B121" s="774">
        <f t="shared" si="21"/>
        <v>19</v>
      </c>
      <c r="C121" s="766"/>
      <c r="D121" s="766"/>
      <c r="E121" s="701">
        <f t="shared" si="36"/>
        <v>226960.42857728738</v>
      </c>
      <c r="F121" s="766"/>
      <c r="G121" s="701">
        <f t="shared" si="22"/>
        <v>0</v>
      </c>
      <c r="H121" s="766"/>
      <c r="I121" s="701">
        <f t="shared" si="23"/>
        <v>0</v>
      </c>
      <c r="J121" s="766"/>
      <c r="K121" s="745">
        <f t="shared" si="24"/>
        <v>226960.42857728738</v>
      </c>
      <c r="L121" s="751">
        <f t="shared" si="35"/>
        <v>0</v>
      </c>
      <c r="M121" s="766"/>
      <c r="N121" s="701">
        <f t="shared" si="33"/>
        <v>0</v>
      </c>
      <c r="O121" s="745">
        <f t="shared" si="28"/>
        <v>0</v>
      </c>
      <c r="P121" s="752">
        <f t="shared" si="30"/>
        <v>226960.42857728738</v>
      </c>
      <c r="Q121" s="753">
        <f t="shared" si="31"/>
        <v>0</v>
      </c>
      <c r="R121" s="754">
        <f t="shared" si="38"/>
        <v>226960.42857728738</v>
      </c>
      <c r="S121" s="755">
        <f t="shared" si="37"/>
        <v>-226960.42857728738</v>
      </c>
      <c r="T121" s="755">
        <f t="shared" si="27"/>
        <v>-1758.9433214739772</v>
      </c>
      <c r="AQ121" s="558"/>
      <c r="AR121" s="558"/>
      <c r="AS121" s="559"/>
      <c r="AT121" s="558"/>
      <c r="AU121" s="558"/>
      <c r="AV121" s="558"/>
      <c r="AW121" s="558"/>
      <c r="AX121" s="558"/>
      <c r="AY121" s="558"/>
      <c r="AZ121" s="558"/>
      <c r="BA121" s="558"/>
      <c r="BB121" s="558"/>
      <c r="BC121" s="560"/>
      <c r="BJ121" s="561"/>
      <c r="BK121" s="562"/>
    </row>
    <row r="122" spans="2:63" s="556" customFormat="1" ht="15.75" customHeight="1">
      <c r="B122" s="774">
        <f t="shared" si="21"/>
        <v>20</v>
      </c>
      <c r="C122" s="766"/>
      <c r="D122" s="766"/>
      <c r="E122" s="701">
        <f t="shared" si="36"/>
        <v>226960.42857728738</v>
      </c>
      <c r="F122" s="766"/>
      <c r="G122" s="701">
        <f t="shared" si="22"/>
        <v>0</v>
      </c>
      <c r="H122" s="766"/>
      <c r="I122" s="701">
        <f t="shared" si="23"/>
        <v>0</v>
      </c>
      <c r="J122" s="766"/>
      <c r="K122" s="745">
        <f t="shared" si="24"/>
        <v>226960.42857728738</v>
      </c>
      <c r="L122" s="751">
        <f t="shared" si="35"/>
        <v>0</v>
      </c>
      <c r="M122" s="766"/>
      <c r="N122" s="701">
        <f t="shared" si="33"/>
        <v>1758.9433214739772</v>
      </c>
      <c r="O122" s="745">
        <f t="shared" si="28"/>
        <v>1758.9433214739772</v>
      </c>
      <c r="P122" s="752">
        <f t="shared" si="30"/>
        <v>228719.37189876137</v>
      </c>
      <c r="Q122" s="753">
        <f t="shared" si="31"/>
        <v>226960.42857728738</v>
      </c>
      <c r="R122" s="754">
        <f t="shared" si="38"/>
        <v>455679.80047604872</v>
      </c>
      <c r="S122" s="755">
        <f t="shared" si="37"/>
        <v>-455679.80047604872</v>
      </c>
      <c r="T122" s="755">
        <f t="shared" si="27"/>
        <v>-3531.5184536893776</v>
      </c>
      <c r="AQ122" s="558"/>
      <c r="AR122" s="558"/>
      <c r="AS122" s="559"/>
      <c r="AT122" s="558"/>
      <c r="AU122" s="558"/>
      <c r="AV122" s="558"/>
      <c r="AW122" s="558"/>
      <c r="AX122" s="558"/>
      <c r="AY122" s="558"/>
      <c r="AZ122" s="558"/>
      <c r="BA122" s="558"/>
      <c r="BB122" s="558"/>
      <c r="BC122" s="560"/>
      <c r="BJ122" s="561"/>
      <c r="BK122" s="562"/>
    </row>
    <row r="123" spans="2:63" s="556" customFormat="1" ht="15.75" customHeight="1">
      <c r="B123" s="774">
        <f t="shared" si="21"/>
        <v>21</v>
      </c>
      <c r="C123" s="766"/>
      <c r="D123" s="766"/>
      <c r="E123" s="701">
        <f t="shared" si="36"/>
        <v>226960.42857728738</v>
      </c>
      <c r="F123" s="766"/>
      <c r="G123" s="701">
        <f t="shared" si="22"/>
        <v>0</v>
      </c>
      <c r="H123" s="766"/>
      <c r="I123" s="701">
        <f t="shared" si="23"/>
        <v>0</v>
      </c>
      <c r="J123" s="766"/>
      <c r="K123" s="745">
        <f t="shared" si="24"/>
        <v>226960.42857728738</v>
      </c>
      <c r="L123" s="751">
        <f t="shared" si="35"/>
        <v>-686171.74750702549</v>
      </c>
      <c r="M123" s="766"/>
      <c r="N123" s="701">
        <f t="shared" si="33"/>
        <v>3531.5184536893776</v>
      </c>
      <c r="O123" s="745">
        <f t="shared" si="28"/>
        <v>-682640.22905333608</v>
      </c>
      <c r="P123" s="752">
        <f t="shared" si="30"/>
        <v>-455679.80047604872</v>
      </c>
      <c r="Q123" s="753">
        <f t="shared" si="31"/>
        <v>455679.80047604872</v>
      </c>
      <c r="R123" s="754">
        <f t="shared" si="38"/>
        <v>0</v>
      </c>
      <c r="S123" s="755">
        <f t="shared" si="37"/>
        <v>0</v>
      </c>
      <c r="T123" s="755">
        <f t="shared" si="27"/>
        <v>0</v>
      </c>
      <c r="AQ123" s="558"/>
      <c r="AR123" s="558"/>
      <c r="AS123" s="559"/>
      <c r="AT123" s="558"/>
      <c r="AU123" s="558"/>
      <c r="AV123" s="558"/>
      <c r="AW123" s="558"/>
      <c r="AX123" s="558"/>
      <c r="AY123" s="558"/>
      <c r="AZ123" s="558"/>
      <c r="BA123" s="558"/>
      <c r="BB123" s="558"/>
      <c r="BC123" s="560"/>
      <c r="BJ123" s="561"/>
      <c r="BK123" s="562"/>
    </row>
    <row r="124" spans="2:63" s="556" customFormat="1" ht="15.75" customHeight="1">
      <c r="B124" s="774">
        <f t="shared" si="21"/>
        <v>22</v>
      </c>
      <c r="C124" s="766"/>
      <c r="D124" s="766"/>
      <c r="E124" s="701">
        <f t="shared" si="36"/>
        <v>226960.42857728738</v>
      </c>
      <c r="F124" s="766"/>
      <c r="G124" s="701">
        <f t="shared" si="22"/>
        <v>0</v>
      </c>
      <c r="H124" s="766"/>
      <c r="I124" s="701">
        <f t="shared" si="23"/>
        <v>0</v>
      </c>
      <c r="J124" s="766"/>
      <c r="K124" s="745">
        <f t="shared" si="24"/>
        <v>226960.42857728738</v>
      </c>
      <c r="L124" s="751">
        <f t="shared" si="35"/>
        <v>0</v>
      </c>
      <c r="M124" s="766"/>
      <c r="N124" s="701">
        <f t="shared" si="33"/>
        <v>0</v>
      </c>
      <c r="O124" s="745">
        <f t="shared" si="28"/>
        <v>0</v>
      </c>
      <c r="P124" s="752">
        <f t="shared" si="30"/>
        <v>226960.42857728738</v>
      </c>
      <c r="Q124" s="753">
        <f t="shared" si="31"/>
        <v>0</v>
      </c>
      <c r="R124" s="754">
        <f t="shared" si="38"/>
        <v>226960.42857728738</v>
      </c>
      <c r="S124" s="755">
        <f t="shared" si="37"/>
        <v>-226960.42857728738</v>
      </c>
      <c r="T124" s="755">
        <f t="shared" si="27"/>
        <v>-1758.9433214739772</v>
      </c>
      <c r="AQ124" s="558"/>
      <c r="AR124" s="558"/>
      <c r="AS124" s="559"/>
      <c r="AT124" s="558"/>
      <c r="AU124" s="558"/>
      <c r="AV124" s="558"/>
      <c r="AW124" s="558"/>
      <c r="AX124" s="558"/>
      <c r="AY124" s="558"/>
      <c r="AZ124" s="558"/>
      <c r="BA124" s="558"/>
      <c r="BB124" s="558"/>
      <c r="BC124" s="560"/>
      <c r="BJ124" s="561"/>
      <c r="BK124" s="562"/>
    </row>
    <row r="125" spans="2:63" s="556" customFormat="1" ht="15.75" customHeight="1">
      <c r="B125" s="774">
        <f t="shared" si="21"/>
        <v>23</v>
      </c>
      <c r="C125" s="766"/>
      <c r="D125" s="766"/>
      <c r="E125" s="701">
        <f t="shared" si="36"/>
        <v>226960.42857728738</v>
      </c>
      <c r="F125" s="766"/>
      <c r="G125" s="701">
        <f t="shared" si="22"/>
        <v>0</v>
      </c>
      <c r="H125" s="766"/>
      <c r="I125" s="701">
        <f t="shared" si="23"/>
        <v>0</v>
      </c>
      <c r="J125" s="766"/>
      <c r="K125" s="745">
        <f t="shared" si="24"/>
        <v>226960.42857728738</v>
      </c>
      <c r="L125" s="751">
        <f t="shared" si="35"/>
        <v>0</v>
      </c>
      <c r="M125" s="766"/>
      <c r="N125" s="701">
        <f t="shared" si="33"/>
        <v>1758.9433214739772</v>
      </c>
      <c r="O125" s="745">
        <f t="shared" si="28"/>
        <v>1758.9433214739772</v>
      </c>
      <c r="P125" s="752">
        <f t="shared" si="30"/>
        <v>228719.37189876137</v>
      </c>
      <c r="Q125" s="753">
        <f t="shared" si="31"/>
        <v>226960.42857728738</v>
      </c>
      <c r="R125" s="754">
        <f t="shared" si="38"/>
        <v>455679.80047604872</v>
      </c>
      <c r="S125" s="755">
        <f t="shared" si="37"/>
        <v>-455679.80047604872</v>
      </c>
      <c r="T125" s="755">
        <f t="shared" si="27"/>
        <v>-3531.5184536893776</v>
      </c>
      <c r="AQ125" s="558"/>
      <c r="AR125" s="558"/>
      <c r="AS125" s="559"/>
      <c r="AT125" s="558"/>
      <c r="AU125" s="558"/>
      <c r="AV125" s="558"/>
      <c r="AW125" s="558"/>
      <c r="AX125" s="558"/>
      <c r="AY125" s="558"/>
      <c r="AZ125" s="558"/>
      <c r="BA125" s="558"/>
      <c r="BB125" s="558"/>
      <c r="BC125" s="560"/>
      <c r="BJ125" s="561"/>
      <c r="BK125" s="562"/>
    </row>
    <row r="126" spans="2:63" s="556" customFormat="1" ht="15.75" customHeight="1">
      <c r="B126" s="774">
        <f t="shared" si="21"/>
        <v>24</v>
      </c>
      <c r="C126" s="766"/>
      <c r="D126" s="766"/>
      <c r="E126" s="701">
        <f t="shared" si="36"/>
        <v>226960.42857728738</v>
      </c>
      <c r="F126" s="766"/>
      <c r="G126" s="701">
        <f t="shared" si="22"/>
        <v>0</v>
      </c>
      <c r="H126" s="766"/>
      <c r="I126" s="701">
        <f t="shared" si="23"/>
        <v>0</v>
      </c>
      <c r="J126" s="766"/>
      <c r="K126" s="745">
        <f t="shared" si="24"/>
        <v>226960.42857728738</v>
      </c>
      <c r="L126" s="751">
        <f t="shared" si="35"/>
        <v>-686171.74750702549</v>
      </c>
      <c r="M126" s="766"/>
      <c r="N126" s="701">
        <f t="shared" si="33"/>
        <v>3531.5184536893776</v>
      </c>
      <c r="O126" s="745">
        <f t="shared" si="28"/>
        <v>-682640.22905333608</v>
      </c>
      <c r="P126" s="752">
        <f t="shared" si="30"/>
        <v>-455679.80047604872</v>
      </c>
      <c r="Q126" s="753">
        <f t="shared" si="31"/>
        <v>455679.80047604872</v>
      </c>
      <c r="R126" s="754">
        <f t="shared" si="38"/>
        <v>0</v>
      </c>
      <c r="S126" s="755">
        <f t="shared" si="37"/>
        <v>0</v>
      </c>
      <c r="T126" s="755">
        <f t="shared" si="27"/>
        <v>0</v>
      </c>
      <c r="AQ126" s="558"/>
      <c r="AR126" s="558"/>
      <c r="AS126" s="559"/>
      <c r="AT126" s="558"/>
      <c r="AU126" s="558"/>
      <c r="AV126" s="558"/>
      <c r="AW126" s="558"/>
      <c r="AX126" s="558"/>
      <c r="AY126" s="558"/>
      <c r="AZ126" s="558"/>
      <c r="BA126" s="558"/>
      <c r="BB126" s="558"/>
      <c r="BC126" s="560"/>
      <c r="BJ126" s="561"/>
      <c r="BK126" s="562"/>
    </row>
    <row r="127" spans="2:63" s="556" customFormat="1" ht="15.75" customHeight="1">
      <c r="B127" s="774">
        <f t="shared" si="21"/>
        <v>25</v>
      </c>
      <c r="C127" s="766"/>
      <c r="D127" s="766"/>
      <c r="E127" s="701">
        <f t="shared" si="36"/>
        <v>0</v>
      </c>
      <c r="F127" s="766"/>
      <c r="G127" s="701">
        <f t="shared" si="22"/>
        <v>0</v>
      </c>
      <c r="H127" s="766"/>
      <c r="I127" s="701">
        <f t="shared" si="23"/>
        <v>0</v>
      </c>
      <c r="J127" s="766"/>
      <c r="K127" s="745">
        <f t="shared" si="24"/>
        <v>0</v>
      </c>
      <c r="L127" s="751">
        <f t="shared" si="35"/>
        <v>0</v>
      </c>
      <c r="M127" s="766"/>
      <c r="N127" s="701">
        <f t="shared" si="33"/>
        <v>0</v>
      </c>
      <c r="O127" s="745">
        <f t="shared" si="28"/>
        <v>0</v>
      </c>
      <c r="P127" s="752">
        <f t="shared" si="30"/>
        <v>0</v>
      </c>
      <c r="Q127" s="753">
        <f t="shared" si="31"/>
        <v>0</v>
      </c>
      <c r="R127" s="754">
        <f t="shared" si="38"/>
        <v>0</v>
      </c>
      <c r="S127" s="755">
        <f t="shared" si="37"/>
        <v>0</v>
      </c>
      <c r="T127" s="755">
        <f t="shared" si="27"/>
        <v>0</v>
      </c>
      <c r="AQ127" s="558"/>
      <c r="AR127" s="558"/>
      <c r="AS127" s="559"/>
      <c r="AT127" s="558"/>
      <c r="AU127" s="558"/>
      <c r="AV127" s="558"/>
      <c r="AW127" s="558"/>
      <c r="AX127" s="558"/>
      <c r="AY127" s="558"/>
      <c r="AZ127" s="558"/>
      <c r="BA127" s="558"/>
      <c r="BB127" s="558"/>
      <c r="BC127" s="560"/>
      <c r="BJ127" s="561"/>
      <c r="BK127" s="562"/>
    </row>
    <row r="128" spans="2:63" s="556" customFormat="1" ht="15.75" customHeight="1">
      <c r="B128" s="774">
        <f t="shared" si="21"/>
        <v>26</v>
      </c>
      <c r="C128" s="766"/>
      <c r="D128" s="766"/>
      <c r="E128" s="701">
        <f t="shared" si="36"/>
        <v>0</v>
      </c>
      <c r="F128" s="766"/>
      <c r="G128" s="701">
        <f t="shared" si="22"/>
        <v>0</v>
      </c>
      <c r="H128" s="766"/>
      <c r="I128" s="701">
        <f t="shared" si="23"/>
        <v>0</v>
      </c>
      <c r="J128" s="766"/>
      <c r="K128" s="745">
        <f t="shared" si="24"/>
        <v>0</v>
      </c>
      <c r="L128" s="751">
        <f t="shared" si="35"/>
        <v>0</v>
      </c>
      <c r="M128" s="766"/>
      <c r="N128" s="701">
        <f t="shared" si="33"/>
        <v>0</v>
      </c>
      <c r="O128" s="745">
        <f t="shared" si="28"/>
        <v>0</v>
      </c>
      <c r="P128" s="752">
        <f t="shared" si="30"/>
        <v>0</v>
      </c>
      <c r="Q128" s="753">
        <f t="shared" si="31"/>
        <v>0</v>
      </c>
      <c r="R128" s="754">
        <f t="shared" si="38"/>
        <v>0</v>
      </c>
      <c r="S128" s="755">
        <f t="shared" si="37"/>
        <v>0</v>
      </c>
      <c r="T128" s="755">
        <f t="shared" si="27"/>
        <v>0</v>
      </c>
      <c r="AQ128" s="558"/>
      <c r="AR128" s="558"/>
      <c r="AS128" s="559"/>
      <c r="AT128" s="558"/>
      <c r="AU128" s="558"/>
      <c r="AV128" s="558"/>
      <c r="AW128" s="558"/>
      <c r="AX128" s="558"/>
      <c r="AY128" s="558"/>
      <c r="AZ128" s="558"/>
      <c r="BA128" s="558"/>
      <c r="BB128" s="558"/>
      <c r="BC128" s="560"/>
      <c r="BJ128" s="561"/>
      <c r="BK128" s="562"/>
    </row>
    <row r="129" spans="2:63" s="556" customFormat="1" ht="15.75" customHeight="1">
      <c r="B129" s="774">
        <f t="shared" si="21"/>
        <v>27</v>
      </c>
      <c r="C129" s="766"/>
      <c r="D129" s="766"/>
      <c r="E129" s="701">
        <f t="shared" si="36"/>
        <v>0</v>
      </c>
      <c r="F129" s="766"/>
      <c r="G129" s="701">
        <f t="shared" si="22"/>
        <v>0</v>
      </c>
      <c r="H129" s="766"/>
      <c r="I129" s="701">
        <f t="shared" si="23"/>
        <v>0</v>
      </c>
      <c r="J129" s="766"/>
      <c r="K129" s="745">
        <f t="shared" si="24"/>
        <v>0</v>
      </c>
      <c r="L129" s="751">
        <f t="shared" si="35"/>
        <v>0</v>
      </c>
      <c r="M129" s="766"/>
      <c r="N129" s="701">
        <f t="shared" si="33"/>
        <v>0</v>
      </c>
      <c r="O129" s="745">
        <f t="shared" si="28"/>
        <v>0</v>
      </c>
      <c r="P129" s="752">
        <f t="shared" si="30"/>
        <v>0</v>
      </c>
      <c r="Q129" s="753">
        <f t="shared" si="31"/>
        <v>0</v>
      </c>
      <c r="R129" s="754">
        <f t="shared" si="38"/>
        <v>0</v>
      </c>
      <c r="S129" s="755">
        <f t="shared" si="37"/>
        <v>0</v>
      </c>
      <c r="T129" s="755">
        <f t="shared" si="27"/>
        <v>0</v>
      </c>
      <c r="AQ129" s="558"/>
      <c r="AR129" s="558"/>
      <c r="AS129" s="559"/>
      <c r="AT129" s="558"/>
      <c r="AU129" s="558"/>
      <c r="AV129" s="558"/>
      <c r="AW129" s="558"/>
      <c r="AX129" s="558"/>
      <c r="AY129" s="558"/>
      <c r="AZ129" s="558"/>
      <c r="BA129" s="558"/>
      <c r="BB129" s="558"/>
      <c r="BC129" s="560"/>
      <c r="BJ129" s="561"/>
      <c r="BK129" s="562"/>
    </row>
    <row r="130" spans="2:63" s="556" customFormat="1" ht="15.75" customHeight="1">
      <c r="B130" s="774">
        <f t="shared" si="21"/>
        <v>28</v>
      </c>
      <c r="C130" s="766"/>
      <c r="D130" s="766"/>
      <c r="E130" s="701">
        <f t="shared" si="36"/>
        <v>0</v>
      </c>
      <c r="F130" s="766"/>
      <c r="G130" s="701">
        <f t="shared" si="22"/>
        <v>0</v>
      </c>
      <c r="H130" s="766"/>
      <c r="I130" s="701">
        <f t="shared" si="23"/>
        <v>0</v>
      </c>
      <c r="J130" s="766"/>
      <c r="K130" s="745">
        <f t="shared" si="24"/>
        <v>0</v>
      </c>
      <c r="L130" s="751">
        <f t="shared" si="35"/>
        <v>0</v>
      </c>
      <c r="M130" s="766"/>
      <c r="N130" s="701">
        <f t="shared" si="33"/>
        <v>0</v>
      </c>
      <c r="O130" s="745">
        <f t="shared" si="28"/>
        <v>0</v>
      </c>
      <c r="P130" s="752">
        <f t="shared" si="30"/>
        <v>0</v>
      </c>
      <c r="Q130" s="753">
        <f t="shared" si="31"/>
        <v>0</v>
      </c>
      <c r="R130" s="754">
        <f t="shared" si="38"/>
        <v>0</v>
      </c>
      <c r="S130" s="755">
        <f t="shared" si="37"/>
        <v>0</v>
      </c>
      <c r="T130" s="755">
        <f t="shared" si="27"/>
        <v>0</v>
      </c>
      <c r="AQ130" s="558"/>
      <c r="AR130" s="558"/>
      <c r="AS130" s="559"/>
      <c r="AT130" s="558"/>
      <c r="AU130" s="558"/>
      <c r="AV130" s="558"/>
      <c r="AW130" s="558"/>
      <c r="AX130" s="558"/>
      <c r="AY130" s="558"/>
      <c r="AZ130" s="558"/>
      <c r="BA130" s="558"/>
      <c r="BB130" s="558"/>
      <c r="BC130" s="560"/>
      <c r="BJ130" s="561"/>
      <c r="BK130" s="562"/>
    </row>
    <row r="131" spans="2:63" s="556" customFormat="1" ht="15.75" customHeight="1">
      <c r="B131" s="774">
        <f t="shared" ref="B131:B162" si="39">B54</f>
        <v>29</v>
      </c>
      <c r="C131" s="766"/>
      <c r="D131" s="766"/>
      <c r="E131" s="701">
        <f t="shared" si="36"/>
        <v>0</v>
      </c>
      <c r="F131" s="766"/>
      <c r="G131" s="701">
        <f t="shared" ref="G131:G162" si="40">W54</f>
        <v>0</v>
      </c>
      <c r="H131" s="766"/>
      <c r="I131" s="701">
        <f t="shared" ref="I131:I162" si="41">Y54</f>
        <v>0</v>
      </c>
      <c r="J131" s="766"/>
      <c r="K131" s="745">
        <f t="shared" si="24"/>
        <v>0</v>
      </c>
      <c r="L131" s="751">
        <f t="shared" si="35"/>
        <v>0</v>
      </c>
      <c r="M131" s="766"/>
      <c r="N131" s="701">
        <f t="shared" si="33"/>
        <v>0</v>
      </c>
      <c r="O131" s="745">
        <f t="shared" si="28"/>
        <v>0</v>
      </c>
      <c r="P131" s="752">
        <f t="shared" si="30"/>
        <v>0</v>
      </c>
      <c r="Q131" s="753">
        <f t="shared" si="31"/>
        <v>0</v>
      </c>
      <c r="R131" s="754">
        <f t="shared" si="38"/>
        <v>0</v>
      </c>
      <c r="S131" s="755">
        <f t="shared" si="37"/>
        <v>0</v>
      </c>
      <c r="T131" s="755">
        <f t="shared" si="27"/>
        <v>0</v>
      </c>
      <c r="AQ131" s="558"/>
      <c r="AR131" s="558"/>
      <c r="AS131" s="559"/>
      <c r="AT131" s="558"/>
      <c r="AU131" s="558"/>
      <c r="AV131" s="558"/>
      <c r="AW131" s="558"/>
      <c r="AX131" s="558"/>
      <c r="AY131" s="558"/>
      <c r="AZ131" s="558"/>
      <c r="BA131" s="558"/>
      <c r="BB131" s="558"/>
      <c r="BC131" s="560"/>
      <c r="BJ131" s="561"/>
      <c r="BK131" s="562"/>
    </row>
    <row r="132" spans="2:63" s="556" customFormat="1" ht="15.75" customHeight="1">
      <c r="B132" s="774">
        <f t="shared" si="39"/>
        <v>30</v>
      </c>
      <c r="C132" s="766"/>
      <c r="D132" s="766"/>
      <c r="E132" s="701">
        <f t="shared" si="36"/>
        <v>0</v>
      </c>
      <c r="F132" s="766"/>
      <c r="G132" s="701">
        <f t="shared" si="40"/>
        <v>0</v>
      </c>
      <c r="H132" s="766"/>
      <c r="I132" s="701">
        <f t="shared" si="41"/>
        <v>0</v>
      </c>
      <c r="J132" s="766"/>
      <c r="K132" s="745">
        <f t="shared" si="24"/>
        <v>0</v>
      </c>
      <c r="L132" s="751">
        <f t="shared" si="35"/>
        <v>0</v>
      </c>
      <c r="M132" s="766"/>
      <c r="N132" s="701">
        <f>T131*-1</f>
        <v>0</v>
      </c>
      <c r="O132" s="745">
        <f t="shared" si="28"/>
        <v>0</v>
      </c>
      <c r="P132" s="752">
        <f t="shared" si="30"/>
        <v>0</v>
      </c>
      <c r="Q132" s="753">
        <f t="shared" si="31"/>
        <v>0</v>
      </c>
      <c r="R132" s="754">
        <f t="shared" si="38"/>
        <v>0</v>
      </c>
      <c r="S132" s="755">
        <f t="shared" si="37"/>
        <v>0</v>
      </c>
      <c r="T132" s="755">
        <f t="shared" si="27"/>
        <v>0</v>
      </c>
      <c r="AQ132" s="558"/>
      <c r="AR132" s="558"/>
      <c r="AS132" s="559"/>
      <c r="AT132" s="558"/>
      <c r="AU132" s="558"/>
      <c r="AV132" s="558"/>
      <c r="AW132" s="558"/>
      <c r="AX132" s="558"/>
      <c r="AY132" s="558"/>
      <c r="AZ132" s="558"/>
      <c r="BA132" s="558"/>
      <c r="BB132" s="558"/>
      <c r="BC132" s="560"/>
      <c r="BJ132" s="561"/>
      <c r="BK132" s="562"/>
    </row>
    <row r="133" spans="2:63" s="556" customFormat="1" ht="15.75" customHeight="1">
      <c r="B133" s="774">
        <f t="shared" si="39"/>
        <v>31</v>
      </c>
      <c r="C133" s="766"/>
      <c r="D133" s="766"/>
      <c r="E133" s="701">
        <f t="shared" si="36"/>
        <v>0</v>
      </c>
      <c r="F133" s="766"/>
      <c r="G133" s="701">
        <f t="shared" si="40"/>
        <v>0</v>
      </c>
      <c r="H133" s="766"/>
      <c r="I133" s="701">
        <f t="shared" si="41"/>
        <v>0</v>
      </c>
      <c r="J133" s="766"/>
      <c r="K133" s="745">
        <f t="shared" si="24"/>
        <v>0</v>
      </c>
      <c r="L133" s="751">
        <f t="shared" si="35"/>
        <v>0</v>
      </c>
      <c r="M133" s="766"/>
      <c r="N133" s="701">
        <f t="shared" si="33"/>
        <v>0</v>
      </c>
      <c r="O133" s="745">
        <f t="shared" si="28"/>
        <v>0</v>
      </c>
      <c r="P133" s="752">
        <f>K133+O133</f>
        <v>0</v>
      </c>
      <c r="Q133" s="753">
        <f t="shared" si="31"/>
        <v>0</v>
      </c>
      <c r="R133" s="754">
        <f t="shared" si="38"/>
        <v>0</v>
      </c>
      <c r="S133" s="755">
        <f t="shared" si="37"/>
        <v>0</v>
      </c>
      <c r="T133" s="755">
        <f t="shared" si="27"/>
        <v>0</v>
      </c>
      <c r="AQ133" s="558"/>
      <c r="AR133" s="558"/>
      <c r="AS133" s="559"/>
      <c r="AT133" s="558"/>
      <c r="AU133" s="558"/>
      <c r="AV133" s="558"/>
      <c r="AW133" s="558"/>
      <c r="AX133" s="558"/>
      <c r="AY133" s="558"/>
      <c r="AZ133" s="558"/>
      <c r="BA133" s="558"/>
      <c r="BB133" s="558"/>
      <c r="BC133" s="560"/>
      <c r="BJ133" s="561"/>
      <c r="BK133" s="562"/>
    </row>
    <row r="134" spans="2:63" s="556" customFormat="1" ht="15.75" customHeight="1">
      <c r="B134" s="774">
        <f t="shared" si="39"/>
        <v>32</v>
      </c>
      <c r="C134" s="766"/>
      <c r="D134" s="766"/>
      <c r="E134" s="701">
        <f t="shared" si="36"/>
        <v>0</v>
      </c>
      <c r="F134" s="766"/>
      <c r="G134" s="701">
        <f t="shared" si="40"/>
        <v>0</v>
      </c>
      <c r="H134" s="766"/>
      <c r="I134" s="701">
        <f t="shared" si="41"/>
        <v>0</v>
      </c>
      <c r="J134" s="766"/>
      <c r="K134" s="745">
        <f t="shared" si="24"/>
        <v>0</v>
      </c>
      <c r="L134" s="751">
        <f t="shared" si="35"/>
        <v>0</v>
      </c>
      <c r="M134" s="766"/>
      <c r="N134" s="701">
        <f t="shared" si="33"/>
        <v>0</v>
      </c>
      <c r="O134" s="745">
        <f t="shared" si="28"/>
        <v>0</v>
      </c>
      <c r="P134" s="752">
        <f>K134+O134</f>
        <v>0</v>
      </c>
      <c r="Q134" s="753">
        <f t="shared" si="31"/>
        <v>0</v>
      </c>
      <c r="R134" s="754">
        <f t="shared" si="38"/>
        <v>0</v>
      </c>
      <c r="S134" s="755">
        <f t="shared" si="37"/>
        <v>0</v>
      </c>
      <c r="T134" s="755">
        <f t="shared" si="27"/>
        <v>0</v>
      </c>
      <c r="AQ134" s="558"/>
      <c r="AR134" s="558"/>
      <c r="AS134" s="559"/>
      <c r="AT134" s="558"/>
      <c r="AU134" s="558"/>
      <c r="AV134" s="558"/>
      <c r="AW134" s="558"/>
      <c r="AX134" s="558"/>
      <c r="AY134" s="558"/>
      <c r="AZ134" s="558"/>
      <c r="BA134" s="558"/>
      <c r="BB134" s="558"/>
      <c r="BC134" s="560"/>
      <c r="BJ134" s="561"/>
      <c r="BK134" s="562"/>
    </row>
    <row r="135" spans="2:63" s="556" customFormat="1" ht="15.75" customHeight="1">
      <c r="B135" s="774">
        <f t="shared" si="39"/>
        <v>33</v>
      </c>
      <c r="C135" s="766"/>
      <c r="D135" s="766"/>
      <c r="E135" s="701">
        <f t="shared" si="36"/>
        <v>0</v>
      </c>
      <c r="F135" s="766"/>
      <c r="G135" s="701">
        <f t="shared" si="40"/>
        <v>0</v>
      </c>
      <c r="H135" s="766"/>
      <c r="I135" s="701">
        <f t="shared" si="41"/>
        <v>0</v>
      </c>
      <c r="J135" s="766"/>
      <c r="K135" s="745">
        <f t="shared" si="24"/>
        <v>0</v>
      </c>
      <c r="L135" s="751">
        <f t="shared" ref="L135:L166" si="42">U58</f>
        <v>0</v>
      </c>
      <c r="M135" s="766"/>
      <c r="N135" s="701">
        <f t="shared" si="33"/>
        <v>0</v>
      </c>
      <c r="O135" s="745">
        <f t="shared" si="28"/>
        <v>0</v>
      </c>
      <c r="P135" s="752">
        <f>K135+O135</f>
        <v>0</v>
      </c>
      <c r="Q135" s="753">
        <f t="shared" si="31"/>
        <v>0</v>
      </c>
      <c r="R135" s="754">
        <f t="shared" si="38"/>
        <v>0</v>
      </c>
      <c r="S135" s="755">
        <f t="shared" si="37"/>
        <v>0</v>
      </c>
      <c r="T135" s="755">
        <f t="shared" si="27"/>
        <v>0</v>
      </c>
      <c r="AQ135" s="558"/>
      <c r="AR135" s="558"/>
      <c r="AS135" s="559"/>
      <c r="AT135" s="558"/>
      <c r="AU135" s="558"/>
      <c r="AV135" s="558"/>
      <c r="AW135" s="558"/>
      <c r="AX135" s="558"/>
      <c r="AY135" s="558"/>
      <c r="AZ135" s="558"/>
      <c r="BA135" s="558"/>
      <c r="BB135" s="558"/>
      <c r="BC135" s="560"/>
      <c r="BJ135" s="561"/>
      <c r="BK135" s="562"/>
    </row>
    <row r="136" spans="2:63" s="556" customFormat="1" ht="15.75" customHeight="1">
      <c r="B136" s="774">
        <f t="shared" si="39"/>
        <v>34</v>
      </c>
      <c r="C136" s="766"/>
      <c r="D136" s="766"/>
      <c r="E136" s="701">
        <f t="shared" si="36"/>
        <v>0</v>
      </c>
      <c r="F136" s="766"/>
      <c r="G136" s="701">
        <f t="shared" si="40"/>
        <v>0</v>
      </c>
      <c r="H136" s="766"/>
      <c r="I136" s="701">
        <f t="shared" si="41"/>
        <v>0</v>
      </c>
      <c r="J136" s="766"/>
      <c r="K136" s="745">
        <f t="shared" si="24"/>
        <v>0</v>
      </c>
      <c r="L136" s="751">
        <f t="shared" si="42"/>
        <v>0</v>
      </c>
      <c r="M136" s="766"/>
      <c r="N136" s="701">
        <f t="shared" si="33"/>
        <v>0</v>
      </c>
      <c r="O136" s="745">
        <f t="shared" si="28"/>
        <v>0</v>
      </c>
      <c r="P136" s="752">
        <f>K136+O136</f>
        <v>0</v>
      </c>
      <c r="Q136" s="753">
        <f t="shared" si="31"/>
        <v>0</v>
      </c>
      <c r="R136" s="754">
        <f t="shared" si="38"/>
        <v>0</v>
      </c>
      <c r="S136" s="755">
        <f t="shared" si="37"/>
        <v>0</v>
      </c>
      <c r="T136" s="755">
        <f t="shared" si="27"/>
        <v>0</v>
      </c>
      <c r="AQ136" s="558"/>
      <c r="AR136" s="558"/>
      <c r="AS136" s="559"/>
      <c r="AT136" s="558"/>
      <c r="AU136" s="558"/>
      <c r="AV136" s="558"/>
      <c r="AW136" s="558"/>
      <c r="AX136" s="558"/>
      <c r="AY136" s="558"/>
      <c r="AZ136" s="558"/>
      <c r="BA136" s="558"/>
      <c r="BB136" s="558"/>
      <c r="BC136" s="560"/>
      <c r="BJ136" s="561"/>
      <c r="BK136" s="562"/>
    </row>
    <row r="137" spans="2:63" s="556" customFormat="1" ht="15.75" customHeight="1">
      <c r="B137" s="774">
        <f t="shared" si="39"/>
        <v>35</v>
      </c>
      <c r="C137" s="766"/>
      <c r="D137" s="766"/>
      <c r="E137" s="701">
        <f t="shared" si="36"/>
        <v>0</v>
      </c>
      <c r="F137" s="766"/>
      <c r="G137" s="701">
        <f t="shared" si="40"/>
        <v>0</v>
      </c>
      <c r="H137" s="766"/>
      <c r="I137" s="701">
        <f t="shared" si="41"/>
        <v>0</v>
      </c>
      <c r="J137" s="766"/>
      <c r="K137" s="745">
        <f t="shared" si="24"/>
        <v>0</v>
      </c>
      <c r="L137" s="751">
        <f t="shared" si="42"/>
        <v>0</v>
      </c>
      <c r="M137" s="766"/>
      <c r="N137" s="701">
        <f t="shared" si="33"/>
        <v>0</v>
      </c>
      <c r="O137" s="745">
        <f t="shared" si="28"/>
        <v>0</v>
      </c>
      <c r="P137" s="752">
        <f t="shared" si="30"/>
        <v>0</v>
      </c>
      <c r="Q137" s="753">
        <f t="shared" si="31"/>
        <v>0</v>
      </c>
      <c r="R137" s="754">
        <f t="shared" si="38"/>
        <v>0</v>
      </c>
      <c r="S137" s="755">
        <f>IF(B137&lt;=$J$7+1,$R137*-1,0)</f>
        <v>0</v>
      </c>
      <c r="T137" s="755">
        <f t="shared" si="27"/>
        <v>0</v>
      </c>
      <c r="AQ137" s="558"/>
      <c r="AR137" s="558"/>
      <c r="AS137" s="559"/>
      <c r="AT137" s="558"/>
      <c r="AU137" s="558"/>
      <c r="AV137" s="558"/>
      <c r="AW137" s="558"/>
      <c r="AX137" s="558"/>
      <c r="AY137" s="558"/>
      <c r="AZ137" s="558"/>
      <c r="BA137" s="558"/>
      <c r="BB137" s="558"/>
      <c r="BC137" s="560"/>
      <c r="BJ137" s="561"/>
      <c r="BK137" s="562"/>
    </row>
    <row r="138" spans="2:63" s="556" customFormat="1" ht="15.75" customHeight="1">
      <c r="B138" s="774">
        <f t="shared" si="39"/>
        <v>36</v>
      </c>
      <c r="C138" s="766"/>
      <c r="D138" s="766"/>
      <c r="E138" s="701">
        <f t="shared" si="36"/>
        <v>0</v>
      </c>
      <c r="F138" s="766"/>
      <c r="G138" s="701">
        <f t="shared" si="40"/>
        <v>0</v>
      </c>
      <c r="H138" s="766"/>
      <c r="I138" s="701">
        <f t="shared" si="41"/>
        <v>0</v>
      </c>
      <c r="J138" s="766"/>
      <c r="K138" s="745">
        <f t="shared" si="24"/>
        <v>0</v>
      </c>
      <c r="L138" s="751">
        <f t="shared" si="42"/>
        <v>0</v>
      </c>
      <c r="M138" s="766"/>
      <c r="N138" s="701">
        <f>T137*-1</f>
        <v>0</v>
      </c>
      <c r="O138" s="745">
        <f t="shared" si="28"/>
        <v>0</v>
      </c>
      <c r="P138" s="752">
        <f>K138+O138</f>
        <v>0</v>
      </c>
      <c r="Q138" s="753">
        <f t="shared" si="31"/>
        <v>0</v>
      </c>
      <c r="R138" s="754">
        <f>P138+Q138</f>
        <v>0</v>
      </c>
      <c r="S138" s="755">
        <f>IF(B138&lt;=$J$7+1,$R138*-1,0)</f>
        <v>0</v>
      </c>
      <c r="T138" s="755">
        <f t="shared" si="27"/>
        <v>0</v>
      </c>
      <c r="AQ138" s="558"/>
      <c r="AR138" s="558"/>
      <c r="AS138" s="559"/>
      <c r="AT138" s="558"/>
      <c r="AU138" s="558"/>
      <c r="AV138" s="558"/>
      <c r="AW138" s="558"/>
      <c r="AX138" s="558"/>
      <c r="AY138" s="558"/>
      <c r="AZ138" s="558"/>
      <c r="BA138" s="558"/>
      <c r="BB138" s="558"/>
      <c r="BC138" s="560"/>
      <c r="BJ138" s="561"/>
      <c r="BK138" s="562"/>
    </row>
    <row r="139" spans="2:63" s="556" customFormat="1" ht="15.75" customHeight="1">
      <c r="B139" s="774">
        <f t="shared" si="39"/>
        <v>37</v>
      </c>
      <c r="C139" s="766"/>
      <c r="D139" s="766"/>
      <c r="E139" s="701">
        <f t="shared" si="36"/>
        <v>0</v>
      </c>
      <c r="F139" s="766"/>
      <c r="G139" s="701">
        <f t="shared" si="40"/>
        <v>0</v>
      </c>
      <c r="H139" s="766"/>
      <c r="I139" s="701">
        <f t="shared" si="41"/>
        <v>0</v>
      </c>
      <c r="J139" s="766"/>
      <c r="K139" s="745">
        <f t="shared" si="24"/>
        <v>0</v>
      </c>
      <c r="L139" s="751">
        <f t="shared" si="42"/>
        <v>0</v>
      </c>
      <c r="M139" s="766"/>
      <c r="N139" s="701">
        <f t="shared" si="33"/>
        <v>0</v>
      </c>
      <c r="O139" s="745">
        <f t="shared" si="28"/>
        <v>0</v>
      </c>
      <c r="P139" s="752">
        <f>K139+O139</f>
        <v>0</v>
      </c>
      <c r="Q139" s="753">
        <f t="shared" si="31"/>
        <v>0</v>
      </c>
      <c r="R139" s="754">
        <f t="shared" si="38"/>
        <v>0</v>
      </c>
      <c r="S139" s="755">
        <f t="shared" si="37"/>
        <v>0</v>
      </c>
      <c r="T139" s="755">
        <f t="shared" si="27"/>
        <v>0</v>
      </c>
      <c r="AQ139" s="558"/>
      <c r="AR139" s="558"/>
      <c r="AS139" s="559"/>
      <c r="AT139" s="558"/>
      <c r="AU139" s="558"/>
      <c r="AV139" s="558"/>
      <c r="AW139" s="558"/>
      <c r="AX139" s="558"/>
      <c r="AY139" s="558"/>
      <c r="AZ139" s="558"/>
      <c r="BA139" s="558"/>
      <c r="BB139" s="558"/>
      <c r="BC139" s="560"/>
      <c r="BJ139" s="561"/>
      <c r="BK139" s="562"/>
    </row>
    <row r="140" spans="2:63" s="556" customFormat="1" ht="15.75" customHeight="1">
      <c r="B140" s="774">
        <f t="shared" si="39"/>
        <v>38</v>
      </c>
      <c r="C140" s="766"/>
      <c r="D140" s="766"/>
      <c r="E140" s="701">
        <f t="shared" si="36"/>
        <v>0</v>
      </c>
      <c r="F140" s="766"/>
      <c r="G140" s="701">
        <f t="shared" si="40"/>
        <v>0</v>
      </c>
      <c r="H140" s="766"/>
      <c r="I140" s="701">
        <f t="shared" si="41"/>
        <v>0</v>
      </c>
      <c r="J140" s="766"/>
      <c r="K140" s="745">
        <f t="shared" si="24"/>
        <v>0</v>
      </c>
      <c r="L140" s="751">
        <f t="shared" si="42"/>
        <v>0</v>
      </c>
      <c r="M140" s="766"/>
      <c r="N140" s="701">
        <f t="shared" si="33"/>
        <v>0</v>
      </c>
      <c r="O140" s="745">
        <f t="shared" si="28"/>
        <v>0</v>
      </c>
      <c r="P140" s="752">
        <f t="shared" si="30"/>
        <v>0</v>
      </c>
      <c r="Q140" s="753">
        <f>R139</f>
        <v>0</v>
      </c>
      <c r="R140" s="754">
        <f t="shared" si="38"/>
        <v>0</v>
      </c>
      <c r="S140" s="755">
        <f t="shared" si="37"/>
        <v>0</v>
      </c>
      <c r="T140" s="755">
        <f t="shared" ref="T140:T167" si="43">$S140*$G$14*1/12</f>
        <v>0</v>
      </c>
      <c r="AQ140" s="558"/>
      <c r="AR140" s="558"/>
      <c r="AS140" s="559"/>
      <c r="AT140" s="558"/>
      <c r="AU140" s="558"/>
      <c r="AV140" s="558"/>
      <c r="AW140" s="558"/>
      <c r="AX140" s="558"/>
      <c r="AY140" s="558"/>
      <c r="AZ140" s="558"/>
      <c r="BA140" s="558"/>
      <c r="BB140" s="558"/>
      <c r="BC140" s="560"/>
      <c r="BJ140" s="561"/>
      <c r="BK140" s="562"/>
    </row>
    <row r="141" spans="2:63" s="556" customFormat="1" ht="15.75" customHeight="1">
      <c r="B141" s="774">
        <f t="shared" si="39"/>
        <v>39</v>
      </c>
      <c r="C141" s="766"/>
      <c r="D141" s="766"/>
      <c r="E141" s="701">
        <f t="shared" si="36"/>
        <v>0</v>
      </c>
      <c r="F141" s="766"/>
      <c r="G141" s="701">
        <f t="shared" si="40"/>
        <v>0</v>
      </c>
      <c r="H141" s="766"/>
      <c r="I141" s="701">
        <f t="shared" si="41"/>
        <v>0</v>
      </c>
      <c r="J141" s="766"/>
      <c r="K141" s="745">
        <f t="shared" si="24"/>
        <v>0</v>
      </c>
      <c r="L141" s="751">
        <f t="shared" si="42"/>
        <v>0</v>
      </c>
      <c r="M141" s="766"/>
      <c r="N141" s="701">
        <f t="shared" si="33"/>
        <v>0</v>
      </c>
      <c r="O141" s="745">
        <f t="shared" si="28"/>
        <v>0</v>
      </c>
      <c r="P141" s="752">
        <f t="shared" si="30"/>
        <v>0</v>
      </c>
      <c r="Q141" s="753">
        <f t="shared" si="31"/>
        <v>0</v>
      </c>
      <c r="R141" s="754">
        <f t="shared" si="38"/>
        <v>0</v>
      </c>
      <c r="S141" s="755">
        <f t="shared" si="37"/>
        <v>0</v>
      </c>
      <c r="T141" s="755">
        <f t="shared" si="43"/>
        <v>0</v>
      </c>
      <c r="AQ141" s="558"/>
      <c r="AR141" s="558"/>
      <c r="AS141" s="559"/>
      <c r="AT141" s="558"/>
      <c r="AU141" s="558"/>
      <c r="AV141" s="558"/>
      <c r="AW141" s="558"/>
      <c r="AX141" s="558"/>
      <c r="AY141" s="558"/>
      <c r="AZ141" s="558"/>
      <c r="BA141" s="558"/>
      <c r="BB141" s="558"/>
      <c r="BC141" s="560"/>
      <c r="BJ141" s="561"/>
      <c r="BK141" s="562"/>
    </row>
    <row r="142" spans="2:63" s="556" customFormat="1" ht="15.75" customHeight="1">
      <c r="B142" s="774">
        <f t="shared" si="39"/>
        <v>40</v>
      </c>
      <c r="C142" s="766"/>
      <c r="D142" s="766"/>
      <c r="E142" s="701">
        <f t="shared" si="36"/>
        <v>0</v>
      </c>
      <c r="F142" s="766"/>
      <c r="G142" s="701">
        <f t="shared" si="40"/>
        <v>0</v>
      </c>
      <c r="H142" s="766"/>
      <c r="I142" s="701">
        <f t="shared" si="41"/>
        <v>0</v>
      </c>
      <c r="J142" s="766"/>
      <c r="K142" s="745">
        <f t="shared" si="24"/>
        <v>0</v>
      </c>
      <c r="L142" s="751">
        <f t="shared" si="42"/>
        <v>0</v>
      </c>
      <c r="M142" s="766"/>
      <c r="N142" s="701">
        <f t="shared" si="33"/>
        <v>0</v>
      </c>
      <c r="O142" s="745">
        <f t="shared" si="28"/>
        <v>0</v>
      </c>
      <c r="P142" s="752">
        <f t="shared" si="30"/>
        <v>0</v>
      </c>
      <c r="Q142" s="753">
        <f t="shared" si="31"/>
        <v>0</v>
      </c>
      <c r="R142" s="754">
        <f t="shared" si="38"/>
        <v>0</v>
      </c>
      <c r="S142" s="755">
        <f t="shared" si="37"/>
        <v>0</v>
      </c>
      <c r="T142" s="755">
        <f t="shared" si="43"/>
        <v>0</v>
      </c>
      <c r="AQ142" s="558"/>
      <c r="AR142" s="558"/>
      <c r="AS142" s="559"/>
      <c r="AT142" s="558"/>
      <c r="AU142" s="558"/>
      <c r="AV142" s="558"/>
      <c r="AW142" s="558"/>
      <c r="AX142" s="558"/>
      <c r="AY142" s="558"/>
      <c r="AZ142" s="558"/>
      <c r="BA142" s="558"/>
      <c r="BB142" s="558"/>
      <c r="BC142" s="560"/>
      <c r="BJ142" s="561"/>
      <c r="BK142" s="562"/>
    </row>
    <row r="143" spans="2:63" s="556" customFormat="1" ht="15.75" customHeight="1">
      <c r="B143" s="774">
        <f t="shared" si="39"/>
        <v>41</v>
      </c>
      <c r="C143" s="766"/>
      <c r="D143" s="766"/>
      <c r="E143" s="701">
        <f t="shared" si="36"/>
        <v>0</v>
      </c>
      <c r="F143" s="766"/>
      <c r="G143" s="701">
        <f t="shared" si="40"/>
        <v>0</v>
      </c>
      <c r="H143" s="766"/>
      <c r="I143" s="701">
        <f t="shared" si="41"/>
        <v>0</v>
      </c>
      <c r="J143" s="766"/>
      <c r="K143" s="745">
        <f t="shared" si="24"/>
        <v>0</v>
      </c>
      <c r="L143" s="751">
        <f t="shared" si="42"/>
        <v>0</v>
      </c>
      <c r="M143" s="766"/>
      <c r="N143" s="701">
        <f t="shared" si="33"/>
        <v>0</v>
      </c>
      <c r="O143" s="745">
        <f t="shared" si="28"/>
        <v>0</v>
      </c>
      <c r="P143" s="752">
        <f t="shared" si="30"/>
        <v>0</v>
      </c>
      <c r="Q143" s="753">
        <f t="shared" si="31"/>
        <v>0</v>
      </c>
      <c r="R143" s="754">
        <f>P143+Q143</f>
        <v>0</v>
      </c>
      <c r="S143" s="755">
        <f t="shared" si="37"/>
        <v>0</v>
      </c>
      <c r="T143" s="755">
        <f t="shared" si="43"/>
        <v>0</v>
      </c>
      <c r="AQ143" s="558"/>
      <c r="AR143" s="558"/>
      <c r="AS143" s="559"/>
      <c r="AT143" s="558"/>
      <c r="AU143" s="558"/>
      <c r="AV143" s="558"/>
      <c r="AW143" s="558"/>
      <c r="AX143" s="558"/>
      <c r="AY143" s="558"/>
      <c r="AZ143" s="558"/>
      <c r="BA143" s="558"/>
      <c r="BB143" s="558"/>
      <c r="BC143" s="560"/>
      <c r="BJ143" s="561"/>
      <c r="BK143" s="562"/>
    </row>
    <row r="144" spans="2:63" s="556" customFormat="1" ht="15.75" customHeight="1">
      <c r="B144" s="774">
        <f t="shared" si="39"/>
        <v>42</v>
      </c>
      <c r="C144" s="766"/>
      <c r="D144" s="766"/>
      <c r="E144" s="701">
        <f t="shared" si="36"/>
        <v>0</v>
      </c>
      <c r="F144" s="766"/>
      <c r="G144" s="701">
        <f t="shared" si="40"/>
        <v>0</v>
      </c>
      <c r="H144" s="766"/>
      <c r="I144" s="701">
        <f t="shared" si="41"/>
        <v>0</v>
      </c>
      <c r="J144" s="766"/>
      <c r="K144" s="745">
        <f t="shared" si="24"/>
        <v>0</v>
      </c>
      <c r="L144" s="751">
        <f t="shared" si="42"/>
        <v>0</v>
      </c>
      <c r="M144" s="766"/>
      <c r="N144" s="701">
        <f t="shared" si="33"/>
        <v>0</v>
      </c>
      <c r="O144" s="745">
        <f t="shared" si="28"/>
        <v>0</v>
      </c>
      <c r="P144" s="752">
        <f t="shared" si="30"/>
        <v>0</v>
      </c>
      <c r="Q144" s="753">
        <f>R143</f>
        <v>0</v>
      </c>
      <c r="R144" s="754">
        <f t="shared" si="38"/>
        <v>0</v>
      </c>
      <c r="S144" s="755">
        <f t="shared" si="37"/>
        <v>0</v>
      </c>
      <c r="T144" s="755">
        <f t="shared" si="43"/>
        <v>0</v>
      </c>
      <c r="AQ144" s="558"/>
      <c r="AR144" s="558"/>
      <c r="AS144" s="559"/>
      <c r="AT144" s="558"/>
      <c r="AU144" s="558"/>
      <c r="AV144" s="558"/>
      <c r="AW144" s="558"/>
      <c r="AX144" s="558"/>
      <c r="AY144" s="558"/>
      <c r="AZ144" s="558"/>
      <c r="BA144" s="558"/>
      <c r="BB144" s="558"/>
      <c r="BC144" s="560"/>
      <c r="BJ144" s="561"/>
      <c r="BK144" s="562"/>
    </row>
    <row r="145" spans="2:63" s="556" customFormat="1" ht="15.75" customHeight="1">
      <c r="B145" s="774">
        <f t="shared" si="39"/>
        <v>43</v>
      </c>
      <c r="C145" s="766"/>
      <c r="D145" s="766"/>
      <c r="E145" s="701">
        <f t="shared" si="36"/>
        <v>0</v>
      </c>
      <c r="F145" s="766"/>
      <c r="G145" s="701">
        <f t="shared" si="40"/>
        <v>0</v>
      </c>
      <c r="H145" s="766"/>
      <c r="I145" s="701">
        <f t="shared" si="41"/>
        <v>0</v>
      </c>
      <c r="J145" s="766"/>
      <c r="K145" s="745">
        <f t="shared" si="24"/>
        <v>0</v>
      </c>
      <c r="L145" s="751">
        <f t="shared" si="42"/>
        <v>0</v>
      </c>
      <c r="M145" s="766"/>
      <c r="N145" s="701">
        <f t="shared" si="33"/>
        <v>0</v>
      </c>
      <c r="O145" s="745">
        <f t="shared" si="28"/>
        <v>0</v>
      </c>
      <c r="P145" s="752">
        <f t="shared" si="30"/>
        <v>0</v>
      </c>
      <c r="Q145" s="753">
        <f t="shared" si="31"/>
        <v>0</v>
      </c>
      <c r="R145" s="754">
        <f t="shared" si="38"/>
        <v>0</v>
      </c>
      <c r="S145" s="755">
        <f t="shared" si="37"/>
        <v>0</v>
      </c>
      <c r="T145" s="755">
        <f t="shared" si="43"/>
        <v>0</v>
      </c>
      <c r="AQ145" s="558"/>
      <c r="AR145" s="558"/>
      <c r="AS145" s="559"/>
      <c r="AT145" s="558"/>
      <c r="AU145" s="558"/>
      <c r="AV145" s="558"/>
      <c r="AW145" s="558"/>
      <c r="AX145" s="558"/>
      <c r="AY145" s="558"/>
      <c r="AZ145" s="558"/>
      <c r="BA145" s="558"/>
      <c r="BB145" s="558"/>
      <c r="BC145" s="560"/>
      <c r="BJ145" s="561"/>
      <c r="BK145" s="562"/>
    </row>
    <row r="146" spans="2:63" s="556" customFormat="1" ht="15.75" customHeight="1">
      <c r="B146" s="774">
        <f t="shared" si="39"/>
        <v>44</v>
      </c>
      <c r="C146" s="766"/>
      <c r="D146" s="766"/>
      <c r="E146" s="701">
        <f t="shared" si="36"/>
        <v>0</v>
      </c>
      <c r="F146" s="766"/>
      <c r="G146" s="701">
        <f t="shared" si="40"/>
        <v>0</v>
      </c>
      <c r="H146" s="766"/>
      <c r="I146" s="701">
        <f t="shared" si="41"/>
        <v>0</v>
      </c>
      <c r="J146" s="766"/>
      <c r="K146" s="745">
        <f t="shared" si="24"/>
        <v>0</v>
      </c>
      <c r="L146" s="751">
        <f t="shared" si="42"/>
        <v>0</v>
      </c>
      <c r="M146" s="766"/>
      <c r="N146" s="701">
        <f t="shared" si="33"/>
        <v>0</v>
      </c>
      <c r="O146" s="745">
        <f t="shared" si="28"/>
        <v>0</v>
      </c>
      <c r="P146" s="752">
        <f t="shared" si="30"/>
        <v>0</v>
      </c>
      <c r="Q146" s="753">
        <f t="shared" si="31"/>
        <v>0</v>
      </c>
      <c r="R146" s="754">
        <f t="shared" si="38"/>
        <v>0</v>
      </c>
      <c r="S146" s="755">
        <f t="shared" si="37"/>
        <v>0</v>
      </c>
      <c r="T146" s="755">
        <f t="shared" si="43"/>
        <v>0</v>
      </c>
      <c r="AQ146" s="558"/>
      <c r="AR146" s="558"/>
      <c r="AS146" s="559"/>
      <c r="AT146" s="558"/>
      <c r="AU146" s="558"/>
      <c r="AV146" s="558"/>
      <c r="AW146" s="558"/>
      <c r="AX146" s="558"/>
      <c r="AY146" s="558"/>
      <c r="AZ146" s="558"/>
      <c r="BA146" s="558"/>
      <c r="BB146" s="558"/>
      <c r="BC146" s="560"/>
      <c r="BJ146" s="561"/>
      <c r="BK146" s="562"/>
    </row>
    <row r="147" spans="2:63" s="556" customFormat="1" ht="15.75" customHeight="1">
      <c r="B147" s="774">
        <f t="shared" si="39"/>
        <v>45</v>
      </c>
      <c r="C147" s="766"/>
      <c r="D147" s="766"/>
      <c r="E147" s="701">
        <f t="shared" si="36"/>
        <v>0</v>
      </c>
      <c r="F147" s="766"/>
      <c r="G147" s="701">
        <f t="shared" si="40"/>
        <v>0</v>
      </c>
      <c r="H147" s="766"/>
      <c r="I147" s="701">
        <f t="shared" si="41"/>
        <v>0</v>
      </c>
      <c r="J147" s="766"/>
      <c r="K147" s="745">
        <f t="shared" si="24"/>
        <v>0</v>
      </c>
      <c r="L147" s="751">
        <f t="shared" si="42"/>
        <v>0</v>
      </c>
      <c r="M147" s="766"/>
      <c r="N147" s="701">
        <f t="shared" si="33"/>
        <v>0</v>
      </c>
      <c r="O147" s="745">
        <f t="shared" si="28"/>
        <v>0</v>
      </c>
      <c r="P147" s="752">
        <f t="shared" si="30"/>
        <v>0</v>
      </c>
      <c r="Q147" s="753">
        <f t="shared" si="31"/>
        <v>0</v>
      </c>
      <c r="R147" s="754">
        <f t="shared" si="38"/>
        <v>0</v>
      </c>
      <c r="S147" s="755">
        <f t="shared" si="37"/>
        <v>0</v>
      </c>
      <c r="T147" s="755">
        <f t="shared" si="43"/>
        <v>0</v>
      </c>
      <c r="AQ147" s="558"/>
      <c r="AR147" s="558"/>
      <c r="AS147" s="559"/>
      <c r="AT147" s="558"/>
      <c r="AU147" s="558"/>
      <c r="AV147" s="558"/>
      <c r="AW147" s="558"/>
      <c r="AX147" s="558"/>
      <c r="AY147" s="558"/>
      <c r="AZ147" s="558"/>
      <c r="BA147" s="558"/>
      <c r="BB147" s="558"/>
      <c r="BC147" s="560"/>
      <c r="BJ147" s="561"/>
      <c r="BK147" s="562"/>
    </row>
    <row r="148" spans="2:63" s="556" customFormat="1" ht="15.75" customHeight="1">
      <c r="B148" s="774">
        <f t="shared" si="39"/>
        <v>46</v>
      </c>
      <c r="C148" s="766"/>
      <c r="D148" s="766"/>
      <c r="E148" s="701">
        <f t="shared" si="36"/>
        <v>0</v>
      </c>
      <c r="F148" s="766"/>
      <c r="G148" s="701">
        <f t="shared" si="40"/>
        <v>0</v>
      </c>
      <c r="H148" s="766"/>
      <c r="I148" s="701">
        <f t="shared" si="41"/>
        <v>0</v>
      </c>
      <c r="J148" s="766"/>
      <c r="K148" s="745">
        <f t="shared" si="24"/>
        <v>0</v>
      </c>
      <c r="L148" s="751">
        <f t="shared" si="42"/>
        <v>0</v>
      </c>
      <c r="M148" s="766"/>
      <c r="N148" s="701">
        <f t="shared" si="33"/>
        <v>0</v>
      </c>
      <c r="O148" s="745">
        <f t="shared" si="28"/>
        <v>0</v>
      </c>
      <c r="P148" s="752">
        <f t="shared" si="30"/>
        <v>0</v>
      </c>
      <c r="Q148" s="753">
        <f t="shared" si="31"/>
        <v>0</v>
      </c>
      <c r="R148" s="754">
        <f t="shared" si="38"/>
        <v>0</v>
      </c>
      <c r="S148" s="755">
        <f t="shared" si="37"/>
        <v>0</v>
      </c>
      <c r="T148" s="755">
        <f t="shared" si="43"/>
        <v>0</v>
      </c>
      <c r="AQ148" s="558"/>
      <c r="AR148" s="558"/>
      <c r="AS148" s="559"/>
      <c r="AT148" s="558"/>
      <c r="AU148" s="558"/>
      <c r="AV148" s="558"/>
      <c r="AW148" s="558"/>
      <c r="AX148" s="558"/>
      <c r="AY148" s="558"/>
      <c r="AZ148" s="558"/>
      <c r="BA148" s="558"/>
      <c r="BB148" s="558"/>
      <c r="BC148" s="560"/>
      <c r="BJ148" s="561"/>
      <c r="BK148" s="562"/>
    </row>
    <row r="149" spans="2:63" s="556" customFormat="1" ht="15.75" customHeight="1">
      <c r="B149" s="774">
        <f t="shared" si="39"/>
        <v>47</v>
      </c>
      <c r="C149" s="766"/>
      <c r="D149" s="766"/>
      <c r="E149" s="701">
        <f t="shared" si="36"/>
        <v>0</v>
      </c>
      <c r="F149" s="766"/>
      <c r="G149" s="701">
        <f t="shared" si="40"/>
        <v>0</v>
      </c>
      <c r="H149" s="766"/>
      <c r="I149" s="701">
        <f t="shared" si="41"/>
        <v>0</v>
      </c>
      <c r="J149" s="766"/>
      <c r="K149" s="745">
        <f t="shared" si="24"/>
        <v>0</v>
      </c>
      <c r="L149" s="751">
        <f t="shared" si="42"/>
        <v>0</v>
      </c>
      <c r="M149" s="766"/>
      <c r="N149" s="701">
        <f t="shared" si="33"/>
        <v>0</v>
      </c>
      <c r="O149" s="745">
        <f t="shared" si="28"/>
        <v>0</v>
      </c>
      <c r="P149" s="752">
        <f t="shared" si="30"/>
        <v>0</v>
      </c>
      <c r="Q149" s="753">
        <f>R148</f>
        <v>0</v>
      </c>
      <c r="R149" s="754">
        <f t="shared" si="38"/>
        <v>0</v>
      </c>
      <c r="S149" s="755">
        <f t="shared" si="37"/>
        <v>0</v>
      </c>
      <c r="T149" s="755">
        <f t="shared" si="43"/>
        <v>0</v>
      </c>
      <c r="AQ149" s="558"/>
      <c r="AR149" s="558"/>
      <c r="AS149" s="559"/>
      <c r="AT149" s="558"/>
      <c r="AU149" s="558"/>
      <c r="AV149" s="558"/>
      <c r="AW149" s="558"/>
      <c r="AX149" s="558"/>
      <c r="AY149" s="558"/>
      <c r="AZ149" s="558"/>
      <c r="BA149" s="558"/>
      <c r="BB149" s="558"/>
      <c r="BC149" s="560"/>
      <c r="BJ149" s="561"/>
      <c r="BK149" s="562"/>
    </row>
    <row r="150" spans="2:63" s="556" customFormat="1" ht="15.75" customHeight="1">
      <c r="B150" s="774">
        <f t="shared" si="39"/>
        <v>48</v>
      </c>
      <c r="C150" s="766"/>
      <c r="D150" s="766"/>
      <c r="E150" s="701">
        <f t="shared" si="36"/>
        <v>0</v>
      </c>
      <c r="F150" s="766"/>
      <c r="G150" s="701">
        <f t="shared" si="40"/>
        <v>0</v>
      </c>
      <c r="H150" s="766"/>
      <c r="I150" s="701">
        <f t="shared" si="41"/>
        <v>0</v>
      </c>
      <c r="J150" s="766"/>
      <c r="K150" s="745">
        <f t="shared" si="24"/>
        <v>0</v>
      </c>
      <c r="L150" s="751">
        <f t="shared" si="42"/>
        <v>0</v>
      </c>
      <c r="M150" s="766"/>
      <c r="N150" s="701">
        <f t="shared" si="33"/>
        <v>0</v>
      </c>
      <c r="O150" s="745">
        <f t="shared" si="28"/>
        <v>0</v>
      </c>
      <c r="P150" s="752">
        <f t="shared" si="30"/>
        <v>0</v>
      </c>
      <c r="Q150" s="753">
        <f t="shared" si="31"/>
        <v>0</v>
      </c>
      <c r="R150" s="754">
        <f t="shared" si="38"/>
        <v>0</v>
      </c>
      <c r="S150" s="755">
        <f t="shared" si="37"/>
        <v>0</v>
      </c>
      <c r="T150" s="755">
        <f t="shared" si="43"/>
        <v>0</v>
      </c>
      <c r="AQ150" s="558"/>
      <c r="AR150" s="558"/>
      <c r="AS150" s="559"/>
      <c r="AT150" s="558"/>
      <c r="AU150" s="558"/>
      <c r="AV150" s="558"/>
      <c r="AW150" s="558"/>
      <c r="AX150" s="558"/>
      <c r="AY150" s="558"/>
      <c r="AZ150" s="558"/>
      <c r="BA150" s="558"/>
      <c r="BB150" s="558"/>
      <c r="BC150" s="560"/>
      <c r="BJ150" s="561"/>
      <c r="BK150" s="562"/>
    </row>
    <row r="151" spans="2:63" s="556" customFormat="1" ht="15.75" customHeight="1">
      <c r="B151" s="774">
        <f t="shared" si="39"/>
        <v>49</v>
      </c>
      <c r="C151" s="766"/>
      <c r="D151" s="766"/>
      <c r="E151" s="701">
        <f t="shared" si="36"/>
        <v>0</v>
      </c>
      <c r="F151" s="766"/>
      <c r="G151" s="701">
        <f t="shared" si="40"/>
        <v>0</v>
      </c>
      <c r="H151" s="766"/>
      <c r="I151" s="701">
        <f t="shared" si="41"/>
        <v>0</v>
      </c>
      <c r="J151" s="766"/>
      <c r="K151" s="745">
        <f t="shared" si="24"/>
        <v>0</v>
      </c>
      <c r="L151" s="751">
        <f t="shared" si="42"/>
        <v>0</v>
      </c>
      <c r="M151" s="766"/>
      <c r="N151" s="701">
        <f t="shared" si="33"/>
        <v>0</v>
      </c>
      <c r="O151" s="745">
        <f t="shared" si="28"/>
        <v>0</v>
      </c>
      <c r="P151" s="752">
        <f>K151+O151</f>
        <v>0</v>
      </c>
      <c r="Q151" s="753">
        <f t="shared" si="31"/>
        <v>0</v>
      </c>
      <c r="R151" s="754">
        <f t="shared" si="38"/>
        <v>0</v>
      </c>
      <c r="S151" s="755">
        <f t="shared" si="37"/>
        <v>0</v>
      </c>
      <c r="T151" s="755">
        <f t="shared" si="43"/>
        <v>0</v>
      </c>
      <c r="AQ151" s="558"/>
      <c r="AR151" s="558"/>
      <c r="AS151" s="559"/>
      <c r="AT151" s="558"/>
      <c r="AU151" s="558"/>
      <c r="AV151" s="558"/>
      <c r="AW151" s="558"/>
      <c r="AX151" s="558"/>
      <c r="AY151" s="558"/>
      <c r="AZ151" s="558"/>
      <c r="BA151" s="558"/>
      <c r="BB151" s="558"/>
      <c r="BC151" s="560"/>
      <c r="BJ151" s="561"/>
      <c r="BK151" s="562"/>
    </row>
    <row r="152" spans="2:63" s="556" customFormat="1" ht="15.75" customHeight="1">
      <c r="B152" s="774">
        <f t="shared" si="39"/>
        <v>50</v>
      </c>
      <c r="C152" s="766"/>
      <c r="D152" s="766"/>
      <c r="E152" s="701">
        <f t="shared" si="36"/>
        <v>0</v>
      </c>
      <c r="F152" s="766"/>
      <c r="G152" s="701">
        <f t="shared" si="40"/>
        <v>0</v>
      </c>
      <c r="H152" s="766"/>
      <c r="I152" s="701">
        <f t="shared" si="41"/>
        <v>0</v>
      </c>
      <c r="J152" s="766"/>
      <c r="K152" s="745">
        <f t="shared" si="24"/>
        <v>0</v>
      </c>
      <c r="L152" s="751">
        <f t="shared" si="42"/>
        <v>0</v>
      </c>
      <c r="M152" s="766"/>
      <c r="N152" s="701">
        <f>T151*-1</f>
        <v>0</v>
      </c>
      <c r="O152" s="745">
        <f t="shared" si="28"/>
        <v>0</v>
      </c>
      <c r="P152" s="752">
        <f>K152+O152</f>
        <v>0</v>
      </c>
      <c r="Q152" s="753">
        <f>R151</f>
        <v>0</v>
      </c>
      <c r="R152" s="754">
        <f t="shared" si="38"/>
        <v>0</v>
      </c>
      <c r="S152" s="755">
        <f t="shared" si="37"/>
        <v>0</v>
      </c>
      <c r="T152" s="755">
        <f t="shared" si="43"/>
        <v>0</v>
      </c>
      <c r="AQ152" s="558"/>
      <c r="AR152" s="558"/>
      <c r="AS152" s="559"/>
      <c r="AT152" s="558"/>
      <c r="AU152" s="558"/>
      <c r="AV152" s="558"/>
      <c r="AW152" s="558"/>
      <c r="AX152" s="558"/>
      <c r="AY152" s="558"/>
      <c r="AZ152" s="558"/>
      <c r="BA152" s="558"/>
      <c r="BB152" s="558"/>
      <c r="BC152" s="560"/>
      <c r="BJ152" s="561"/>
      <c r="BK152" s="562"/>
    </row>
    <row r="153" spans="2:63" s="556" customFormat="1" ht="15.75" customHeight="1">
      <c r="B153" s="774">
        <f t="shared" si="39"/>
        <v>51</v>
      </c>
      <c r="C153" s="766"/>
      <c r="D153" s="766"/>
      <c r="E153" s="701">
        <f t="shared" si="36"/>
        <v>0</v>
      </c>
      <c r="F153" s="766"/>
      <c r="G153" s="701">
        <f t="shared" si="40"/>
        <v>0</v>
      </c>
      <c r="H153" s="766"/>
      <c r="I153" s="701">
        <f t="shared" si="41"/>
        <v>0</v>
      </c>
      <c r="J153" s="766"/>
      <c r="K153" s="745">
        <f t="shared" si="24"/>
        <v>0</v>
      </c>
      <c r="L153" s="751">
        <f t="shared" si="42"/>
        <v>0</v>
      </c>
      <c r="M153" s="766"/>
      <c r="N153" s="701">
        <f t="shared" si="33"/>
        <v>0</v>
      </c>
      <c r="O153" s="745">
        <f t="shared" si="28"/>
        <v>0</v>
      </c>
      <c r="P153" s="752">
        <f t="shared" si="30"/>
        <v>0</v>
      </c>
      <c r="Q153" s="753">
        <f t="shared" si="31"/>
        <v>0</v>
      </c>
      <c r="R153" s="754">
        <f t="shared" si="38"/>
        <v>0</v>
      </c>
      <c r="S153" s="755">
        <f t="shared" si="37"/>
        <v>0</v>
      </c>
      <c r="T153" s="755">
        <f t="shared" si="43"/>
        <v>0</v>
      </c>
      <c r="AQ153" s="558"/>
      <c r="AR153" s="558"/>
      <c r="AS153" s="559"/>
      <c r="AT153" s="558"/>
      <c r="AU153" s="558"/>
      <c r="AV153" s="558"/>
      <c r="AW153" s="558"/>
      <c r="AX153" s="558"/>
      <c r="AY153" s="558"/>
      <c r="AZ153" s="558"/>
      <c r="BA153" s="558"/>
      <c r="BB153" s="558"/>
      <c r="BC153" s="560"/>
      <c r="BJ153" s="561"/>
      <c r="BK153" s="562"/>
    </row>
    <row r="154" spans="2:63" s="556" customFormat="1" ht="15.75" customHeight="1">
      <c r="B154" s="774">
        <f t="shared" si="39"/>
        <v>52</v>
      </c>
      <c r="C154" s="766"/>
      <c r="D154" s="766"/>
      <c r="E154" s="701">
        <f t="shared" si="36"/>
        <v>0</v>
      </c>
      <c r="F154" s="766"/>
      <c r="G154" s="701">
        <f t="shared" si="40"/>
        <v>0</v>
      </c>
      <c r="H154" s="766"/>
      <c r="I154" s="701">
        <f t="shared" si="41"/>
        <v>0</v>
      </c>
      <c r="J154" s="766"/>
      <c r="K154" s="745">
        <f t="shared" si="24"/>
        <v>0</v>
      </c>
      <c r="L154" s="751">
        <f t="shared" si="42"/>
        <v>0</v>
      </c>
      <c r="M154" s="766"/>
      <c r="N154" s="701">
        <f t="shared" si="33"/>
        <v>0</v>
      </c>
      <c r="O154" s="745">
        <f t="shared" si="28"/>
        <v>0</v>
      </c>
      <c r="P154" s="752">
        <f t="shared" si="30"/>
        <v>0</v>
      </c>
      <c r="Q154" s="753">
        <f t="shared" si="31"/>
        <v>0</v>
      </c>
      <c r="R154" s="754">
        <f t="shared" si="38"/>
        <v>0</v>
      </c>
      <c r="S154" s="755">
        <f t="shared" si="37"/>
        <v>0</v>
      </c>
      <c r="T154" s="755">
        <f t="shared" si="43"/>
        <v>0</v>
      </c>
      <c r="AQ154" s="558"/>
      <c r="AR154" s="558"/>
      <c r="AS154" s="559"/>
      <c r="AT154" s="558"/>
      <c r="AU154" s="558"/>
      <c r="AV154" s="558"/>
      <c r="AW154" s="558"/>
      <c r="AX154" s="558"/>
      <c r="AY154" s="558"/>
      <c r="AZ154" s="558"/>
      <c r="BA154" s="558"/>
      <c r="BB154" s="558"/>
      <c r="BC154" s="560"/>
      <c r="BJ154" s="561"/>
      <c r="BK154" s="562"/>
    </row>
    <row r="155" spans="2:63" s="556" customFormat="1" ht="15.75" customHeight="1">
      <c r="B155" s="774">
        <f t="shared" si="39"/>
        <v>53</v>
      </c>
      <c r="C155" s="766"/>
      <c r="D155" s="766"/>
      <c r="E155" s="701">
        <f t="shared" si="36"/>
        <v>0</v>
      </c>
      <c r="F155" s="766"/>
      <c r="G155" s="701">
        <f t="shared" si="40"/>
        <v>0</v>
      </c>
      <c r="H155" s="766"/>
      <c r="I155" s="701">
        <f t="shared" si="41"/>
        <v>0</v>
      </c>
      <c r="J155" s="766"/>
      <c r="K155" s="745">
        <f t="shared" si="24"/>
        <v>0</v>
      </c>
      <c r="L155" s="751">
        <f t="shared" si="42"/>
        <v>0</v>
      </c>
      <c r="M155" s="766"/>
      <c r="N155" s="701">
        <f t="shared" si="33"/>
        <v>0</v>
      </c>
      <c r="O155" s="745">
        <f t="shared" si="28"/>
        <v>0</v>
      </c>
      <c r="P155" s="752">
        <f t="shared" si="30"/>
        <v>0</v>
      </c>
      <c r="Q155" s="753">
        <f t="shared" si="31"/>
        <v>0</v>
      </c>
      <c r="R155" s="754">
        <f t="shared" si="38"/>
        <v>0</v>
      </c>
      <c r="S155" s="755">
        <f t="shared" si="37"/>
        <v>0</v>
      </c>
      <c r="T155" s="755">
        <f t="shared" si="43"/>
        <v>0</v>
      </c>
      <c r="AQ155" s="558"/>
      <c r="AR155" s="558"/>
      <c r="AS155" s="559"/>
      <c r="AT155" s="558"/>
      <c r="AU155" s="558"/>
      <c r="AV155" s="558"/>
      <c r="AW155" s="558"/>
      <c r="AX155" s="558"/>
      <c r="AY155" s="558"/>
      <c r="AZ155" s="558"/>
      <c r="BA155" s="558"/>
      <c r="BB155" s="558"/>
      <c r="BC155" s="560"/>
      <c r="BJ155" s="561"/>
      <c r="BK155" s="562"/>
    </row>
    <row r="156" spans="2:63" s="556" customFormat="1" ht="15.75" customHeight="1">
      <c r="B156" s="774">
        <f t="shared" si="39"/>
        <v>54</v>
      </c>
      <c r="C156" s="766"/>
      <c r="D156" s="766"/>
      <c r="E156" s="701">
        <f t="shared" si="36"/>
        <v>0</v>
      </c>
      <c r="F156" s="766"/>
      <c r="G156" s="701">
        <f t="shared" si="40"/>
        <v>0</v>
      </c>
      <c r="H156" s="766"/>
      <c r="I156" s="701">
        <f t="shared" si="41"/>
        <v>0</v>
      </c>
      <c r="J156" s="766"/>
      <c r="K156" s="745">
        <f t="shared" si="24"/>
        <v>0</v>
      </c>
      <c r="L156" s="751">
        <f t="shared" si="42"/>
        <v>0</v>
      </c>
      <c r="M156" s="766"/>
      <c r="N156" s="701">
        <f t="shared" si="33"/>
        <v>0</v>
      </c>
      <c r="O156" s="745">
        <f t="shared" si="28"/>
        <v>0</v>
      </c>
      <c r="P156" s="752">
        <f t="shared" si="30"/>
        <v>0</v>
      </c>
      <c r="Q156" s="753">
        <f t="shared" si="31"/>
        <v>0</v>
      </c>
      <c r="R156" s="754">
        <f t="shared" si="38"/>
        <v>0</v>
      </c>
      <c r="S156" s="755">
        <f t="shared" si="37"/>
        <v>0</v>
      </c>
      <c r="T156" s="755">
        <f t="shared" si="43"/>
        <v>0</v>
      </c>
      <c r="AQ156" s="558"/>
      <c r="AR156" s="558"/>
      <c r="AS156" s="559"/>
      <c r="AT156" s="558"/>
      <c r="AU156" s="558"/>
      <c r="AV156" s="558"/>
      <c r="AW156" s="558"/>
      <c r="AX156" s="558"/>
      <c r="AY156" s="558"/>
      <c r="AZ156" s="558"/>
      <c r="BA156" s="558"/>
      <c r="BB156" s="558"/>
      <c r="BC156" s="560"/>
      <c r="BJ156" s="561"/>
      <c r="BK156" s="562"/>
    </row>
    <row r="157" spans="2:63" s="556" customFormat="1" ht="15.75" customHeight="1">
      <c r="B157" s="774">
        <f t="shared" si="39"/>
        <v>55</v>
      </c>
      <c r="C157" s="766"/>
      <c r="D157" s="766"/>
      <c r="E157" s="701">
        <f t="shared" si="36"/>
        <v>0</v>
      </c>
      <c r="F157" s="766"/>
      <c r="G157" s="701">
        <f t="shared" si="40"/>
        <v>0</v>
      </c>
      <c r="H157" s="766"/>
      <c r="I157" s="701">
        <f t="shared" si="41"/>
        <v>0</v>
      </c>
      <c r="J157" s="766"/>
      <c r="K157" s="745">
        <f t="shared" si="24"/>
        <v>0</v>
      </c>
      <c r="L157" s="751">
        <f t="shared" si="42"/>
        <v>0</v>
      </c>
      <c r="M157" s="766"/>
      <c r="N157" s="701">
        <f t="shared" si="33"/>
        <v>0</v>
      </c>
      <c r="O157" s="745">
        <f t="shared" si="28"/>
        <v>0</v>
      </c>
      <c r="P157" s="752">
        <f t="shared" si="30"/>
        <v>0</v>
      </c>
      <c r="Q157" s="753">
        <f t="shared" si="31"/>
        <v>0</v>
      </c>
      <c r="R157" s="754">
        <f t="shared" si="38"/>
        <v>0</v>
      </c>
      <c r="S157" s="755">
        <f t="shared" si="37"/>
        <v>0</v>
      </c>
      <c r="T157" s="755">
        <f t="shared" si="43"/>
        <v>0</v>
      </c>
      <c r="AQ157" s="558"/>
      <c r="AR157" s="558"/>
      <c r="AS157" s="559"/>
      <c r="AT157" s="558"/>
      <c r="AU157" s="558"/>
      <c r="AV157" s="558"/>
      <c r="AW157" s="558"/>
      <c r="AX157" s="558"/>
      <c r="AY157" s="558"/>
      <c r="AZ157" s="558"/>
      <c r="BA157" s="558"/>
      <c r="BB157" s="558"/>
      <c r="BC157" s="560"/>
      <c r="BJ157" s="561"/>
      <c r="BK157" s="562"/>
    </row>
    <row r="158" spans="2:63" s="556" customFormat="1" ht="15.75" customHeight="1">
      <c r="B158" s="774">
        <f t="shared" si="39"/>
        <v>56</v>
      </c>
      <c r="C158" s="766"/>
      <c r="D158" s="766"/>
      <c r="E158" s="701">
        <f t="shared" si="36"/>
        <v>0</v>
      </c>
      <c r="F158" s="766"/>
      <c r="G158" s="701">
        <f t="shared" si="40"/>
        <v>0</v>
      </c>
      <c r="H158" s="766"/>
      <c r="I158" s="701">
        <f t="shared" si="41"/>
        <v>0</v>
      </c>
      <c r="J158" s="766"/>
      <c r="K158" s="745">
        <f t="shared" si="24"/>
        <v>0</v>
      </c>
      <c r="L158" s="751">
        <f t="shared" si="42"/>
        <v>0</v>
      </c>
      <c r="M158" s="766"/>
      <c r="N158" s="701">
        <f t="shared" si="33"/>
        <v>0</v>
      </c>
      <c r="O158" s="745">
        <f t="shared" si="28"/>
        <v>0</v>
      </c>
      <c r="P158" s="752">
        <f t="shared" si="30"/>
        <v>0</v>
      </c>
      <c r="Q158" s="753">
        <f t="shared" si="31"/>
        <v>0</v>
      </c>
      <c r="R158" s="754">
        <f t="shared" si="38"/>
        <v>0</v>
      </c>
      <c r="S158" s="755">
        <f t="shared" si="37"/>
        <v>0</v>
      </c>
      <c r="T158" s="755">
        <f t="shared" si="43"/>
        <v>0</v>
      </c>
      <c r="AQ158" s="558"/>
      <c r="AR158" s="558"/>
      <c r="AS158" s="559"/>
      <c r="AT158" s="558"/>
      <c r="AU158" s="558"/>
      <c r="AV158" s="558"/>
      <c r="AW158" s="558"/>
      <c r="AX158" s="558"/>
      <c r="AY158" s="558"/>
      <c r="AZ158" s="558"/>
      <c r="BA158" s="558"/>
      <c r="BB158" s="558"/>
      <c r="BC158" s="560"/>
      <c r="BJ158" s="561"/>
      <c r="BK158" s="562"/>
    </row>
    <row r="159" spans="2:63" s="556" customFormat="1" ht="15.75" customHeight="1">
      <c r="B159" s="774">
        <f t="shared" si="39"/>
        <v>57</v>
      </c>
      <c r="C159" s="766"/>
      <c r="D159" s="766"/>
      <c r="E159" s="701">
        <f t="shared" si="36"/>
        <v>0</v>
      </c>
      <c r="F159" s="766"/>
      <c r="G159" s="701">
        <f t="shared" si="40"/>
        <v>0</v>
      </c>
      <c r="H159" s="766"/>
      <c r="I159" s="701">
        <f t="shared" si="41"/>
        <v>0</v>
      </c>
      <c r="J159" s="766"/>
      <c r="K159" s="745">
        <f t="shared" si="24"/>
        <v>0</v>
      </c>
      <c r="L159" s="751">
        <f t="shared" si="42"/>
        <v>0</v>
      </c>
      <c r="M159" s="766"/>
      <c r="N159" s="701">
        <f t="shared" si="33"/>
        <v>0</v>
      </c>
      <c r="O159" s="745">
        <f t="shared" si="28"/>
        <v>0</v>
      </c>
      <c r="P159" s="752">
        <f t="shared" si="30"/>
        <v>0</v>
      </c>
      <c r="Q159" s="753">
        <f t="shared" si="31"/>
        <v>0</v>
      </c>
      <c r="R159" s="754">
        <f t="shared" si="38"/>
        <v>0</v>
      </c>
      <c r="S159" s="755">
        <f t="shared" si="37"/>
        <v>0</v>
      </c>
      <c r="T159" s="755">
        <f t="shared" si="43"/>
        <v>0</v>
      </c>
      <c r="AQ159" s="558"/>
      <c r="AR159" s="558"/>
      <c r="AS159" s="559"/>
      <c r="AT159" s="558"/>
      <c r="AU159" s="558"/>
      <c r="AV159" s="558"/>
      <c r="AW159" s="558"/>
      <c r="AX159" s="558"/>
      <c r="AY159" s="558"/>
      <c r="AZ159" s="558"/>
      <c r="BA159" s="558"/>
      <c r="BB159" s="558"/>
      <c r="BC159" s="560"/>
      <c r="BJ159" s="561"/>
      <c r="BK159" s="562"/>
    </row>
    <row r="160" spans="2:63" s="556" customFormat="1" ht="15.75" customHeight="1">
      <c r="B160" s="774">
        <f t="shared" si="39"/>
        <v>58</v>
      </c>
      <c r="C160" s="766"/>
      <c r="D160" s="766"/>
      <c r="E160" s="701">
        <f t="shared" si="36"/>
        <v>0</v>
      </c>
      <c r="F160" s="766"/>
      <c r="G160" s="701">
        <f t="shared" si="40"/>
        <v>0</v>
      </c>
      <c r="H160" s="766"/>
      <c r="I160" s="701">
        <f t="shared" si="41"/>
        <v>0</v>
      </c>
      <c r="J160" s="766"/>
      <c r="K160" s="745">
        <f t="shared" si="24"/>
        <v>0</v>
      </c>
      <c r="L160" s="751">
        <f t="shared" si="42"/>
        <v>0</v>
      </c>
      <c r="M160" s="766"/>
      <c r="N160" s="701">
        <f t="shared" si="33"/>
        <v>0</v>
      </c>
      <c r="O160" s="745">
        <f t="shared" si="28"/>
        <v>0</v>
      </c>
      <c r="P160" s="752">
        <f t="shared" si="30"/>
        <v>0</v>
      </c>
      <c r="Q160" s="753">
        <f t="shared" si="31"/>
        <v>0</v>
      </c>
      <c r="R160" s="754">
        <f t="shared" si="38"/>
        <v>0</v>
      </c>
      <c r="S160" s="755">
        <f t="shared" si="37"/>
        <v>0</v>
      </c>
      <c r="T160" s="755">
        <f t="shared" si="43"/>
        <v>0</v>
      </c>
      <c r="AQ160" s="558"/>
      <c r="AR160" s="558"/>
      <c r="AS160" s="559"/>
      <c r="AT160" s="558"/>
      <c r="AU160" s="558"/>
      <c r="AV160" s="558"/>
      <c r="AW160" s="558"/>
      <c r="AX160" s="558"/>
      <c r="AY160" s="558"/>
      <c r="AZ160" s="558"/>
      <c r="BA160" s="558"/>
      <c r="BB160" s="558"/>
      <c r="BC160" s="560"/>
      <c r="BJ160" s="561"/>
      <c r="BK160" s="562"/>
    </row>
    <row r="161" spans="2:63" s="556" customFormat="1" ht="15.75" customHeight="1">
      <c r="B161" s="774">
        <f t="shared" si="39"/>
        <v>59</v>
      </c>
      <c r="C161" s="766"/>
      <c r="D161" s="766"/>
      <c r="E161" s="701">
        <f t="shared" si="36"/>
        <v>0</v>
      </c>
      <c r="F161" s="766"/>
      <c r="G161" s="701">
        <f t="shared" si="40"/>
        <v>0</v>
      </c>
      <c r="H161" s="766"/>
      <c r="I161" s="701">
        <f t="shared" si="41"/>
        <v>0</v>
      </c>
      <c r="J161" s="766"/>
      <c r="K161" s="745">
        <f t="shared" si="24"/>
        <v>0</v>
      </c>
      <c r="L161" s="751">
        <f t="shared" si="42"/>
        <v>0</v>
      </c>
      <c r="M161" s="766"/>
      <c r="N161" s="701">
        <f t="shared" si="33"/>
        <v>0</v>
      </c>
      <c r="O161" s="745">
        <f t="shared" si="28"/>
        <v>0</v>
      </c>
      <c r="P161" s="752">
        <f t="shared" si="30"/>
        <v>0</v>
      </c>
      <c r="Q161" s="753">
        <f t="shared" si="31"/>
        <v>0</v>
      </c>
      <c r="R161" s="754">
        <f t="shared" si="38"/>
        <v>0</v>
      </c>
      <c r="S161" s="755">
        <f t="shared" si="37"/>
        <v>0</v>
      </c>
      <c r="T161" s="755">
        <f t="shared" si="43"/>
        <v>0</v>
      </c>
      <c r="AQ161" s="558"/>
      <c r="AR161" s="558"/>
      <c r="AS161" s="559"/>
      <c r="AT161" s="558"/>
      <c r="AU161" s="558"/>
      <c r="AV161" s="558"/>
      <c r="AW161" s="558"/>
      <c r="AX161" s="558"/>
      <c r="AY161" s="558"/>
      <c r="AZ161" s="558"/>
      <c r="BA161" s="558"/>
      <c r="BB161" s="558"/>
      <c r="BC161" s="560"/>
      <c r="BJ161" s="561"/>
      <c r="BK161" s="562"/>
    </row>
    <row r="162" spans="2:63" s="556" customFormat="1" ht="15.75" customHeight="1">
      <c r="B162" s="774">
        <f t="shared" si="39"/>
        <v>60</v>
      </c>
      <c r="C162" s="766"/>
      <c r="D162" s="766"/>
      <c r="E162" s="701">
        <f t="shared" si="36"/>
        <v>0</v>
      </c>
      <c r="F162" s="766"/>
      <c r="G162" s="701">
        <f t="shared" si="40"/>
        <v>0</v>
      </c>
      <c r="H162" s="766"/>
      <c r="I162" s="701">
        <f t="shared" si="41"/>
        <v>0</v>
      </c>
      <c r="J162" s="766"/>
      <c r="K162" s="745">
        <f t="shared" si="24"/>
        <v>0</v>
      </c>
      <c r="L162" s="751">
        <f t="shared" si="42"/>
        <v>0</v>
      </c>
      <c r="M162" s="766"/>
      <c r="N162" s="701">
        <f t="shared" si="33"/>
        <v>0</v>
      </c>
      <c r="O162" s="745">
        <f t="shared" si="28"/>
        <v>0</v>
      </c>
      <c r="P162" s="752">
        <f t="shared" si="30"/>
        <v>0</v>
      </c>
      <c r="Q162" s="753">
        <f t="shared" si="31"/>
        <v>0</v>
      </c>
      <c r="R162" s="754">
        <f t="shared" si="38"/>
        <v>0</v>
      </c>
      <c r="S162" s="755">
        <f t="shared" si="37"/>
        <v>0</v>
      </c>
      <c r="T162" s="755">
        <f t="shared" si="43"/>
        <v>0</v>
      </c>
      <c r="AQ162" s="558"/>
      <c r="AR162" s="558"/>
      <c r="AS162" s="559"/>
      <c r="AT162" s="558"/>
      <c r="AU162" s="558"/>
      <c r="AV162" s="558"/>
      <c r="AW162" s="558"/>
      <c r="AX162" s="558"/>
      <c r="AY162" s="558"/>
      <c r="AZ162" s="558"/>
      <c r="BA162" s="558"/>
      <c r="BB162" s="558"/>
      <c r="BC162" s="560"/>
      <c r="BJ162" s="561"/>
      <c r="BK162" s="562"/>
    </row>
    <row r="163" spans="2:63" s="556" customFormat="1" ht="15.75" customHeight="1">
      <c r="B163" s="774">
        <f t="shared" ref="B163:B167" si="44">B86</f>
        <v>61</v>
      </c>
      <c r="C163" s="766"/>
      <c r="D163" s="766"/>
      <c r="E163" s="701">
        <f t="shared" si="36"/>
        <v>0</v>
      </c>
      <c r="F163" s="766"/>
      <c r="G163" s="701">
        <v>0</v>
      </c>
      <c r="H163" s="766"/>
      <c r="I163" s="701">
        <f t="shared" ref="I163:I167" si="45">Y86</f>
        <v>0</v>
      </c>
      <c r="J163" s="766"/>
      <c r="K163" s="745">
        <f t="shared" ref="K163:K167" si="46">C163+E163+F163+G163+H163+I163+J163+D163</f>
        <v>0</v>
      </c>
      <c r="L163" s="751">
        <f t="shared" si="42"/>
        <v>0</v>
      </c>
      <c r="M163" s="766"/>
      <c r="N163" s="701">
        <f t="shared" si="33"/>
        <v>0</v>
      </c>
      <c r="O163" s="745">
        <f t="shared" si="28"/>
        <v>0</v>
      </c>
      <c r="P163" s="752">
        <f>K163+O163</f>
        <v>0</v>
      </c>
      <c r="Q163" s="753">
        <f t="shared" si="31"/>
        <v>0</v>
      </c>
      <c r="R163" s="754">
        <f t="shared" si="38"/>
        <v>0</v>
      </c>
      <c r="S163" s="755">
        <f t="shared" si="37"/>
        <v>0</v>
      </c>
      <c r="T163" s="755">
        <f t="shared" si="43"/>
        <v>0</v>
      </c>
      <c r="AQ163" s="558"/>
      <c r="AR163" s="558"/>
      <c r="AS163" s="559"/>
      <c r="AT163" s="558"/>
      <c r="AU163" s="558"/>
      <c r="AV163" s="558"/>
      <c r="AW163" s="558"/>
      <c r="AX163" s="558"/>
      <c r="AY163" s="558"/>
      <c r="AZ163" s="558"/>
      <c r="BA163" s="558"/>
      <c r="BB163" s="558"/>
      <c r="BC163" s="560"/>
      <c r="BJ163" s="561"/>
      <c r="BK163" s="562"/>
    </row>
    <row r="164" spans="2:63" s="556" customFormat="1" ht="15.75" customHeight="1">
      <c r="B164" s="774">
        <f t="shared" si="44"/>
        <v>62</v>
      </c>
      <c r="C164" s="766"/>
      <c r="D164" s="766"/>
      <c r="E164" s="701">
        <f t="shared" si="36"/>
        <v>0</v>
      </c>
      <c r="F164" s="766"/>
      <c r="G164" s="701">
        <f>W87</f>
        <v>0</v>
      </c>
      <c r="H164" s="766"/>
      <c r="I164" s="701">
        <f t="shared" si="45"/>
        <v>0</v>
      </c>
      <c r="J164" s="766"/>
      <c r="K164" s="745">
        <f t="shared" si="46"/>
        <v>0</v>
      </c>
      <c r="L164" s="751">
        <f t="shared" si="42"/>
        <v>0</v>
      </c>
      <c r="M164" s="766"/>
      <c r="N164" s="701">
        <f t="shared" si="33"/>
        <v>0</v>
      </c>
      <c r="O164" s="745">
        <f>L164+M164+N164</f>
        <v>0</v>
      </c>
      <c r="P164" s="752">
        <f>K164+O164</f>
        <v>0</v>
      </c>
      <c r="Q164" s="753">
        <f t="shared" si="31"/>
        <v>0</v>
      </c>
      <c r="R164" s="754">
        <f t="shared" si="38"/>
        <v>0</v>
      </c>
      <c r="S164" s="755">
        <f t="shared" si="37"/>
        <v>0</v>
      </c>
      <c r="T164" s="755">
        <f t="shared" si="43"/>
        <v>0</v>
      </c>
      <c r="AQ164" s="558"/>
      <c r="AR164" s="558"/>
      <c r="AS164" s="559"/>
      <c r="AT164" s="558"/>
      <c r="AU164" s="558"/>
      <c r="AV164" s="558"/>
      <c r="AW164" s="558"/>
      <c r="AX164" s="558"/>
      <c r="AY164" s="558"/>
      <c r="AZ164" s="558"/>
      <c r="BA164" s="558"/>
      <c r="BB164" s="558"/>
      <c r="BC164" s="560"/>
      <c r="BJ164" s="561"/>
      <c r="BK164" s="562"/>
    </row>
    <row r="165" spans="2:63" s="556" customFormat="1" ht="15.75" customHeight="1">
      <c r="B165" s="774">
        <f t="shared" si="44"/>
        <v>63</v>
      </c>
      <c r="C165" s="766"/>
      <c r="D165" s="766"/>
      <c r="E165" s="701">
        <f t="shared" si="36"/>
        <v>0</v>
      </c>
      <c r="F165" s="766"/>
      <c r="G165" s="701">
        <f>W88</f>
        <v>0</v>
      </c>
      <c r="H165" s="766"/>
      <c r="I165" s="701">
        <f t="shared" si="45"/>
        <v>0</v>
      </c>
      <c r="J165" s="766"/>
      <c r="K165" s="745">
        <f t="shared" si="46"/>
        <v>0</v>
      </c>
      <c r="L165" s="751">
        <f t="shared" si="42"/>
        <v>0</v>
      </c>
      <c r="M165" s="766"/>
      <c r="N165" s="701">
        <f t="shared" si="33"/>
        <v>0</v>
      </c>
      <c r="O165" s="745">
        <f>L165+M165+N165</f>
        <v>0</v>
      </c>
      <c r="P165" s="752">
        <f>K165+O165</f>
        <v>0</v>
      </c>
      <c r="Q165" s="753">
        <f>R164</f>
        <v>0</v>
      </c>
      <c r="R165" s="754">
        <f>P165+Q165</f>
        <v>0</v>
      </c>
      <c r="S165" s="755">
        <f t="shared" si="37"/>
        <v>0</v>
      </c>
      <c r="T165" s="755">
        <f t="shared" si="43"/>
        <v>0</v>
      </c>
      <c r="AQ165" s="558"/>
      <c r="AR165" s="558"/>
      <c r="AS165" s="559"/>
      <c r="AT165" s="558"/>
      <c r="AU165" s="558"/>
      <c r="AV165" s="558"/>
      <c r="AW165" s="558"/>
      <c r="AX165" s="558"/>
      <c r="AY165" s="558"/>
      <c r="AZ165" s="558"/>
      <c r="BA165" s="558"/>
      <c r="BB165" s="558"/>
      <c r="BC165" s="560"/>
      <c r="BJ165" s="561"/>
      <c r="BK165" s="562"/>
    </row>
    <row r="166" spans="2:63" s="556" customFormat="1" ht="15.75" customHeight="1">
      <c r="B166" s="774">
        <f t="shared" si="44"/>
        <v>64</v>
      </c>
      <c r="C166" s="766"/>
      <c r="D166" s="766"/>
      <c r="E166" s="701">
        <f t="shared" si="36"/>
        <v>0</v>
      </c>
      <c r="F166" s="766"/>
      <c r="G166" s="701">
        <f>W89</f>
        <v>0</v>
      </c>
      <c r="H166" s="766"/>
      <c r="I166" s="701">
        <f t="shared" si="45"/>
        <v>0</v>
      </c>
      <c r="J166" s="766"/>
      <c r="K166" s="745">
        <f t="shared" si="46"/>
        <v>0</v>
      </c>
      <c r="L166" s="751">
        <f t="shared" si="42"/>
        <v>0</v>
      </c>
      <c r="M166" s="766"/>
      <c r="N166" s="701">
        <f>T165*-1</f>
        <v>0</v>
      </c>
      <c r="O166" s="745">
        <f>L166+M166+N166</f>
        <v>0</v>
      </c>
      <c r="P166" s="752">
        <f>K166+O166</f>
        <v>0</v>
      </c>
      <c r="Q166" s="753">
        <f>R165</f>
        <v>0</v>
      </c>
      <c r="R166" s="754">
        <f>P166+Q166</f>
        <v>0</v>
      </c>
      <c r="S166" s="755">
        <f t="shared" si="37"/>
        <v>0</v>
      </c>
      <c r="T166" s="755">
        <f t="shared" si="43"/>
        <v>0</v>
      </c>
      <c r="AQ166" s="558"/>
      <c r="AR166" s="558"/>
      <c r="AS166" s="559"/>
      <c r="AT166" s="558"/>
      <c r="AU166" s="558"/>
      <c r="AV166" s="558"/>
      <c r="AW166" s="558"/>
      <c r="AX166" s="558"/>
      <c r="AY166" s="558"/>
      <c r="AZ166" s="558"/>
      <c r="BA166" s="558"/>
      <c r="BB166" s="558"/>
      <c r="BC166" s="560"/>
      <c r="BJ166" s="561"/>
      <c r="BK166" s="562"/>
    </row>
    <row r="167" spans="2:63" s="556" customFormat="1" ht="15.75" customHeight="1" thickBot="1">
      <c r="B167" s="775">
        <f t="shared" si="44"/>
        <v>65</v>
      </c>
      <c r="C167" s="767"/>
      <c r="D167" s="767"/>
      <c r="E167" s="757">
        <f t="shared" si="36"/>
        <v>0</v>
      </c>
      <c r="F167" s="776"/>
      <c r="G167" s="777">
        <f>W90</f>
        <v>0</v>
      </c>
      <c r="H167" s="776"/>
      <c r="I167" s="777">
        <f t="shared" si="45"/>
        <v>0</v>
      </c>
      <c r="J167" s="776"/>
      <c r="K167" s="778">
        <f t="shared" si="46"/>
        <v>0</v>
      </c>
      <c r="L167" s="756">
        <f t="shared" ref="L167" si="47">U90</f>
        <v>0</v>
      </c>
      <c r="M167" s="767"/>
      <c r="N167" s="757">
        <f>T166*-1</f>
        <v>0</v>
      </c>
      <c r="O167" s="758">
        <f>L167+M167+N167</f>
        <v>0</v>
      </c>
      <c r="P167" s="759">
        <f>K167+O167</f>
        <v>0</v>
      </c>
      <c r="Q167" s="760">
        <f>R166</f>
        <v>0</v>
      </c>
      <c r="R167" s="761">
        <f>P167+Q167</f>
        <v>0</v>
      </c>
      <c r="S167" s="755">
        <f t="shared" si="37"/>
        <v>0</v>
      </c>
      <c r="T167" s="755">
        <f t="shared" si="43"/>
        <v>0</v>
      </c>
      <c r="AQ167" s="558"/>
      <c r="AR167" s="558"/>
      <c r="AS167" s="559"/>
      <c r="AT167" s="558"/>
      <c r="AU167" s="558"/>
      <c r="AV167" s="558"/>
      <c r="AW167" s="558"/>
      <c r="AX167" s="558"/>
      <c r="AY167" s="558"/>
      <c r="AZ167" s="558"/>
      <c r="BA167" s="558"/>
      <c r="BB167" s="558"/>
      <c r="BC167" s="560"/>
      <c r="BJ167" s="561"/>
      <c r="BK167" s="562"/>
    </row>
    <row r="168" spans="2:63" s="556" customFormat="1" ht="15.75" customHeight="1" thickTop="1" thickBot="1">
      <c r="B168" s="769"/>
      <c r="C168" s="786"/>
      <c r="D168" s="768">
        <f t="shared" ref="D168:O168" si="48">SUM(D99:D167)</f>
        <v>0</v>
      </c>
      <c r="E168" s="787">
        <f t="shared" ref="E168" si="49">AL91</f>
        <v>-42323.694201306156</v>
      </c>
      <c r="F168" s="764"/>
      <c r="G168" s="763">
        <f t="shared" si="48"/>
        <v>0</v>
      </c>
      <c r="H168" s="764"/>
      <c r="I168" s="763">
        <f t="shared" si="48"/>
        <v>0</v>
      </c>
      <c r="J168" s="764"/>
      <c r="K168" s="771">
        <f t="shared" si="48"/>
        <v>5447050.2858548975</v>
      </c>
      <c r="L168" s="732">
        <f t="shared" si="48"/>
        <v>-5489373.9800562039</v>
      </c>
      <c r="M168" s="768"/>
      <c r="N168" s="733">
        <f t="shared" si="48"/>
        <v>42323.69420130684</v>
      </c>
      <c r="O168" s="734">
        <f t="shared" si="48"/>
        <v>-5447050.2858548975</v>
      </c>
      <c r="P168" s="732">
        <f>SUM(P99:P167)</f>
        <v>0</v>
      </c>
      <c r="Q168" s="732">
        <f t="shared" ref="Q168:R168" si="50">SUM(Q99:Q167)</f>
        <v>5461121.8324266896</v>
      </c>
      <c r="R168" s="732">
        <f t="shared" si="50"/>
        <v>5461121.8324266896</v>
      </c>
      <c r="S168" s="735">
        <f>SUM(S99:S167)</f>
        <v>-5461121.8324266896</v>
      </c>
      <c r="T168" s="735">
        <f>SUM(T99:T167)</f>
        <v>-42323.69420130684</v>
      </c>
      <c r="AQ168" s="558"/>
      <c r="AR168" s="558"/>
      <c r="AS168" s="559"/>
      <c r="AT168" s="558"/>
      <c r="AU168" s="558"/>
      <c r="AV168" s="558"/>
      <c r="AW168" s="558"/>
      <c r="AX168" s="558"/>
      <c r="AY168" s="558"/>
      <c r="AZ168" s="558"/>
      <c r="BA168" s="558"/>
      <c r="BB168" s="558"/>
      <c r="BC168" s="560"/>
      <c r="BJ168" s="561"/>
      <c r="BK168" s="562"/>
    </row>
    <row r="169" spans="2:63" s="556" customFormat="1" ht="24.75" customHeight="1" thickTop="1">
      <c r="AQ169" s="558"/>
      <c r="AR169" s="558"/>
      <c r="AS169" s="559"/>
      <c r="AT169" s="558"/>
      <c r="AU169" s="558"/>
      <c r="AV169" s="558"/>
      <c r="AW169" s="558"/>
      <c r="AX169" s="558"/>
      <c r="AY169" s="558"/>
      <c r="AZ169" s="558"/>
      <c r="BA169" s="558"/>
      <c r="BB169" s="558"/>
      <c r="BC169" s="560"/>
      <c r="BJ169" s="561"/>
      <c r="BK169" s="562"/>
    </row>
    <row r="170" spans="2:63" s="556" customFormat="1" ht="24.75" customHeight="1">
      <c r="T170" s="783"/>
      <c r="AQ170" s="558"/>
      <c r="AR170" s="558"/>
      <c r="AS170" s="559"/>
      <c r="AT170" s="558"/>
      <c r="AU170" s="558"/>
      <c r="AV170" s="558"/>
      <c r="AW170" s="558"/>
      <c r="AX170" s="558"/>
      <c r="AY170" s="558"/>
      <c r="AZ170" s="558"/>
      <c r="BA170" s="558"/>
      <c r="BB170" s="558"/>
      <c r="BC170" s="560"/>
      <c r="BJ170" s="561"/>
      <c r="BK170" s="562"/>
    </row>
  </sheetData>
  <mergeCells count="167">
    <mergeCell ref="B4:G4"/>
    <mergeCell ref="H4:AK4"/>
    <mergeCell ref="B5:D5"/>
    <mergeCell ref="E5:G5"/>
    <mergeCell ref="H5:J5"/>
    <mergeCell ref="K5:M5"/>
    <mergeCell ref="N5:P5"/>
    <mergeCell ref="Q5:U5"/>
    <mergeCell ref="V5:AA5"/>
    <mergeCell ref="AB5:AK5"/>
    <mergeCell ref="B7:D7"/>
    <mergeCell ref="H7:I7"/>
    <mergeCell ref="K7:L7"/>
    <mergeCell ref="N7:O7"/>
    <mergeCell ref="Q7:S7"/>
    <mergeCell ref="V7:X7"/>
    <mergeCell ref="B6:D6"/>
    <mergeCell ref="E6:G6"/>
    <mergeCell ref="H6:I6"/>
    <mergeCell ref="K6:L6"/>
    <mergeCell ref="N6:O6"/>
    <mergeCell ref="Q6:S6"/>
    <mergeCell ref="V8:X8"/>
    <mergeCell ref="AB8:AD8"/>
    <mergeCell ref="AG8:AJ8"/>
    <mergeCell ref="V9:X9"/>
    <mergeCell ref="AB9:AD9"/>
    <mergeCell ref="AG9:AJ9"/>
    <mergeCell ref="V6:X6"/>
    <mergeCell ref="Z6:AA6"/>
    <mergeCell ref="AB6:AD6"/>
    <mergeCell ref="AG6:AJ6"/>
    <mergeCell ref="AB7:AD7"/>
    <mergeCell ref="AG7:AJ7"/>
    <mergeCell ref="B9:D9"/>
    <mergeCell ref="E9:G9"/>
    <mergeCell ref="H9:I9"/>
    <mergeCell ref="K9:L9"/>
    <mergeCell ref="N9:O9"/>
    <mergeCell ref="Q9:S9"/>
    <mergeCell ref="B8:D8"/>
    <mergeCell ref="H8:I8"/>
    <mergeCell ref="K8:L8"/>
    <mergeCell ref="N8:O8"/>
    <mergeCell ref="Q8:S8"/>
    <mergeCell ref="AG10:AJ10"/>
    <mergeCell ref="B11:F11"/>
    <mergeCell ref="H11:I11"/>
    <mergeCell ref="K11:L11"/>
    <mergeCell ref="N11:O11"/>
    <mergeCell ref="Q11:S11"/>
    <mergeCell ref="V11:X11"/>
    <mergeCell ref="Z11:AA11"/>
    <mergeCell ref="AB11:AD11"/>
    <mergeCell ref="AG11:AJ11"/>
    <mergeCell ref="B10:F10"/>
    <mergeCell ref="H10:I10"/>
    <mergeCell ref="K10:L10"/>
    <mergeCell ref="N10:O10"/>
    <mergeCell ref="Q10:S10"/>
    <mergeCell ref="V10:W10"/>
    <mergeCell ref="AB10:AD10"/>
    <mergeCell ref="V12:X12"/>
    <mergeCell ref="Z12:AA12"/>
    <mergeCell ref="AB12:AD12"/>
    <mergeCell ref="AG12:AJ12"/>
    <mergeCell ref="B13:F13"/>
    <mergeCell ref="H13:I13"/>
    <mergeCell ref="K13:L13"/>
    <mergeCell ref="N13:O13"/>
    <mergeCell ref="Q13:S14"/>
    <mergeCell ref="V13:X13"/>
    <mergeCell ref="B12:F12"/>
    <mergeCell ref="H12:I12"/>
    <mergeCell ref="K12:L12"/>
    <mergeCell ref="N12:O12"/>
    <mergeCell ref="Q12:S12"/>
    <mergeCell ref="T12:U12"/>
    <mergeCell ref="Z13:AA13"/>
    <mergeCell ref="AB13:AD13"/>
    <mergeCell ref="AG13:AJ15"/>
    <mergeCell ref="B14:F14"/>
    <mergeCell ref="H14:I14"/>
    <mergeCell ref="K14:L14"/>
    <mergeCell ref="N14:O14"/>
    <mergeCell ref="V14:X14"/>
    <mergeCell ref="Z14:AA14"/>
    <mergeCell ref="AB14:AD14"/>
    <mergeCell ref="V15:X15"/>
    <mergeCell ref="Z15:AA15"/>
    <mergeCell ref="AB15:AD15"/>
    <mergeCell ref="E17:T17"/>
    <mergeCell ref="U17:U20"/>
    <mergeCell ref="V17:Z17"/>
    <mergeCell ref="AA17:AA20"/>
    <mergeCell ref="AB17:AB20"/>
    <mergeCell ref="AC17:AC20"/>
    <mergeCell ref="AD17:AD20"/>
    <mergeCell ref="B15:F15"/>
    <mergeCell ref="H15:I15"/>
    <mergeCell ref="K15:L15"/>
    <mergeCell ref="N15:O15"/>
    <mergeCell ref="Q15:S15"/>
    <mergeCell ref="T15:U15"/>
    <mergeCell ref="I19:I20"/>
    <mergeCell ref="J19:J20"/>
    <mergeCell ref="K19:K20"/>
    <mergeCell ref="R18:R20"/>
    <mergeCell ref="S18:S20"/>
    <mergeCell ref="L19:L20"/>
    <mergeCell ref="AT17:AT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H17:AH20"/>
    <mergeCell ref="AI17:AM17"/>
    <mergeCell ref="AN17:AQ17"/>
    <mergeCell ref="AR17:AR20"/>
    <mergeCell ref="AS17:AS20"/>
    <mergeCell ref="AJ18:AJ20"/>
    <mergeCell ref="AK18:AK20"/>
    <mergeCell ref="AL18:AL20"/>
    <mergeCell ref="AM18:AM20"/>
    <mergeCell ref="E19:E20"/>
    <mergeCell ref="F19:F20"/>
    <mergeCell ref="G19:G20"/>
    <mergeCell ref="H19:H20"/>
    <mergeCell ref="P19:P20"/>
    <mergeCell ref="Q19:Q20"/>
    <mergeCell ref="V19:V20"/>
    <mergeCell ref="W19:W20"/>
    <mergeCell ref="X19:X20"/>
    <mergeCell ref="AN18:AN20"/>
    <mergeCell ref="AO18:AO20"/>
    <mergeCell ref="AP18:AP20"/>
    <mergeCell ref="T18:T20"/>
    <mergeCell ref="V18:W18"/>
    <mergeCell ref="X18:Z18"/>
    <mergeCell ref="AI18:AI20"/>
    <mergeCell ref="Y19:Y20"/>
    <mergeCell ref="Z19:Z20"/>
    <mergeCell ref="B95:B97"/>
    <mergeCell ref="C95:K95"/>
    <mergeCell ref="L95:O95"/>
    <mergeCell ref="P95:R95"/>
    <mergeCell ref="S95:S97"/>
    <mergeCell ref="T95:T97"/>
    <mergeCell ref="C96:E96"/>
    <mergeCell ref="F96:G96"/>
    <mergeCell ref="H96:I96"/>
    <mergeCell ref="J96:J97"/>
    <mergeCell ref="Q96:Q97"/>
    <mergeCell ref="R96:R97"/>
    <mergeCell ref="D97:E97"/>
    <mergeCell ref="K96:K97"/>
    <mergeCell ref="L96:L97"/>
    <mergeCell ref="M96:M97"/>
    <mergeCell ref="N96:N97"/>
    <mergeCell ref="O96:O97"/>
    <mergeCell ref="P96:P97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C01B44-389C-410F-98C6-BC6103A16BC7}"/>
</file>

<file path=customXml/itemProps2.xml><?xml version="1.0" encoding="utf-8"?>
<ds:datastoreItem xmlns:ds="http://schemas.openxmlformats.org/officeDocument/2006/customXml" ds:itemID="{D1717223-8BB3-43F0-9DC5-20A3748E63BE}"/>
</file>

<file path=customXml/itemProps3.xml><?xml version="1.0" encoding="utf-8"?>
<ds:datastoreItem xmlns:ds="http://schemas.openxmlformats.org/officeDocument/2006/customXml" ds:itemID="{25E78615-DBF7-4978-881F-9D07E94C83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Naoki Miyake</dc:creator>
  <cp:keywords/>
  <dc:description/>
  <cp:lastModifiedBy>Aryo Budi Dwikarso Prasetyo</cp:lastModifiedBy>
  <cp:revision/>
  <dcterms:created xsi:type="dcterms:W3CDTF">2017-02-08T11:14:38Z</dcterms:created>
  <dcterms:modified xsi:type="dcterms:W3CDTF">2022-03-14T04:43:56Z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